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审核\王紫煜\"/>
    </mc:Choice>
  </mc:AlternateContent>
  <xr:revisionPtr revIDLastSave="0" documentId="13_ncr:1_{2FBA99AD-EAA8-4E78-8C08-5215BDD95D62}"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3" i="43" l="1"/>
  <c r="V19" i="1"/>
  <c r="T19" i="1"/>
  <c r="G23" i="4"/>
  <c r="G24" i="4" s="1"/>
  <c r="D3" i="4"/>
  <c r="E59" i="33" l="1"/>
  <c r="F59" i="33" s="1"/>
  <c r="G59" i="33" s="1"/>
  <c r="H59" i="33" s="1"/>
  <c r="I59" i="33" s="1"/>
  <c r="J59" i="33" s="1"/>
  <c r="K59" i="33" s="1"/>
  <c r="C33" i="33"/>
  <c r="O97" i="33"/>
  <c r="P97" i="33"/>
  <c r="E104" i="33"/>
  <c r="F104" i="33" s="1"/>
  <c r="D104" i="33"/>
  <c r="O96" i="33"/>
  <c r="P92" i="33" s="1"/>
  <c r="P93" i="33"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Q80" i="71"/>
  <c r="P80" i="71"/>
  <c r="O80" i="71"/>
  <c r="N80" i="71"/>
  <c r="F80" i="71"/>
  <c r="V80" i="71" s="1"/>
  <c r="E80" i="71"/>
  <c r="E79" i="71" s="1"/>
  <c r="E78" i="71" s="1"/>
  <c r="D80" i="7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T76" i="71"/>
  <c r="Q76" i="71"/>
  <c r="P76" i="71"/>
  <c r="O76" i="71"/>
  <c r="N76" i="71"/>
  <c r="F76" i="71"/>
  <c r="V76" i="71" s="1"/>
  <c r="E76" i="71"/>
  <c r="E75" i="71" s="1"/>
  <c r="E74" i="71" s="1"/>
  <c r="D76" i="71"/>
  <c r="C76" i="71"/>
  <c r="B76" i="71"/>
  <c r="S76" i="71" s="1"/>
  <c r="Q75" i="71"/>
  <c r="P75" i="71"/>
  <c r="O75" i="71"/>
  <c r="N75" i="71"/>
  <c r="F75" i="71"/>
  <c r="F74" i="71" s="1"/>
  <c r="C75" i="71"/>
  <c r="D75" i="71" s="1"/>
  <c r="B75" i="71"/>
  <c r="B74" i="71" s="1"/>
  <c r="Q74" i="71"/>
  <c r="P74" i="71"/>
  <c r="O74" i="71"/>
  <c r="N74" i="71"/>
  <c r="C74" i="71"/>
  <c r="D74" i="71" s="1"/>
  <c r="Q73" i="71"/>
  <c r="P73" i="71"/>
  <c r="O73" i="71"/>
  <c r="N73" i="71"/>
  <c r="D73" i="71"/>
  <c r="T72" i="71"/>
  <c r="Q72" i="71"/>
  <c r="P72" i="71"/>
  <c r="O72" i="71"/>
  <c r="N72" i="71"/>
  <c r="F72" i="71"/>
  <c r="V72" i="71" s="1"/>
  <c r="E72" i="71"/>
  <c r="E71" i="71" s="1"/>
  <c r="E70" i="71" s="1"/>
  <c r="D72" i="71"/>
  <c r="C72" i="71"/>
  <c r="B72" i="71"/>
  <c r="S72" i="71" s="1"/>
  <c r="Q71" i="71"/>
  <c r="P71" i="71"/>
  <c r="O71" i="71"/>
  <c r="N71" i="71"/>
  <c r="F71" i="71"/>
  <c r="F70" i="71" s="1"/>
  <c r="C71" i="71"/>
  <c r="D71" i="71" s="1"/>
  <c r="B71" i="71"/>
  <c r="B70" i="71" s="1"/>
  <c r="Q70" i="71"/>
  <c r="P70" i="71"/>
  <c r="O70" i="71"/>
  <c r="N70" i="71"/>
  <c r="C70" i="71"/>
  <c r="D70" i="71" s="1"/>
  <c r="Q69" i="71"/>
  <c r="P69" i="71"/>
  <c r="O69" i="71"/>
  <c r="N69" i="71"/>
  <c r="D69" i="71"/>
  <c r="T68" i="71"/>
  <c r="O68" i="71"/>
  <c r="F68" i="71"/>
  <c r="V68" i="71" s="1"/>
  <c r="E68" i="71"/>
  <c r="E67" i="71" s="1"/>
  <c r="D68" i="71"/>
  <c r="C68" i="71"/>
  <c r="B68" i="71"/>
  <c r="S68" i="71" s="1"/>
  <c r="F67" i="71"/>
  <c r="F66" i="71" s="1"/>
  <c r="C67" i="71"/>
  <c r="O67" i="71" s="1"/>
  <c r="B67" i="71"/>
  <c r="B66" i="71" s="1"/>
  <c r="C66" i="71"/>
  <c r="O66" i="71" s="1"/>
  <c r="O65" i="71"/>
  <c r="D65" i="71"/>
  <c r="Q64" i="71"/>
  <c r="P64" i="71"/>
  <c r="O64" i="71"/>
  <c r="N64" i="71"/>
  <c r="Q63" i="71"/>
  <c r="P63" i="71"/>
  <c r="O63" i="71"/>
  <c r="N63" i="71"/>
  <c r="F63" i="71"/>
  <c r="F64" i="71" s="1"/>
  <c r="V64" i="71" s="1"/>
  <c r="Q62" i="71"/>
  <c r="P62" i="71"/>
  <c r="O62" i="71"/>
  <c r="N62" i="71"/>
  <c r="F62" i="71"/>
  <c r="Q61" i="71"/>
  <c r="P61" i="71"/>
  <c r="E62" i="71" s="1"/>
  <c r="E63" i="71" s="1"/>
  <c r="E64" i="71" s="1"/>
  <c r="U64" i="71" s="1"/>
  <c r="O61" i="71"/>
  <c r="C62" i="71" s="1"/>
  <c r="N61" i="71"/>
  <c r="B62" i="71" s="1"/>
  <c r="B63" i="71" s="1"/>
  <c r="B64" i="71" s="1"/>
  <c r="S64" i="71" s="1"/>
  <c r="D61" i="71"/>
  <c r="Q60" i="71"/>
  <c r="P60" i="71"/>
  <c r="O60" i="71"/>
  <c r="N60" i="71"/>
  <c r="Q59" i="71"/>
  <c r="P59" i="71"/>
  <c r="O59" i="71"/>
  <c r="N59" i="71"/>
  <c r="F59" i="71"/>
  <c r="F60" i="71" s="1"/>
  <c r="V60" i="71" s="1"/>
  <c r="Q58" i="71"/>
  <c r="P58" i="71"/>
  <c r="O58" i="71"/>
  <c r="N58" i="71"/>
  <c r="F58" i="71"/>
  <c r="Q57" i="71"/>
  <c r="P57" i="71"/>
  <c r="E58" i="71" s="1"/>
  <c r="E59" i="71" s="1"/>
  <c r="E60" i="71" s="1"/>
  <c r="U60" i="71" s="1"/>
  <c r="O57" i="71"/>
  <c r="C58" i="71" s="1"/>
  <c r="N57" i="71"/>
  <c r="B58" i="71" s="1"/>
  <c r="B59" i="71" s="1"/>
  <c r="B60" i="71" s="1"/>
  <c r="S60" i="71" s="1"/>
  <c r="D57" i="71"/>
  <c r="Q56" i="71"/>
  <c r="P56" i="71"/>
  <c r="O56" i="71"/>
  <c r="N56" i="71"/>
  <c r="Q55" i="71"/>
  <c r="P55" i="71"/>
  <c r="O55" i="71"/>
  <c r="N55" i="71"/>
  <c r="F55" i="71"/>
  <c r="F56" i="71" s="1"/>
  <c r="V56" i="71" s="1"/>
  <c r="Q54" i="71"/>
  <c r="P54" i="71"/>
  <c r="O54" i="71"/>
  <c r="N54" i="71"/>
  <c r="F54" i="71"/>
  <c r="Q53" i="71"/>
  <c r="P53" i="71"/>
  <c r="E54" i="71" s="1"/>
  <c r="E55" i="71" s="1"/>
  <c r="E56" i="71" s="1"/>
  <c r="U56" i="71" s="1"/>
  <c r="O53" i="71"/>
  <c r="C54" i="71" s="1"/>
  <c r="N53" i="71"/>
  <c r="B54" i="71" s="1"/>
  <c r="B55" i="71" s="1"/>
  <c r="B56" i="71" s="1"/>
  <c r="S56" i="71" s="1"/>
  <c r="D53" i="71"/>
  <c r="Q52" i="71"/>
  <c r="P52" i="71"/>
  <c r="O52" i="71"/>
  <c r="N52" i="71"/>
  <c r="Q51" i="71"/>
  <c r="P51" i="71"/>
  <c r="O51" i="71"/>
  <c r="N51" i="71"/>
  <c r="F51" i="71"/>
  <c r="F52" i="71" s="1"/>
  <c r="V52" i="71" s="1"/>
  <c r="Q50" i="71"/>
  <c r="P50" i="71"/>
  <c r="O50" i="71"/>
  <c r="N50" i="71"/>
  <c r="F50" i="7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E47" i="71"/>
  <c r="E48" i="71" s="1"/>
  <c r="U48" i="71" s="1"/>
  <c r="Q46" i="71"/>
  <c r="P46" i="71"/>
  <c r="O46" i="71"/>
  <c r="N46" i="71"/>
  <c r="F46" i="71"/>
  <c r="F47" i="71" s="1"/>
  <c r="F48" i="71" s="1"/>
  <c r="V48" i="71" s="1"/>
  <c r="E46" i="71"/>
  <c r="Q45" i="71"/>
  <c r="P45" i="71"/>
  <c r="O45" i="71"/>
  <c r="C46" i="71" s="1"/>
  <c r="N45" i="71"/>
  <c r="B46" i="71" s="1"/>
  <c r="B47" i="71" s="1"/>
  <c r="B48" i="71" s="1"/>
  <c r="S48" i="71" s="1"/>
  <c r="D45" i="71"/>
  <c r="Q44" i="71"/>
  <c r="P44" i="71"/>
  <c r="O44" i="71"/>
  <c r="N44" i="71"/>
  <c r="Q43" i="71"/>
  <c r="P43" i="71"/>
  <c r="O43" i="71"/>
  <c r="N43" i="71"/>
  <c r="E43" i="71"/>
  <c r="E44" i="71" s="1"/>
  <c r="U44" i="71" s="1"/>
  <c r="Q42" i="71"/>
  <c r="P42" i="71"/>
  <c r="O42" i="71"/>
  <c r="N42" i="71"/>
  <c r="F42" i="71"/>
  <c r="F43" i="71" s="1"/>
  <c r="F44" i="71" s="1"/>
  <c r="V44" i="71" s="1"/>
  <c r="E42" i="71"/>
  <c r="Q41" i="71"/>
  <c r="P41" i="7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8" i="71" s="1"/>
  <c r="O39" i="71"/>
  <c r="Y39" i="71" s="1"/>
  <c r="Z39" i="71" s="1"/>
  <c r="N39" i="71"/>
  <c r="X39" i="71" s="1"/>
  <c r="AH38" i="71"/>
  <c r="AG38" i="71"/>
  <c r="AF38" i="71"/>
  <c r="AE38" i="71"/>
  <c r="AD38" i="71"/>
  <c r="AB38" i="71"/>
  <c r="Q38" i="71"/>
  <c r="P38" i="71"/>
  <c r="O38" i="71"/>
  <c r="Y38" i="71" s="1"/>
  <c r="Z38" i="71" s="1"/>
  <c r="N38" i="71"/>
  <c r="X38" i="71" s="1"/>
  <c r="C38" i="71"/>
  <c r="C39" i="71" s="1"/>
  <c r="AH37" i="71"/>
  <c r="AG37" i="71"/>
  <c r="AF37" i="71"/>
  <c r="AE37" i="71"/>
  <c r="AD37" i="71"/>
  <c r="AA37" i="71"/>
  <c r="Q37" i="71"/>
  <c r="F38" i="71" s="1"/>
  <c r="F39" i="71" s="1"/>
  <c r="F40" i="71" s="1"/>
  <c r="V40" i="71" s="1"/>
  <c r="P37" i="71"/>
  <c r="E38" i="71" s="1"/>
  <c r="E39" i="71" s="1"/>
  <c r="E40" i="71" s="1"/>
  <c r="U40" i="71" s="1"/>
  <c r="O37" i="71"/>
  <c r="Y37" i="71" s="1"/>
  <c r="Z37" i="71" s="1"/>
  <c r="N37" i="71"/>
  <c r="B38" i="71" s="1"/>
  <c r="B39" i="71" s="1"/>
  <c r="B40" i="71" s="1"/>
  <c r="S40" i="71" s="1"/>
  <c r="D37" i="71"/>
  <c r="AH36" i="71"/>
  <c r="AG36" i="71"/>
  <c r="AF36" i="71"/>
  <c r="AE36" i="71"/>
  <c r="AD36" i="71"/>
  <c r="AA36" i="71"/>
  <c r="Q36" i="71"/>
  <c r="P36" i="71"/>
  <c r="O36" i="71"/>
  <c r="Y36" i="71" s="1"/>
  <c r="Z36" i="71" s="1"/>
  <c r="N36" i="71"/>
  <c r="X36" i="71" s="1"/>
  <c r="AH35" i="71"/>
  <c r="AG35" i="71"/>
  <c r="AE35" i="71"/>
  <c r="AF35" i="71" s="1"/>
  <c r="AD35" i="71"/>
  <c r="Z35" i="71"/>
  <c r="Q35" i="71"/>
  <c r="P35" i="71"/>
  <c r="O35" i="71"/>
  <c r="Y35" i="71" s="1"/>
  <c r="N35" i="71"/>
  <c r="X35" i="71" s="1"/>
  <c r="AH34" i="71"/>
  <c r="AG34" i="71"/>
  <c r="AF34" i="71"/>
  <c r="AE34" i="71"/>
  <c r="AD34" i="71"/>
  <c r="Q34" i="71"/>
  <c r="P34" i="71"/>
  <c r="O34" i="71"/>
  <c r="Y34" i="71" s="1"/>
  <c r="Z34" i="71" s="1"/>
  <c r="N34" i="71"/>
  <c r="X34" i="71" s="1"/>
  <c r="C34" i="71"/>
  <c r="AH33" i="71"/>
  <c r="AG33" i="71"/>
  <c r="AF33" i="71"/>
  <c r="AE33" i="71"/>
  <c r="AD33" i="71"/>
  <c r="AB33" i="71"/>
  <c r="AA33" i="71"/>
  <c r="Q33" i="71"/>
  <c r="F34" i="71" s="1"/>
  <c r="F35" i="71" s="1"/>
  <c r="F36" i="71" s="1"/>
  <c r="V36" i="71" s="1"/>
  <c r="P33" i="71"/>
  <c r="E34" i="71" s="1"/>
  <c r="E35" i="71" s="1"/>
  <c r="E36" i="71" s="1"/>
  <c r="U36" i="71" s="1"/>
  <c r="O33" i="71"/>
  <c r="N33" i="71"/>
  <c r="B34" i="71" s="1"/>
  <c r="D33" i="71"/>
  <c r="AH32" i="71"/>
  <c r="AG32" i="71"/>
  <c r="AE32" i="71"/>
  <c r="AF32" i="71" s="1"/>
  <c r="AD32" i="71"/>
  <c r="Q32" i="71"/>
  <c r="P32" i="71"/>
  <c r="AA32" i="71" s="1"/>
  <c r="O32" i="71"/>
  <c r="Y32" i="71" s="1"/>
  <c r="Z32" i="71" s="1"/>
  <c r="N32" i="71"/>
  <c r="X32" i="71" s="1"/>
  <c r="AH31" i="71"/>
  <c r="AG31" i="71"/>
  <c r="AE31" i="71"/>
  <c r="AF31" i="71" s="1"/>
  <c r="AD31" i="71"/>
  <c r="Q31" i="71"/>
  <c r="P31" i="71"/>
  <c r="O31" i="71"/>
  <c r="Y31" i="71" s="1"/>
  <c r="Z31" i="71" s="1"/>
  <c r="N31" i="71"/>
  <c r="X31" i="71" s="1"/>
  <c r="E31" i="71"/>
  <c r="AH30" i="71"/>
  <c r="AG30" i="71"/>
  <c r="AF30" i="71"/>
  <c r="AE30" i="71"/>
  <c r="AD30" i="71"/>
  <c r="Q30" i="71"/>
  <c r="AB30" i="71" s="1"/>
  <c r="P30" i="71"/>
  <c r="O30" i="71"/>
  <c r="Y30" i="71" s="1"/>
  <c r="Z30" i="71" s="1"/>
  <c r="N30" i="71"/>
  <c r="X30" i="71" s="1"/>
  <c r="D30" i="71"/>
  <c r="C30" i="71"/>
  <c r="C31" i="71" s="1"/>
  <c r="C32" i="71" s="1"/>
  <c r="AH29" i="71"/>
  <c r="AG29" i="71"/>
  <c r="AE29" i="71"/>
  <c r="AF29" i="71" s="1"/>
  <c r="AD29" i="71"/>
  <c r="AB29" i="71"/>
  <c r="Q29" i="71"/>
  <c r="F30" i="71" s="1"/>
  <c r="F31" i="71" s="1"/>
  <c r="F32" i="71" s="1"/>
  <c r="V32" i="71" s="1"/>
  <c r="P29" i="71"/>
  <c r="E30" i="71" s="1"/>
  <c r="O29" i="71"/>
  <c r="Y29" i="71" s="1"/>
  <c r="Z29" i="71" s="1"/>
  <c r="N29" i="71"/>
  <c r="B30" i="71" s="1"/>
  <c r="B31" i="71" s="1"/>
  <c r="B32" i="71" s="1"/>
  <c r="S32" i="71" s="1"/>
  <c r="D29" i="71"/>
  <c r="AH28" i="71"/>
  <c r="AG28" i="71"/>
  <c r="AE28" i="71"/>
  <c r="AF28" i="71" s="1"/>
  <c r="AD28" i="71"/>
  <c r="Y28" i="71"/>
  <c r="Z28" i="71" s="1"/>
  <c r="Q28" i="71"/>
  <c r="AB28" i="71" s="1"/>
  <c r="P28" i="71"/>
  <c r="O28" i="71"/>
  <c r="C28" i="71" s="1"/>
  <c r="T28" i="71" s="1"/>
  <c r="N28" i="71"/>
  <c r="F28" i="71"/>
  <c r="F27" i="71" s="1"/>
  <c r="E28" i="71"/>
  <c r="V28" i="71" s="1"/>
  <c r="D28" i="71"/>
  <c r="U28" i="71" s="1"/>
  <c r="B28" i="71"/>
  <c r="AH27" i="71"/>
  <c r="AG27" i="71"/>
  <c r="AE27" i="71"/>
  <c r="AF27" i="71" s="1"/>
  <c r="AD27" i="71"/>
  <c r="AB27" i="71"/>
  <c r="Q27" i="71"/>
  <c r="P27" i="71"/>
  <c r="O27" i="71"/>
  <c r="Y27" i="71" s="1"/>
  <c r="Z27" i="71" s="1"/>
  <c r="N27" i="71"/>
  <c r="X27" i="71" s="1"/>
  <c r="E27" i="71"/>
  <c r="E26" i="71" s="1"/>
  <c r="C27" i="71"/>
  <c r="D27" i="71" s="1"/>
  <c r="AH26" i="71"/>
  <c r="AG26" i="71"/>
  <c r="AF26" i="71"/>
  <c r="AE26" i="71"/>
  <c r="AD26" i="71"/>
  <c r="Q26" i="71"/>
  <c r="P26" i="71"/>
  <c r="AA26" i="71" s="1"/>
  <c r="O26" i="71"/>
  <c r="Y26" i="71" s="1"/>
  <c r="Z26" i="71" s="1"/>
  <c r="N26" i="71"/>
  <c r="X26" i="71" s="1"/>
  <c r="F26" i="71"/>
  <c r="C26" i="71"/>
  <c r="D26" i="71" s="1"/>
  <c r="AH25" i="71"/>
  <c r="AG25" i="71"/>
  <c r="AE25" i="71"/>
  <c r="AF25" i="71" s="1"/>
  <c r="AD25" i="71"/>
  <c r="Z25" i="71"/>
  <c r="Q25" i="71"/>
  <c r="P25" i="71"/>
  <c r="O25" i="71"/>
  <c r="Y25" i="71" s="1"/>
  <c r="N25" i="71"/>
  <c r="X25" i="71" s="1"/>
  <c r="D25" i="71"/>
  <c r="AH24" i="71"/>
  <c r="AG24" i="71"/>
  <c r="AF24" i="71"/>
  <c r="AE24" i="71"/>
  <c r="AD24" i="71"/>
  <c r="V24" i="71"/>
  <c r="T24" i="71"/>
  <c r="Q24" i="71"/>
  <c r="P24" i="71"/>
  <c r="O24" i="71"/>
  <c r="C24" i="71" s="1"/>
  <c r="N24" i="71"/>
  <c r="X24" i="71" s="1"/>
  <c r="F24" i="71"/>
  <c r="F23" i="71" s="1"/>
  <c r="E24" i="71"/>
  <c r="D24" i="71"/>
  <c r="U24" i="71" s="1"/>
  <c r="B24" i="71"/>
  <c r="S24" i="71" s="1"/>
  <c r="AH23" i="71"/>
  <c r="AG23" i="71"/>
  <c r="AE23" i="71"/>
  <c r="AF23" i="71" s="1"/>
  <c r="AD23" i="71"/>
  <c r="Q23" i="71"/>
  <c r="P23" i="71"/>
  <c r="AA23" i="71" s="1"/>
  <c r="O23" i="71"/>
  <c r="N23" i="71"/>
  <c r="X23" i="71" s="1"/>
  <c r="E23" i="71"/>
  <c r="E22" i="71" s="1"/>
  <c r="E21" i="71" s="1"/>
  <c r="E20" i="71" s="1"/>
  <c r="C23" i="71"/>
  <c r="AH22" i="71"/>
  <c r="AG22" i="71"/>
  <c r="AF22" i="71"/>
  <c r="AE22" i="71"/>
  <c r="AD22" i="71"/>
  <c r="AA22" i="71"/>
  <c r="Q22" i="71"/>
  <c r="P22" i="71"/>
  <c r="O22" i="71"/>
  <c r="N22" i="71"/>
  <c r="X22" i="71" s="1"/>
  <c r="F22" i="71"/>
  <c r="F21" i="71" s="1"/>
  <c r="F20" i="71" s="1"/>
  <c r="F19" i="71" s="1"/>
  <c r="AH21" i="71"/>
  <c r="AG21" i="71"/>
  <c r="AE21" i="71"/>
  <c r="AF21" i="71" s="1"/>
  <c r="AD21" i="71"/>
  <c r="Q21" i="71"/>
  <c r="P21" i="71"/>
  <c r="O21" i="71"/>
  <c r="Y21" i="71" s="1"/>
  <c r="Z21" i="71" s="1"/>
  <c r="N21" i="71"/>
  <c r="X21" i="71" s="1"/>
  <c r="AH20" i="71"/>
  <c r="AG20" i="71"/>
  <c r="AF20" i="71"/>
  <c r="AE20" i="71"/>
  <c r="AD20" i="71"/>
  <c r="Q20" i="71"/>
  <c r="P20" i="71"/>
  <c r="O20" i="71"/>
  <c r="Y20" i="71" s="1"/>
  <c r="Z20" i="71" s="1"/>
  <c r="N20" i="71"/>
  <c r="X20" i="71" s="1"/>
  <c r="AH19" i="71"/>
  <c r="AG19" i="71"/>
  <c r="AF19" i="71"/>
  <c r="AE19" i="71"/>
  <c r="AD19" i="71"/>
  <c r="AB19" i="71"/>
  <c r="Q19" i="71"/>
  <c r="P19" i="71"/>
  <c r="O19" i="71"/>
  <c r="N19" i="71"/>
  <c r="X19" i="71" s="1"/>
  <c r="AH18" i="71"/>
  <c r="AG18" i="71"/>
  <c r="AF18" i="71"/>
  <c r="AE18" i="71"/>
  <c r="AD18" i="71"/>
  <c r="AA18" i="71"/>
  <c r="Q18" i="71"/>
  <c r="P18" i="71"/>
  <c r="O18" i="71"/>
  <c r="N18" i="71"/>
  <c r="X18" i="71" s="1"/>
  <c r="F18" i="71"/>
  <c r="F17" i="71" s="1"/>
  <c r="F16" i="71" s="1"/>
  <c r="F15" i="71" s="1"/>
  <c r="AH17" i="71"/>
  <c r="AG17" i="71"/>
  <c r="AE17" i="71"/>
  <c r="AF17" i="71" s="1"/>
  <c r="AD17" i="71"/>
  <c r="Q17" i="71"/>
  <c r="AB17" i="71" s="1"/>
  <c r="P17" i="71"/>
  <c r="O17" i="71"/>
  <c r="N17" i="71"/>
  <c r="X17" i="71" s="1"/>
  <c r="AH16" i="71"/>
  <c r="AG16" i="71"/>
  <c r="AF16" i="71"/>
  <c r="AE16" i="71"/>
  <c r="AD16" i="71"/>
  <c r="Q16" i="71"/>
  <c r="AB16" i="71" s="1"/>
  <c r="P16" i="71"/>
  <c r="O16" i="71"/>
  <c r="N16" i="71"/>
  <c r="X16" i="71" s="1"/>
  <c r="AH15" i="71"/>
  <c r="AG15" i="71"/>
  <c r="AF15" i="71"/>
  <c r="AE15" i="71"/>
  <c r="AD15" i="71"/>
  <c r="Q15" i="71"/>
  <c r="P15" i="71"/>
  <c r="O15" i="71"/>
  <c r="N15" i="71"/>
  <c r="X15" i="71" s="1"/>
  <c r="AH14" i="71"/>
  <c r="AG14" i="71"/>
  <c r="AF14" i="71"/>
  <c r="AE14" i="71"/>
  <c r="AD14" i="71"/>
  <c r="AA14" i="71"/>
  <c r="Q14" i="71"/>
  <c r="P14" i="71"/>
  <c r="O14" i="71"/>
  <c r="N14" i="71"/>
  <c r="F14" i="71"/>
  <c r="F13" i="71" s="1"/>
  <c r="F12" i="71" s="1"/>
  <c r="F11" i="71" s="1"/>
  <c r="F10" i="71" s="1"/>
  <c r="F9" i="71" s="1"/>
  <c r="F8" i="71" s="1"/>
  <c r="AH13" i="71"/>
  <c r="AG13" i="71"/>
  <c r="AE13" i="71"/>
  <c r="AF13" i="71" s="1"/>
  <c r="AD13" i="71"/>
  <c r="Q13" i="71"/>
  <c r="P13" i="71"/>
  <c r="O13" i="71"/>
  <c r="N13" i="71"/>
  <c r="AH12" i="71"/>
  <c r="AG12" i="71"/>
  <c r="AF12" i="71"/>
  <c r="AE12" i="71"/>
  <c r="AD12" i="71"/>
  <c r="Q12" i="71"/>
  <c r="P12" i="71"/>
  <c r="O12" i="71"/>
  <c r="Y9" i="71" s="1"/>
  <c r="Z9" i="71" s="1"/>
  <c r="N12" i="71"/>
  <c r="AH11" i="71"/>
  <c r="AG11" i="71"/>
  <c r="AF11" i="71"/>
  <c r="AE11" i="71"/>
  <c r="AD11" i="71"/>
  <c r="AB11" i="71"/>
  <c r="Q11" i="71"/>
  <c r="P11" i="71"/>
  <c r="O11" i="71"/>
  <c r="N11" i="71"/>
  <c r="X11" i="71" s="1"/>
  <c r="AH10" i="71"/>
  <c r="AG10" i="71"/>
  <c r="AF10" i="71"/>
  <c r="AE10" i="71"/>
  <c r="AD10" i="71"/>
  <c r="AA10" i="71"/>
  <c r="Q10" i="71"/>
  <c r="P10" i="71"/>
  <c r="O10" i="71"/>
  <c r="N10" i="71"/>
  <c r="X10" i="71" s="1"/>
  <c r="AH9" i="71"/>
  <c r="AG9" i="71"/>
  <c r="AF9" i="71"/>
  <c r="AE9" i="71"/>
  <c r="AD9" i="71"/>
  <c r="Q9" i="71"/>
  <c r="P9" i="71"/>
  <c r="O9" i="71"/>
  <c r="N9" i="71"/>
  <c r="X9" i="71" s="1"/>
  <c r="AH8" i="71"/>
  <c r="AG8" i="71"/>
  <c r="AF8" i="71"/>
  <c r="AE8" i="71"/>
  <c r="AD8" i="71"/>
  <c r="Q8" i="71"/>
  <c r="P8" i="71"/>
  <c r="O8" i="71"/>
  <c r="N8" i="71"/>
  <c r="AH7" i="71"/>
  <c r="AG7" i="71"/>
  <c r="AF7" i="71"/>
  <c r="AE7" i="71"/>
  <c r="AD7" i="71"/>
  <c r="AB7" i="71"/>
  <c r="AA7" i="71"/>
  <c r="Y7" i="71"/>
  <c r="Z7" i="71" s="1"/>
  <c r="X7" i="71"/>
  <c r="Q7" i="71"/>
  <c r="AB3" i="71" s="1"/>
  <c r="P7" i="71"/>
  <c r="O7" i="71"/>
  <c r="N7" i="71"/>
  <c r="F7" i="71"/>
  <c r="F6" i="71" s="1"/>
  <c r="F5" i="71" s="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N5" i="71"/>
  <c r="AG3" i="71"/>
  <c r="X3" i="71"/>
  <c r="L3" i="71"/>
  <c r="AH3" i="71" s="1"/>
  <c r="K3" i="71"/>
  <c r="J3" i="71"/>
  <c r="AE3" i="71" s="1"/>
  <c r="AF3" i="71" s="1"/>
  <c r="I3" i="71"/>
  <c r="AD3" i="71" s="1"/>
  <c r="AD52" i="79"/>
  <c r="AB52" i="79"/>
  <c r="AA52" i="79"/>
  <c r="Z52" i="79"/>
  <c r="W52" i="79"/>
  <c r="N52" i="79"/>
  <c r="M52" i="79"/>
  <c r="P52" i="79" s="1"/>
  <c r="L52" i="79"/>
  <c r="I52" i="79"/>
  <c r="AB51" i="79"/>
  <c r="AA51" i="79"/>
  <c r="Z51" i="79"/>
  <c r="U51" i="79"/>
  <c r="AI51" i="79" s="1"/>
  <c r="N51" i="79"/>
  <c r="M51" i="79"/>
  <c r="T51" i="79" s="1"/>
  <c r="L51" i="79"/>
  <c r="S51" i="79" s="1"/>
  <c r="AG51" i="79" s="1"/>
  <c r="I51" i="79"/>
  <c r="AD51" i="79" s="1"/>
  <c r="AB50" i="79"/>
  <c r="AA50" i="79"/>
  <c r="Z50" i="79"/>
  <c r="P50" i="79"/>
  <c r="N50" i="79"/>
  <c r="U50" i="79" s="1"/>
  <c r="AI50" i="79" s="1"/>
  <c r="M50" i="79"/>
  <c r="T50" i="79" s="1"/>
  <c r="L50" i="79"/>
  <c r="S50" i="79" s="1"/>
  <c r="AG50" i="79" s="1"/>
  <c r="I50" i="79"/>
  <c r="AD50" i="79" s="1"/>
  <c r="AB49" i="79"/>
  <c r="AA49" i="79"/>
  <c r="Z49" i="79"/>
  <c r="P49" i="79"/>
  <c r="N49" i="79"/>
  <c r="U49" i="79" s="1"/>
  <c r="AI49" i="79" s="1"/>
  <c r="M49" i="79"/>
  <c r="T49" i="79" s="1"/>
  <c r="AH49" i="79" s="1"/>
  <c r="L49" i="79"/>
  <c r="S49" i="79" s="1"/>
  <c r="AG49" i="79" s="1"/>
  <c r="I49" i="79"/>
  <c r="AB48" i="79"/>
  <c r="AA48" i="79"/>
  <c r="Z48" i="79"/>
  <c r="N48" i="79"/>
  <c r="U48" i="79" s="1"/>
  <c r="AI48" i="79" s="1"/>
  <c r="M48" i="79"/>
  <c r="P48" i="79" s="1"/>
  <c r="L48" i="79"/>
  <c r="S48" i="79" s="1"/>
  <c r="AG48" i="79" s="1"/>
  <c r="I48" i="79"/>
  <c r="AD48" i="79" s="1"/>
  <c r="AB47" i="79"/>
  <c r="AA47" i="79"/>
  <c r="Z47" i="79"/>
  <c r="U47" i="79"/>
  <c r="AI47" i="79" s="1"/>
  <c r="P47" i="79"/>
  <c r="N47" i="79"/>
  <c r="M47" i="79"/>
  <c r="L47" i="79"/>
  <c r="S47" i="79" s="1"/>
  <c r="AG47" i="79" s="1"/>
  <c r="I47" i="79"/>
  <c r="AD47" i="79" s="1"/>
  <c r="AB46" i="79"/>
  <c r="AA46" i="79"/>
  <c r="Z46" i="79"/>
  <c r="P46" i="79"/>
  <c r="N46" i="79"/>
  <c r="U46" i="79" s="1"/>
  <c r="AI46" i="79" s="1"/>
  <c r="M46" i="79"/>
  <c r="L46" i="79"/>
  <c r="S46" i="79" s="1"/>
  <c r="AG46" i="79" s="1"/>
  <c r="I46" i="79"/>
  <c r="AD38" i="79" s="1"/>
  <c r="AB45" i="79"/>
  <c r="AA45" i="79"/>
  <c r="Z45" i="79"/>
  <c r="N45" i="79"/>
  <c r="U45" i="79" s="1"/>
  <c r="AI45" i="79" s="1"/>
  <c r="M45" i="79"/>
  <c r="P45" i="79" s="1"/>
  <c r="L45" i="79"/>
  <c r="S45" i="79" s="1"/>
  <c r="AG45" i="79" s="1"/>
  <c r="I45" i="79"/>
  <c r="N44" i="79"/>
  <c r="U44" i="79" s="1"/>
  <c r="AI44" i="79" s="1"/>
  <c r="M44" i="79"/>
  <c r="P44" i="79" s="1"/>
  <c r="L44" i="79"/>
  <c r="S44" i="79" s="1"/>
  <c r="AG44" i="79" s="1"/>
  <c r="I44" i="79"/>
  <c r="U43" i="79"/>
  <c r="AI43" i="79" s="1"/>
  <c r="P43" i="79"/>
  <c r="N43" i="79"/>
  <c r="M43" i="79"/>
  <c r="T43" i="79" s="1"/>
  <c r="L43" i="79"/>
  <c r="S43" i="79" s="1"/>
  <c r="AG43" i="79" s="1"/>
  <c r="I43" i="79"/>
  <c r="W42" i="79"/>
  <c r="AK42" i="79" s="1"/>
  <c r="P42" i="79"/>
  <c r="N42" i="79"/>
  <c r="U42" i="79" s="1"/>
  <c r="AI42" i="79" s="1"/>
  <c r="M42" i="79"/>
  <c r="T42" i="79" s="1"/>
  <c r="AH42" i="79" s="1"/>
  <c r="L42" i="79"/>
  <c r="S42" i="79" s="1"/>
  <c r="AG42" i="79" s="1"/>
  <c r="I42" i="79"/>
  <c r="S41" i="79"/>
  <c r="AG41" i="79" s="1"/>
  <c r="N41" i="79"/>
  <c r="U41" i="79" s="1"/>
  <c r="AI41" i="79" s="1"/>
  <c r="M41" i="79"/>
  <c r="P41" i="79" s="1"/>
  <c r="L41" i="79"/>
  <c r="I41" i="79"/>
  <c r="T40" i="79"/>
  <c r="W40" i="79" s="1"/>
  <c r="AK40" i="79" s="1"/>
  <c r="N40" i="79"/>
  <c r="U40" i="79" s="1"/>
  <c r="AI40" i="79" s="1"/>
  <c r="M40" i="79"/>
  <c r="P40" i="79" s="1"/>
  <c r="L40" i="79"/>
  <c r="I40" i="79"/>
  <c r="AP39" i="79"/>
  <c r="AP40" i="79" s="1"/>
  <c r="AP41" i="79" s="1"/>
  <c r="AP42" i="79" s="1"/>
  <c r="AP43" i="79" s="1"/>
  <c r="AP44" i="79" s="1"/>
  <c r="AP45" i="79" s="1"/>
  <c r="AP46" i="79" s="1"/>
  <c r="AP47" i="79" s="1"/>
  <c r="AP48" i="79" s="1"/>
  <c r="AP49" i="79" s="1"/>
  <c r="AP50" i="79" s="1"/>
  <c r="AP51" i="79" s="1"/>
  <c r="AP52" i="79" s="1"/>
  <c r="AB39" i="79"/>
  <c r="AA39" i="79"/>
  <c r="Z39" i="79"/>
  <c r="P39" i="79"/>
  <c r="N39" i="79"/>
  <c r="U39" i="79" s="1"/>
  <c r="AI39" i="79" s="1"/>
  <c r="M39" i="79"/>
  <c r="T39" i="79" s="1"/>
  <c r="L39" i="79"/>
  <c r="I39" i="79"/>
  <c r="AB38" i="79"/>
  <c r="AA38" i="79"/>
  <c r="Z38" i="79"/>
  <c r="P38" i="79"/>
  <c r="N38" i="79"/>
  <c r="U38" i="79" s="1"/>
  <c r="AI38" i="79" s="1"/>
  <c r="M38" i="79"/>
  <c r="T38" i="79" s="1"/>
  <c r="AH38" i="79" s="1"/>
  <c r="L38" i="79"/>
  <c r="I38" i="79"/>
  <c r="AB37" i="79"/>
  <c r="AA37" i="79"/>
  <c r="Z37" i="79"/>
  <c r="S37" i="79"/>
  <c r="AG37" i="79" s="1"/>
  <c r="N37" i="79"/>
  <c r="M37" i="79"/>
  <c r="P37" i="79" s="1"/>
  <c r="L37" i="79"/>
  <c r="S31" i="79" s="1"/>
  <c r="I37" i="79"/>
  <c r="AD37" i="79" s="1"/>
  <c r="AB36" i="79"/>
  <c r="AA36" i="79"/>
  <c r="AA31" i="79" s="1"/>
  <c r="AD31" i="79" s="1"/>
  <c r="Z36" i="79"/>
  <c r="N36" i="79"/>
  <c r="U36" i="79" s="1"/>
  <c r="AI36" i="79" s="1"/>
  <c r="M36" i="79"/>
  <c r="P36" i="79" s="1"/>
  <c r="L36" i="79"/>
  <c r="I36" i="79"/>
  <c r="AP35" i="79"/>
  <c r="AP36" i="79" s="1"/>
  <c r="AP37" i="79" s="1"/>
  <c r="AP38" i="79" s="1"/>
  <c r="AN35" i="79"/>
  <c r="AN36" i="79" s="1"/>
  <c r="AN37" i="79" s="1"/>
  <c r="AN38" i="79" s="1"/>
  <c r="AN39" i="79" s="1"/>
  <c r="AN40" i="79" s="1"/>
  <c r="AN41" i="79" s="1"/>
  <c r="AN42" i="79" s="1"/>
  <c r="AN43" i="79" s="1"/>
  <c r="AN44" i="79" s="1"/>
  <c r="AN45" i="79" s="1"/>
  <c r="AN46" i="79" s="1"/>
  <c r="AN47" i="79" s="1"/>
  <c r="AN48" i="79" s="1"/>
  <c r="AN49" i="79" s="1"/>
  <c r="AN50" i="79" s="1"/>
  <c r="AN51" i="79" s="1"/>
  <c r="AN52" i="79" s="1"/>
  <c r="AB35" i="79"/>
  <c r="AA35" i="79"/>
  <c r="Z35" i="79"/>
  <c r="P35" i="79"/>
  <c r="N35" i="79"/>
  <c r="U35" i="79" s="1"/>
  <c r="AI35" i="79" s="1"/>
  <c r="M35" i="79"/>
  <c r="T35" i="79" s="1"/>
  <c r="L35" i="79"/>
  <c r="I35"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D34" i="79"/>
  <c r="AB34" i="79"/>
  <c r="AA34" i="79"/>
  <c r="Z34" i="79"/>
  <c r="P34" i="79"/>
  <c r="N34" i="79"/>
  <c r="M34" i="79"/>
  <c r="L34" i="79"/>
  <c r="S34" i="79" s="1"/>
  <c r="AG34" i="79" s="1"/>
  <c r="I34" i="79"/>
  <c r="AB33" i="79"/>
  <c r="AA33" i="79"/>
  <c r="Z33" i="79"/>
  <c r="N33" i="79"/>
  <c r="U33" i="79" s="1"/>
  <c r="AI33" i="79" s="1"/>
  <c r="M33" i="79"/>
  <c r="P33" i="79" s="1"/>
  <c r="L33" i="79"/>
  <c r="S33" i="79" s="1"/>
  <c r="AG33" i="79" s="1"/>
  <c r="I33" i="79"/>
  <c r="AD33" i="79" s="1"/>
  <c r="T31" i="79"/>
  <c r="W31" i="79" s="1"/>
  <c r="L31" i="79"/>
  <c r="G31" i="79"/>
  <c r="F31" i="79"/>
  <c r="I31" i="79" s="1"/>
  <c r="E31" i="79"/>
  <c r="AD24" i="79"/>
  <c r="AC24" i="79"/>
  <c r="AB24" i="79"/>
  <c r="AA24" i="79"/>
  <c r="Z24" i="79"/>
  <c r="Y24" i="79"/>
  <c r="W24" i="79"/>
  <c r="O24" i="79"/>
  <c r="N24" i="79"/>
  <c r="M24" i="79"/>
  <c r="P24" i="79" s="1"/>
  <c r="L24" i="79"/>
  <c r="K24" i="79"/>
  <c r="I24" i="79"/>
  <c r="AG23" i="79"/>
  <c r="AC23" i="79"/>
  <c r="AB23" i="79"/>
  <c r="AA23" i="79"/>
  <c r="AD23" i="79" s="1"/>
  <c r="Z23" i="79"/>
  <c r="Y23" i="79"/>
  <c r="V23" i="79"/>
  <c r="AJ23" i="79" s="1"/>
  <c r="S23" i="79"/>
  <c r="R23" i="79"/>
  <c r="AF23" i="79" s="1"/>
  <c r="O23" i="79"/>
  <c r="N23" i="79"/>
  <c r="U23" i="79" s="1"/>
  <c r="AI23" i="79" s="1"/>
  <c r="M23" i="79"/>
  <c r="T23" i="79" s="1"/>
  <c r="AH23" i="79" s="1"/>
  <c r="L23" i="79"/>
  <c r="K23" i="79"/>
  <c r="I23" i="79"/>
  <c r="AC22" i="79"/>
  <c r="AB22" i="79"/>
  <c r="AA22" i="79"/>
  <c r="AD22" i="79" s="1"/>
  <c r="Z22" i="79"/>
  <c r="Y22" i="79"/>
  <c r="U22" i="79"/>
  <c r="AI22" i="79" s="1"/>
  <c r="P22" i="79"/>
  <c r="O22" i="79"/>
  <c r="V22" i="79" s="1"/>
  <c r="AJ22" i="79" s="1"/>
  <c r="N22" i="79"/>
  <c r="M22" i="79"/>
  <c r="L22" i="79"/>
  <c r="S22" i="79" s="1"/>
  <c r="AG22" i="79" s="1"/>
  <c r="K22" i="79"/>
  <c r="R22" i="79" s="1"/>
  <c r="AF22" i="79" s="1"/>
  <c r="I22" i="79"/>
  <c r="AD21" i="79"/>
  <c r="AC21" i="79"/>
  <c r="AB21" i="79"/>
  <c r="AA21" i="79"/>
  <c r="Z21" i="79"/>
  <c r="Y21" i="79"/>
  <c r="S21" i="79"/>
  <c r="AG21" i="79" s="1"/>
  <c r="O21" i="79"/>
  <c r="N21" i="79"/>
  <c r="U21" i="79" s="1"/>
  <c r="AI21" i="79" s="1"/>
  <c r="M21" i="79"/>
  <c r="P21" i="79" s="1"/>
  <c r="L21" i="79"/>
  <c r="K21" i="79"/>
  <c r="R21" i="79" s="1"/>
  <c r="AF21" i="79" s="1"/>
  <c r="I21" i="79"/>
  <c r="AC20" i="79"/>
  <c r="AB20" i="79"/>
  <c r="AA20" i="79"/>
  <c r="AD20" i="79" s="1"/>
  <c r="Z20" i="79"/>
  <c r="Y20" i="79"/>
  <c r="V20" i="79"/>
  <c r="AJ20" i="79" s="1"/>
  <c r="S20" i="79"/>
  <c r="AG20" i="79" s="1"/>
  <c r="R20" i="79"/>
  <c r="AF20" i="79" s="1"/>
  <c r="O20" i="79"/>
  <c r="N20" i="79"/>
  <c r="U20" i="79" s="1"/>
  <c r="AI20" i="79" s="1"/>
  <c r="M20" i="79"/>
  <c r="P20" i="79" s="1"/>
  <c r="L20" i="79"/>
  <c r="K20" i="79"/>
  <c r="I20" i="79"/>
  <c r="AD19" i="79"/>
  <c r="AC19" i="79"/>
  <c r="AB19" i="79"/>
  <c r="AA19" i="79"/>
  <c r="Z19" i="79"/>
  <c r="Z3" i="79" s="1"/>
  <c r="Y19" i="79"/>
  <c r="U19" i="79"/>
  <c r="AI19" i="79" s="1"/>
  <c r="P19" i="79"/>
  <c r="O19" i="79"/>
  <c r="N19" i="79"/>
  <c r="M19" i="79"/>
  <c r="T19" i="79" s="1"/>
  <c r="L19" i="79"/>
  <c r="S19" i="79" s="1"/>
  <c r="AG19" i="79" s="1"/>
  <c r="K19" i="79"/>
  <c r="I19" i="79"/>
  <c r="AD18" i="79"/>
  <c r="AC18" i="79"/>
  <c r="AC3" i="79" s="1"/>
  <c r="AB18" i="79"/>
  <c r="AA18" i="79"/>
  <c r="Z18" i="79"/>
  <c r="Y18" i="79"/>
  <c r="Y3" i="79" s="1"/>
  <c r="T18" i="79"/>
  <c r="W18" i="79" s="1"/>
  <c r="AK18" i="79" s="1"/>
  <c r="P18" i="79"/>
  <c r="O18" i="79"/>
  <c r="V18" i="79" s="1"/>
  <c r="AJ18" i="79" s="1"/>
  <c r="N18" i="79"/>
  <c r="M18" i="79"/>
  <c r="L18" i="79"/>
  <c r="S18" i="79" s="1"/>
  <c r="AG18" i="79" s="1"/>
  <c r="K18" i="79"/>
  <c r="R18" i="79" s="1"/>
  <c r="AF18" i="79" s="1"/>
  <c r="I18" i="79"/>
  <c r="AC17" i="79"/>
  <c r="AB17" i="79"/>
  <c r="AA17" i="79"/>
  <c r="AD17" i="79" s="1"/>
  <c r="Z17" i="79"/>
  <c r="Y17" i="79"/>
  <c r="S17" i="79"/>
  <c r="AG17" i="79" s="1"/>
  <c r="O17" i="79"/>
  <c r="V17" i="79" s="1"/>
  <c r="AJ17" i="79" s="1"/>
  <c r="N17" i="79"/>
  <c r="U17" i="79" s="1"/>
  <c r="AI17" i="79" s="1"/>
  <c r="M17" i="79"/>
  <c r="P17" i="79" s="1"/>
  <c r="L17" i="79"/>
  <c r="K17" i="79"/>
  <c r="R17" i="79" s="1"/>
  <c r="AF17" i="79" s="1"/>
  <c r="I17" i="79"/>
  <c r="T16" i="79"/>
  <c r="W16" i="79" s="1"/>
  <c r="AK16" i="79" s="1"/>
  <c r="P16" i="79"/>
  <c r="O16" i="79"/>
  <c r="V16" i="79" s="1"/>
  <c r="AJ16" i="79" s="1"/>
  <c r="N16" i="79"/>
  <c r="M16" i="79"/>
  <c r="L16" i="79"/>
  <c r="S16" i="79" s="1"/>
  <c r="AG16" i="79" s="1"/>
  <c r="K16" i="79"/>
  <c r="R16" i="79" s="1"/>
  <c r="AF16" i="79" s="1"/>
  <c r="I16" i="79"/>
  <c r="U15" i="79"/>
  <c r="AI15" i="79" s="1"/>
  <c r="P15" i="79"/>
  <c r="O15" i="79"/>
  <c r="N15" i="79"/>
  <c r="M15" i="79"/>
  <c r="T15" i="79" s="1"/>
  <c r="L15" i="79"/>
  <c r="S15" i="79" s="1"/>
  <c r="AG15" i="79" s="1"/>
  <c r="K15" i="79"/>
  <c r="I15" i="79"/>
  <c r="V14" i="79"/>
  <c r="AJ14" i="79" s="1"/>
  <c r="R14" i="79"/>
  <c r="AF14" i="79" s="1"/>
  <c r="O14" i="79"/>
  <c r="N14" i="79"/>
  <c r="U14" i="79" s="1"/>
  <c r="AI14" i="79" s="1"/>
  <c r="M14" i="79"/>
  <c r="P14" i="79" s="1"/>
  <c r="L14" i="79"/>
  <c r="K14" i="79"/>
  <c r="I14" i="79"/>
  <c r="S13" i="79"/>
  <c r="AG13" i="79" s="1"/>
  <c r="O13" i="79"/>
  <c r="V13" i="79" s="1"/>
  <c r="AJ13" i="79" s="1"/>
  <c r="N13" i="79"/>
  <c r="U13" i="79" s="1"/>
  <c r="AI13" i="79" s="1"/>
  <c r="M13" i="79"/>
  <c r="P13" i="79" s="1"/>
  <c r="L13" i="79"/>
  <c r="K13" i="79"/>
  <c r="R13" i="79" s="1"/>
  <c r="AF13" i="79" s="1"/>
  <c r="I13" i="79"/>
  <c r="T12" i="79"/>
  <c r="W12" i="79" s="1"/>
  <c r="AK12" i="79" s="1"/>
  <c r="P12" i="79"/>
  <c r="O12" i="79"/>
  <c r="V12" i="79" s="1"/>
  <c r="AJ12" i="79" s="1"/>
  <c r="N12" i="79"/>
  <c r="M12" i="79"/>
  <c r="L12" i="79"/>
  <c r="S12" i="79" s="1"/>
  <c r="AG12" i="79" s="1"/>
  <c r="K12" i="79"/>
  <c r="R12" i="79" s="1"/>
  <c r="AF12" i="79" s="1"/>
  <c r="I12" i="79"/>
  <c r="AC11" i="79"/>
  <c r="AB11" i="79"/>
  <c r="AB3" i="79" s="1"/>
  <c r="AA11" i="79"/>
  <c r="AD11" i="79" s="1"/>
  <c r="Z11" i="79"/>
  <c r="Y11" i="79"/>
  <c r="S11" i="79"/>
  <c r="AG11" i="79" s="1"/>
  <c r="O11" i="79"/>
  <c r="V11" i="79" s="1"/>
  <c r="AJ11" i="79" s="1"/>
  <c r="N11" i="79"/>
  <c r="U11" i="79" s="1"/>
  <c r="AI11" i="79" s="1"/>
  <c r="M11" i="79"/>
  <c r="P11" i="79" s="1"/>
  <c r="L11" i="79"/>
  <c r="K11" i="79"/>
  <c r="R11" i="79" s="1"/>
  <c r="AF11" i="79" s="1"/>
  <c r="I11" i="79"/>
  <c r="AC10" i="79"/>
  <c r="AB10" i="79"/>
  <c r="AA10" i="79"/>
  <c r="AD10" i="79" s="1"/>
  <c r="Z10" i="79"/>
  <c r="Y10" i="79"/>
  <c r="V10" i="79"/>
  <c r="AJ10" i="79" s="1"/>
  <c r="R10" i="79"/>
  <c r="AF10" i="79" s="1"/>
  <c r="O10" i="79"/>
  <c r="N10" i="79"/>
  <c r="U10" i="79" s="1"/>
  <c r="AI10" i="79" s="1"/>
  <c r="M10" i="79"/>
  <c r="P10" i="79" s="1"/>
  <c r="L10" i="79"/>
  <c r="K10" i="79"/>
  <c r="I10" i="79"/>
  <c r="AD9" i="79"/>
  <c r="AC9" i="79"/>
  <c r="AB9" i="79"/>
  <c r="AA9" i="79"/>
  <c r="Z9" i="79"/>
  <c r="Y9" i="79"/>
  <c r="U9" i="79"/>
  <c r="AI9" i="79" s="1"/>
  <c r="P9" i="79"/>
  <c r="O9" i="79"/>
  <c r="N9" i="79"/>
  <c r="M9" i="79"/>
  <c r="T9" i="79" s="1"/>
  <c r="L9" i="79"/>
  <c r="S9" i="79" s="1"/>
  <c r="AG9" i="79" s="1"/>
  <c r="K9" i="79"/>
  <c r="I9" i="79"/>
  <c r="AQ8" i="79"/>
  <c r="AQ9" i="79" s="1"/>
  <c r="AQ10" i="79" s="1"/>
  <c r="AQ11" i="79" s="1"/>
  <c r="AQ12" i="79" s="1"/>
  <c r="AQ13" i="79" s="1"/>
  <c r="AQ14" i="79" s="1"/>
  <c r="AQ15" i="79" s="1"/>
  <c r="AQ16" i="79" s="1"/>
  <c r="AQ17" i="79" s="1"/>
  <c r="AQ18" i="79" s="1"/>
  <c r="AQ19" i="79" s="1"/>
  <c r="AQ20" i="79" s="1"/>
  <c r="AQ21" i="79" s="1"/>
  <c r="AQ22" i="79" s="1"/>
  <c r="AQ23" i="79" s="1"/>
  <c r="AQ24" i="79" s="1"/>
  <c r="AM8" i="79"/>
  <c r="AM9" i="79" s="1"/>
  <c r="AM10" i="79" s="1"/>
  <c r="AM11" i="79" s="1"/>
  <c r="AM12" i="79" s="1"/>
  <c r="AM13" i="79" s="1"/>
  <c r="AM14" i="79" s="1"/>
  <c r="AM15" i="79" s="1"/>
  <c r="AM16" i="79" s="1"/>
  <c r="AM17" i="79" s="1"/>
  <c r="AM18" i="79" s="1"/>
  <c r="AM19" i="79" s="1"/>
  <c r="AM20" i="79" s="1"/>
  <c r="AM21" i="79" s="1"/>
  <c r="AM22" i="79" s="1"/>
  <c r="AM23" i="79" s="1"/>
  <c r="AM24" i="79" s="1"/>
  <c r="AD8" i="79"/>
  <c r="AC8" i="79"/>
  <c r="AB8" i="79"/>
  <c r="AA8" i="79"/>
  <c r="Z8" i="79"/>
  <c r="Y8" i="79"/>
  <c r="T8" i="79"/>
  <c r="W8" i="79" s="1"/>
  <c r="AK8" i="79" s="1"/>
  <c r="P8" i="79"/>
  <c r="O8" i="79"/>
  <c r="V8" i="79" s="1"/>
  <c r="AJ8" i="79" s="1"/>
  <c r="N8" i="79"/>
  <c r="M8" i="79"/>
  <c r="L8" i="79"/>
  <c r="S8" i="79" s="1"/>
  <c r="AG8" i="79" s="1"/>
  <c r="K8" i="79"/>
  <c r="R8" i="79" s="1"/>
  <c r="AF8" i="79" s="1"/>
  <c r="I8" i="79"/>
  <c r="AQ7" i="79"/>
  <c r="AP7" i="79"/>
  <c r="AP8" i="79" s="1"/>
  <c r="AP9" i="79" s="1"/>
  <c r="AP10" i="79" s="1"/>
  <c r="AP11" i="79" s="1"/>
  <c r="AP12" i="79" s="1"/>
  <c r="AP13" i="79" s="1"/>
  <c r="AP14" i="79" s="1"/>
  <c r="AP15" i="79" s="1"/>
  <c r="AP16" i="79" s="1"/>
  <c r="AP17" i="79" s="1"/>
  <c r="AP18" i="79" s="1"/>
  <c r="AP19" i="79" s="1"/>
  <c r="AP20" i="79" s="1"/>
  <c r="AP21" i="79" s="1"/>
  <c r="AP22" i="79" s="1"/>
  <c r="AP23" i="79" s="1"/>
  <c r="AP24" i="79" s="1"/>
  <c r="AM7" i="79"/>
  <c r="AC7" i="79"/>
  <c r="AB7" i="79"/>
  <c r="AA7" i="79"/>
  <c r="AD7" i="79" s="1"/>
  <c r="Z7" i="79"/>
  <c r="Y7" i="79"/>
  <c r="S7" i="79"/>
  <c r="AG7" i="79" s="1"/>
  <c r="O7" i="79"/>
  <c r="V7" i="79" s="1"/>
  <c r="AJ7" i="79" s="1"/>
  <c r="N7" i="79"/>
  <c r="U7" i="79" s="1"/>
  <c r="AI7" i="79" s="1"/>
  <c r="M7" i="79"/>
  <c r="P7" i="79" s="1"/>
  <c r="L7" i="79"/>
  <c r="K7" i="79"/>
  <c r="R7" i="79" s="1"/>
  <c r="AF7" i="79" s="1"/>
  <c r="I7" i="79"/>
  <c r="AQ6" i="79"/>
  <c r="AP6" i="79"/>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C6" i="79"/>
  <c r="AB6" i="79"/>
  <c r="AA6" i="79"/>
  <c r="AD6" i="79" s="1"/>
  <c r="Z6" i="79"/>
  <c r="Y6" i="79"/>
  <c r="V6" i="79"/>
  <c r="AJ6" i="79" s="1"/>
  <c r="R6" i="79"/>
  <c r="AF6" i="79" s="1"/>
  <c r="O6" i="79"/>
  <c r="N6" i="79"/>
  <c r="U6" i="79" s="1"/>
  <c r="AI6" i="79" s="1"/>
  <c r="M6" i="79"/>
  <c r="P6" i="79" s="1"/>
  <c r="L6" i="79"/>
  <c r="K6" i="79"/>
  <c r="I6" i="79"/>
  <c r="AC5" i="79"/>
  <c r="AB5" i="79"/>
  <c r="AA5" i="79"/>
  <c r="AD5" i="79" s="1"/>
  <c r="Z5" i="79"/>
  <c r="Y5" i="79"/>
  <c r="S5" i="79"/>
  <c r="AG5" i="79" s="1"/>
  <c r="O5" i="79"/>
  <c r="V5" i="79" s="1"/>
  <c r="AJ5" i="79" s="1"/>
  <c r="N5" i="79"/>
  <c r="U3" i="79" s="1"/>
  <c r="M5" i="79"/>
  <c r="P5" i="79" s="1"/>
  <c r="L5" i="79"/>
  <c r="K5" i="79"/>
  <c r="R5" i="79" s="1"/>
  <c r="AF5" i="79" s="1"/>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AA3" i="79"/>
  <c r="AD3" i="79" s="1"/>
  <c r="V3" i="79"/>
  <c r="R3" i="79"/>
  <c r="M3" i="79"/>
  <c r="P3" i="79" s="1"/>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s="1"/>
  <c r="D100" i="43"/>
  <c r="N99" i="43"/>
  <c r="M99" i="43"/>
  <c r="K99" i="43"/>
  <c r="J99" i="43"/>
  <c r="D99" i="43"/>
  <c r="M98" i="43"/>
  <c r="N98" i="43" s="1"/>
  <c r="K98" i="43"/>
  <c r="J98" i="43" s="1"/>
  <c r="D98" i="43"/>
  <c r="N97" i="43"/>
  <c r="M97" i="43"/>
  <c r="K97" i="43"/>
  <c r="J97" i="43"/>
  <c r="D97" i="43"/>
  <c r="M96" i="43"/>
  <c r="N96" i="43" s="1"/>
  <c r="K96" i="43"/>
  <c r="J96" i="43" s="1"/>
  <c r="D96" i="43"/>
  <c r="M95" i="43"/>
  <c r="N95" i="43" s="1"/>
  <c r="K95" i="43"/>
  <c r="J95" i="43" s="1"/>
  <c r="D95" i="43"/>
  <c r="B95" i="43"/>
  <c r="N94" i="43"/>
  <c r="M94" i="43"/>
  <c r="K94" i="43"/>
  <c r="J94" i="43"/>
  <c r="D94" i="43"/>
  <c r="M93" i="43"/>
  <c r="N93" i="43" s="1"/>
  <c r="K93" i="43"/>
  <c r="J93" i="43" s="1"/>
  <c r="F93" i="43"/>
  <c r="H98" i="43" s="1"/>
  <c r="E93" i="43"/>
  <c r="B91" i="43" s="1"/>
  <c r="D93" i="43"/>
  <c r="M90" i="43"/>
  <c r="N90" i="43" s="1"/>
  <c r="K90" i="43"/>
  <c r="J90" i="43" s="1"/>
  <c r="D90" i="43"/>
  <c r="N89" i="43"/>
  <c r="M89" i="43"/>
  <c r="K89" i="43"/>
  <c r="J89" i="43"/>
  <c r="D89" i="43"/>
  <c r="M88" i="43"/>
  <c r="N88" i="43" s="1"/>
  <c r="K88" i="43"/>
  <c r="J88" i="43" s="1"/>
  <c r="D88" i="43"/>
  <c r="N87" i="43"/>
  <c r="M87" i="43"/>
  <c r="K87" i="43"/>
  <c r="J87" i="43"/>
  <c r="D87" i="43"/>
  <c r="M86" i="43"/>
  <c r="N86" i="43" s="1"/>
  <c r="K86" i="43"/>
  <c r="J86" i="43" s="1"/>
  <c r="D86" i="43"/>
  <c r="B86" i="43"/>
  <c r="N85" i="43"/>
  <c r="M85" i="43"/>
  <c r="K85" i="43"/>
  <c r="J85" i="43"/>
  <c r="D85" i="43"/>
  <c r="E83" i="43" s="1"/>
  <c r="B81" i="43" s="1"/>
  <c r="B85" i="43"/>
  <c r="M84" i="43"/>
  <c r="N84" i="43" s="1"/>
  <c r="K84" i="43"/>
  <c r="J84" i="43" s="1"/>
  <c r="D84" i="43"/>
  <c r="N83" i="43"/>
  <c r="M83" i="43"/>
  <c r="K83" i="43"/>
  <c r="J83" i="43"/>
  <c r="F83" i="43"/>
  <c r="H85" i="43" s="1"/>
  <c r="D83" i="43"/>
  <c r="N80" i="43"/>
  <c r="M80" i="43"/>
  <c r="K80" i="43"/>
  <c r="J80" i="43"/>
  <c r="D80" i="43"/>
  <c r="M79" i="43"/>
  <c r="N79" i="43" s="1"/>
  <c r="K79" i="43"/>
  <c r="J79" i="43" s="1"/>
  <c r="D79" i="43"/>
  <c r="N78" i="43"/>
  <c r="M78" i="43"/>
  <c r="K78" i="43"/>
  <c r="J78" i="43" s="1"/>
  <c r="D78" i="43"/>
  <c r="N77" i="43"/>
  <c r="M77" i="43"/>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s="1"/>
  <c r="F72" i="43"/>
  <c r="H80" i="43" s="1"/>
  <c r="E72" i="43"/>
  <c r="B70" i="43" s="1"/>
  <c r="D72" i="43"/>
  <c r="N69" i="43"/>
  <c r="M69" i="43"/>
  <c r="K69" i="43"/>
  <c r="J69" i="43"/>
  <c r="D69" i="43"/>
  <c r="M68" i="43"/>
  <c r="N68" i="43" s="1"/>
  <c r="K68" i="43"/>
  <c r="J68" i="43" s="1"/>
  <c r="D68" i="43"/>
  <c r="N67" i="43"/>
  <c r="M67" i="43"/>
  <c r="K67" i="43"/>
  <c r="J67" i="43"/>
  <c r="D67" i="43"/>
  <c r="M66" i="43"/>
  <c r="N66" i="43" s="1"/>
  <c r="K66" i="43"/>
  <c r="J66" i="43" s="1"/>
  <c r="D66" i="43"/>
  <c r="M65" i="43"/>
  <c r="N65" i="43" s="1"/>
  <c r="K65" i="43"/>
  <c r="J65" i="43" s="1"/>
  <c r="D65" i="43"/>
  <c r="N64" i="43"/>
  <c r="M64" i="43"/>
  <c r="K64" i="43"/>
  <c r="J64" i="43"/>
  <c r="D64" i="43"/>
  <c r="M63" i="43"/>
  <c r="N63" i="43" s="1"/>
  <c r="K63" i="43"/>
  <c r="J63" i="43" s="1"/>
  <c r="D63" i="43"/>
  <c r="B63" i="43"/>
  <c r="N62" i="43"/>
  <c r="M62" i="43"/>
  <c r="K62" i="43"/>
  <c r="J62" i="43" s="1"/>
  <c r="D62" i="43"/>
  <c r="N61" i="43"/>
  <c r="M61" i="43"/>
  <c r="K61" i="43"/>
  <c r="J61" i="43" s="1"/>
  <c r="F61" i="43"/>
  <c r="H69" i="43" s="1"/>
  <c r="D61" i="43"/>
  <c r="E61" i="43" s="1"/>
  <c r="B59" i="43" s="1"/>
  <c r="D54" i="43"/>
  <c r="B52" i="43"/>
  <c r="B50" i="43"/>
  <c r="H42" i="43"/>
  <c r="H41" i="43"/>
  <c r="H40" i="43"/>
  <c r="H39" i="43"/>
  <c r="H38" i="43"/>
  <c r="H37" i="43"/>
  <c r="P32" i="43"/>
  <c r="O32" i="43"/>
  <c r="N32" i="43"/>
  <c r="J24" i="43"/>
  <c r="I18" i="43" s="1"/>
  <c r="G24" i="43"/>
  <c r="E44" i="43" s="1"/>
  <c r="C44" i="43" s="1"/>
  <c r="E24" i="43"/>
  <c r="Q32" i="43" s="1"/>
  <c r="I23" i="43"/>
  <c r="C22" i="43"/>
  <c r="G18" i="43"/>
  <c r="G17" i="43"/>
  <c r="C17" i="43"/>
  <c r="C13" i="43"/>
  <c r="AI10" i="43"/>
  <c r="AH10" i="43"/>
  <c r="AE10" i="43"/>
  <c r="AD10" i="43"/>
  <c r="AA10" i="43"/>
  <c r="Z10" i="43"/>
  <c r="Y10" i="43"/>
  <c r="C10" i="43"/>
  <c r="C11" i="43" s="1"/>
  <c r="AJ9" i="43"/>
  <c r="AJ10" i="43" s="1"/>
  <c r="AI9" i="43"/>
  <c r="AH9" i="43"/>
  <c r="AG9" i="43"/>
  <c r="AG10" i="43" s="1"/>
  <c r="AF9" i="43"/>
  <c r="AF10" i="43" s="1"/>
  <c r="AE9" i="43"/>
  <c r="AD9" i="43"/>
  <c r="AC9" i="43"/>
  <c r="AC10" i="43" s="1"/>
  <c r="AB9" i="43"/>
  <c r="AB10" i="43" s="1"/>
  <c r="AA9" i="43"/>
  <c r="Z9" i="43"/>
  <c r="C9" i="43"/>
  <c r="G3" i="43"/>
  <c r="I2" i="43"/>
  <c r="N11" i="43" s="1"/>
  <c r="G2" i="43"/>
  <c r="C27" i="43" s="1"/>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P12" i="31"/>
  <c r="Q12" i="31" s="1"/>
  <c r="R12" i="31" s="1"/>
  <c r="S12" i="31" s="1"/>
  <c r="I12" i="31"/>
  <c r="J12" i="31" s="1"/>
  <c r="K12" i="31" s="1"/>
  <c r="L12" i="31" s="1"/>
  <c r="M12" i="31" s="1"/>
  <c r="N12" i="31" s="1"/>
  <c r="O12" i="31" s="1"/>
  <c r="E12" i="31"/>
  <c r="F12" i="31" s="1"/>
  <c r="G12" i="31" s="1"/>
  <c r="H12" i="31" s="1"/>
  <c r="D12" i="31"/>
  <c r="N10" i="31"/>
  <c r="O10" i="31" s="1"/>
  <c r="P10" i="31" s="1"/>
  <c r="Q10" i="31" s="1"/>
  <c r="R10" i="31" s="1"/>
  <c r="S10" i="31" s="1"/>
  <c r="F10" i="31"/>
  <c r="G10" i="31" s="1"/>
  <c r="H10" i="31" s="1"/>
  <c r="I10" i="31" s="1"/>
  <c r="J10" i="31" s="1"/>
  <c r="K10" i="31" s="1"/>
  <c r="L10" i="31" s="1"/>
  <c r="M10" i="31" s="1"/>
  <c r="D10" i="31"/>
  <c r="E10" i="31" s="1"/>
  <c r="I8" i="31"/>
  <c r="J8" i="31" s="1"/>
  <c r="K8" i="31" s="1"/>
  <c r="L8" i="31" s="1"/>
  <c r="M8" i="31" s="1"/>
  <c r="N8" i="31" s="1"/>
  <c r="O8" i="31" s="1"/>
  <c r="P8" i="31" s="1"/>
  <c r="Q8" i="31" s="1"/>
  <c r="R8" i="31" s="1"/>
  <c r="S8" i="31" s="1"/>
  <c r="E8" i="31"/>
  <c r="F8" i="31" s="1"/>
  <c r="G8" i="31" s="1"/>
  <c r="H8" i="31" s="1"/>
  <c r="D8" i="3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F39" i="40" s="1"/>
  <c r="B116" i="40"/>
  <c r="J115" i="40"/>
  <c r="K115" i="40" s="1"/>
  <c r="L115" i="40" s="1"/>
  <c r="M115" i="40" s="1"/>
  <c r="F115" i="40"/>
  <c r="G115" i="40" s="1"/>
  <c r="H115" i="40" s="1"/>
  <c r="I115" i="40" s="1"/>
  <c r="D115" i="40"/>
  <c r="E115" i="40" s="1"/>
  <c r="D113" i="40"/>
  <c r="E113" i="40" s="1"/>
  <c r="F113" i="40" s="1"/>
  <c r="G113" i="40" s="1"/>
  <c r="H113" i="40" s="1"/>
  <c r="I113" i="40" s="1"/>
  <c r="J113" i="40" s="1"/>
  <c r="K113" i="40" s="1"/>
  <c r="L113" i="40" s="1"/>
  <c r="M113" i="40" s="1"/>
  <c r="H111" i="40"/>
  <c r="I111" i="40" s="1"/>
  <c r="J111" i="40" s="1"/>
  <c r="K111" i="40" s="1"/>
  <c r="L111" i="40" s="1"/>
  <c r="M111" i="40" s="1"/>
  <c r="F111" i="40"/>
  <c r="G111" i="40" s="1"/>
  <c r="D111" i="40"/>
  <c r="E111" i="40" s="1"/>
  <c r="M107" i="40"/>
  <c r="L107" i="40"/>
  <c r="K107" i="40"/>
  <c r="J107" i="40"/>
  <c r="I107" i="40"/>
  <c r="H107" i="40"/>
  <c r="G107" i="40"/>
  <c r="F107" i="40"/>
  <c r="E107" i="40"/>
  <c r="D107" i="40"/>
  <c r="C107" i="40"/>
  <c r="B105" i="40"/>
  <c r="J33" i="40" s="1"/>
  <c r="B103" i="40"/>
  <c r="B101" i="40"/>
  <c r="F31" i="40" s="1"/>
  <c r="J100" i="40"/>
  <c r="K100" i="40" s="1"/>
  <c r="L100" i="40" s="1"/>
  <c r="M100" i="40" s="1"/>
  <c r="D100" i="40"/>
  <c r="E100" i="40" s="1"/>
  <c r="F100" i="40" s="1"/>
  <c r="G100" i="40" s="1"/>
  <c r="H100" i="40" s="1"/>
  <c r="I100" i="40" s="1"/>
  <c r="I98" i="40"/>
  <c r="J98" i="40" s="1"/>
  <c r="K98" i="40" s="1"/>
  <c r="L98" i="40" s="1"/>
  <c r="M98" i="40" s="1"/>
  <c r="D98" i="40"/>
  <c r="E98" i="40" s="1"/>
  <c r="F98" i="40" s="1"/>
  <c r="G98" i="40" s="1"/>
  <c r="H98" i="40" s="1"/>
  <c r="H96" i="40"/>
  <c r="I96" i="40" s="1"/>
  <c r="J96" i="40" s="1"/>
  <c r="K96" i="40" s="1"/>
  <c r="L96" i="40" s="1"/>
  <c r="M96" i="40" s="1"/>
  <c r="F96" i="40"/>
  <c r="G96" i="40" s="1"/>
  <c r="D96" i="40"/>
  <c r="E96" i="40" s="1"/>
  <c r="B95" i="40"/>
  <c r="H27" i="40" s="1"/>
  <c r="U27" i="40" s="1"/>
  <c r="E94" i="40"/>
  <c r="F94" i="40" s="1"/>
  <c r="G94" i="40" s="1"/>
  <c r="D94" i="40"/>
  <c r="G92" i="40"/>
  <c r="D92" i="40"/>
  <c r="E92" i="40" s="1"/>
  <c r="F92" i="40" s="1"/>
  <c r="E90" i="40"/>
  <c r="F90" i="40" s="1"/>
  <c r="G90" i="40" s="1"/>
  <c r="D90" i="40"/>
  <c r="G88" i="40"/>
  <c r="D88" i="40"/>
  <c r="E88" i="40" s="1"/>
  <c r="F88" i="40" s="1"/>
  <c r="E86" i="40"/>
  <c r="F86" i="40" s="1"/>
  <c r="G86" i="40" s="1"/>
  <c r="D86" i="40"/>
  <c r="G84" i="40"/>
  <c r="D84" i="40"/>
  <c r="E84" i="40" s="1"/>
  <c r="F84" i="40" s="1"/>
  <c r="B81" i="40"/>
  <c r="J14" i="40" s="1"/>
  <c r="B79" i="40"/>
  <c r="B77" i="40"/>
  <c r="F12" i="40" s="1"/>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H59" i="40"/>
  <c r="I59" i="40" s="1"/>
  <c r="C59" i="40" s="1"/>
  <c r="H58" i="40"/>
  <c r="I58" i="40" s="1"/>
  <c r="C58" i="40" s="1"/>
  <c r="H57" i="40"/>
  <c r="I57" i="40" s="1"/>
  <c r="C57" i="40" s="1"/>
  <c r="H56" i="40"/>
  <c r="I56" i="40" s="1"/>
  <c r="C56" i="40" s="1"/>
  <c r="H54" i="40"/>
  <c r="I54" i="40" s="1"/>
  <c r="C54" i="40" s="1"/>
  <c r="H53" i="40"/>
  <c r="I53" i="40" s="1"/>
  <c r="C53" i="40" s="1"/>
  <c r="I52" i="40"/>
  <c r="C52" i="40" s="1"/>
  <c r="H52" i="40"/>
  <c r="J48" i="40"/>
  <c r="I48" i="40"/>
  <c r="G48" i="40"/>
  <c r="H48" i="40" s="1"/>
  <c r="E48" i="40"/>
  <c r="F48" i="40" s="1"/>
  <c r="P43" i="40"/>
  <c r="P42" i="40"/>
  <c r="K42" i="40"/>
  <c r="V41" i="40"/>
  <c r="T41" i="40"/>
  <c r="R41" i="40"/>
  <c r="P41" i="40"/>
  <c r="Z40" i="40"/>
  <c r="Q40" i="40"/>
  <c r="J40" i="40"/>
  <c r="W40" i="40" s="1"/>
  <c r="Z39" i="40"/>
  <c r="U39" i="40"/>
  <c r="Q39" i="40"/>
  <c r="J39" i="40"/>
  <c r="W39" i="40" s="1"/>
  <c r="H39" i="40"/>
  <c r="AB39" i="40" s="1"/>
  <c r="Q38" i="40"/>
  <c r="Z38" i="40" s="1"/>
  <c r="H38" i="40"/>
  <c r="AB38" i="40" s="1"/>
  <c r="AB37" i="40"/>
  <c r="Z37" i="40"/>
  <c r="Q37" i="40"/>
  <c r="J37" i="40"/>
  <c r="AC37" i="40" s="1"/>
  <c r="H37" i="40"/>
  <c r="U37" i="40" s="1"/>
  <c r="F37" i="40"/>
  <c r="AA37" i="40" s="1"/>
  <c r="AA36" i="40"/>
  <c r="W36" i="40"/>
  <c r="Q36" i="40"/>
  <c r="Z36" i="40" s="1"/>
  <c r="J36" i="40"/>
  <c r="AC36" i="40" s="1"/>
  <c r="H36" i="40"/>
  <c r="AB36" i="40" s="1"/>
  <c r="F36" i="40"/>
  <c r="S36" i="40" s="1"/>
  <c r="Z35" i="40"/>
  <c r="U35" i="40"/>
  <c r="Q35" i="40"/>
  <c r="J35" i="40"/>
  <c r="W35" i="40" s="1"/>
  <c r="H35" i="40"/>
  <c r="AB35" i="40" s="1"/>
  <c r="F35" i="40"/>
  <c r="AA35" i="40" s="1"/>
  <c r="AB34" i="40"/>
  <c r="W34" i="40"/>
  <c r="Q34" i="40"/>
  <c r="Z34" i="40" s="1"/>
  <c r="J34" i="40"/>
  <c r="AC34" i="40" s="1"/>
  <c r="H34" i="40"/>
  <c r="U34" i="40" s="1"/>
  <c r="F34" i="40"/>
  <c r="AA34" i="40" s="1"/>
  <c r="U33" i="40"/>
  <c r="Q33" i="40"/>
  <c r="Z33" i="40" s="1"/>
  <c r="H33" i="40"/>
  <c r="AB33" i="40" s="1"/>
  <c r="F33" i="40"/>
  <c r="S33" i="40" s="1"/>
  <c r="Q32" i="40"/>
  <c r="Z32" i="40" s="1"/>
  <c r="F32" i="40"/>
  <c r="W31" i="40"/>
  <c r="Q31" i="40"/>
  <c r="Z31" i="40" s="1"/>
  <c r="J31" i="40"/>
  <c r="AC31" i="40" s="1"/>
  <c r="H31" i="40"/>
  <c r="U31" i="40" s="1"/>
  <c r="AB30" i="40"/>
  <c r="Q30" i="40"/>
  <c r="Z30" i="40" s="1"/>
  <c r="J30" i="40"/>
  <c r="H30" i="40"/>
  <c r="U30" i="40" s="1"/>
  <c r="F30" i="40"/>
  <c r="AA30" i="40" s="1"/>
  <c r="C30" i="40"/>
  <c r="AC28" i="40"/>
  <c r="AA28" i="40"/>
  <c r="U28" i="40"/>
  <c r="Q28" i="40"/>
  <c r="Z28" i="40" s="1"/>
  <c r="J28" i="40"/>
  <c r="W28" i="40" s="1"/>
  <c r="H28" i="40"/>
  <c r="AB28" i="40" s="1"/>
  <c r="F28" i="40"/>
  <c r="S28" i="40" s="1"/>
  <c r="C28" i="40"/>
  <c r="AB27" i="40"/>
  <c r="S27" i="40"/>
  <c r="Q27" i="40"/>
  <c r="Z27" i="40" s="1"/>
  <c r="J27" i="40"/>
  <c r="F27" i="40"/>
  <c r="AA27" i="40" s="1"/>
  <c r="AA25" i="40"/>
  <c r="Q25" i="40"/>
  <c r="Z25" i="40" s="1"/>
  <c r="J25" i="40"/>
  <c r="AC25" i="40" s="1"/>
  <c r="H25" i="40"/>
  <c r="F25" i="40"/>
  <c r="S25" i="40" s="1"/>
  <c r="C25" i="40"/>
  <c r="AA23" i="40"/>
  <c r="U23" i="40"/>
  <c r="Q23" i="40"/>
  <c r="Z23" i="40" s="1"/>
  <c r="J23" i="40"/>
  <c r="AC23" i="40" s="1"/>
  <c r="H23" i="40"/>
  <c r="AB23" i="40" s="1"/>
  <c r="F23" i="40"/>
  <c r="S23" i="40" s="1"/>
  <c r="AA21" i="40"/>
  <c r="Q21" i="40"/>
  <c r="Z21" i="40" s="1"/>
  <c r="J21" i="40"/>
  <c r="AC21" i="40" s="1"/>
  <c r="H21" i="40"/>
  <c r="F21" i="40"/>
  <c r="S21" i="40" s="1"/>
  <c r="AA19" i="40"/>
  <c r="U19" i="40"/>
  <c r="Q19" i="40"/>
  <c r="Z19" i="40" s="1"/>
  <c r="J19" i="40"/>
  <c r="AC19" i="40" s="1"/>
  <c r="H19" i="40"/>
  <c r="AB19" i="40" s="1"/>
  <c r="F19" i="40"/>
  <c r="S19" i="40" s="1"/>
  <c r="C19" i="40"/>
  <c r="AA17" i="40"/>
  <c r="Q17" i="40"/>
  <c r="Z17" i="40" s="1"/>
  <c r="J17" i="40"/>
  <c r="AC17" i="40" s="1"/>
  <c r="H17" i="40"/>
  <c r="F17" i="40"/>
  <c r="S17" i="40" s="1"/>
  <c r="AA15" i="40"/>
  <c r="U15" i="40"/>
  <c r="Q15" i="40"/>
  <c r="Z15" i="40" s="1"/>
  <c r="J15" i="40"/>
  <c r="AC15" i="40" s="1"/>
  <c r="H15" i="40"/>
  <c r="AB15" i="40" s="1"/>
  <c r="F15" i="40"/>
  <c r="S15" i="40" s="1"/>
  <c r="U14" i="40"/>
  <c r="Q14" i="40"/>
  <c r="Z14" i="40" s="1"/>
  <c r="H14" i="40"/>
  <c r="AB14" i="40" s="1"/>
  <c r="F14" i="40"/>
  <c r="S14" i="40" s="1"/>
  <c r="AA13" i="40"/>
  <c r="W13" i="40"/>
  <c r="Q13" i="40"/>
  <c r="Z13" i="40" s="1"/>
  <c r="J13" i="40"/>
  <c r="AC13" i="40" s="1"/>
  <c r="H13" i="40"/>
  <c r="AB13" i="40" s="1"/>
  <c r="F13" i="40"/>
  <c r="S13" i="40" s="1"/>
  <c r="AB12" i="40"/>
  <c r="Z12" i="40"/>
  <c r="U12" i="40"/>
  <c r="Q12" i="40"/>
  <c r="J12" i="40"/>
  <c r="H12" i="40"/>
  <c r="AC11" i="40"/>
  <c r="AA11" i="40"/>
  <c r="U11" i="40"/>
  <c r="Q11" i="40"/>
  <c r="Z11" i="40" s="1"/>
  <c r="J11" i="40"/>
  <c r="W11" i="40" s="1"/>
  <c r="H11" i="40"/>
  <c r="AB11" i="40" s="1"/>
  <c r="F11" i="40"/>
  <c r="S11" i="40" s="1"/>
  <c r="Q10" i="40"/>
  <c r="Z10" i="40" s="1"/>
  <c r="W9" i="40"/>
  <c r="Q9" i="40"/>
  <c r="Z9" i="40" s="1"/>
  <c r="J9" i="40"/>
  <c r="AC9" i="40" s="1"/>
  <c r="H9" i="40"/>
  <c r="U9" i="40" s="1"/>
  <c r="F9" i="40"/>
  <c r="AA9" i="40" s="1"/>
  <c r="AC8" i="40"/>
  <c r="AB8" i="40"/>
  <c r="AA8" i="40"/>
  <c r="U8" i="40"/>
  <c r="S8" i="40"/>
  <c r="J8" i="40"/>
  <c r="W8" i="40" s="1"/>
  <c r="H8" i="40"/>
  <c r="F8" i="40"/>
  <c r="B130" i="39"/>
  <c r="B128" i="39"/>
  <c r="B126" i="39"/>
  <c r="I125" i="39"/>
  <c r="J125" i="39" s="1"/>
  <c r="K125" i="39" s="1"/>
  <c r="L125" i="39" s="1"/>
  <c r="M125" i="39" s="1"/>
  <c r="D125" i="39"/>
  <c r="E125" i="39" s="1"/>
  <c r="F125" i="39" s="1"/>
  <c r="G125" i="39" s="1"/>
  <c r="H125" i="39" s="1"/>
  <c r="I123" i="39"/>
  <c r="J123" i="39" s="1"/>
  <c r="K123" i="39" s="1"/>
  <c r="L123" i="39" s="1"/>
  <c r="M123" i="39" s="1"/>
  <c r="F123" i="39"/>
  <c r="G123" i="39" s="1"/>
  <c r="H123" i="39" s="1"/>
  <c r="E123" i="39"/>
  <c r="D123" i="39"/>
  <c r="L121" i="39"/>
  <c r="M121" i="39" s="1"/>
  <c r="G121" i="39"/>
  <c r="H121" i="39" s="1"/>
  <c r="I121" i="39" s="1"/>
  <c r="J121" i="39" s="1"/>
  <c r="K121" i="39" s="1"/>
  <c r="D121" i="39"/>
  <c r="E121" i="39" s="1"/>
  <c r="F121" i="39" s="1"/>
  <c r="F119" i="39"/>
  <c r="G119" i="39" s="1"/>
  <c r="H119" i="39" s="1"/>
  <c r="I119" i="39" s="1"/>
  <c r="J119" i="39" s="1"/>
  <c r="K119" i="39" s="1"/>
  <c r="L119" i="39" s="1"/>
  <c r="M119" i="39" s="1"/>
  <c r="E119" i="39"/>
  <c r="D119" i="39"/>
  <c r="M115" i="39"/>
  <c r="L115" i="39"/>
  <c r="K115" i="39"/>
  <c r="J115" i="39"/>
  <c r="I115" i="39"/>
  <c r="H115" i="39"/>
  <c r="G115" i="39"/>
  <c r="F115" i="39"/>
  <c r="E115" i="39"/>
  <c r="D115" i="39"/>
  <c r="C115" i="39"/>
  <c r="B113" i="39"/>
  <c r="B111" i="39"/>
  <c r="B109" i="39"/>
  <c r="I108" i="39"/>
  <c r="J108" i="39" s="1"/>
  <c r="K108" i="39" s="1"/>
  <c r="L108" i="39" s="1"/>
  <c r="M108" i="39" s="1"/>
  <c r="F108" i="39"/>
  <c r="G108" i="39" s="1"/>
  <c r="H108" i="39" s="1"/>
  <c r="E108" i="39"/>
  <c r="D108" i="39"/>
  <c r="G106" i="39"/>
  <c r="H106" i="39" s="1"/>
  <c r="I106" i="39" s="1"/>
  <c r="J106" i="39" s="1"/>
  <c r="K106" i="39" s="1"/>
  <c r="L106" i="39" s="1"/>
  <c r="M106" i="39" s="1"/>
  <c r="D106" i="39"/>
  <c r="E106" i="39" s="1"/>
  <c r="F106" i="39" s="1"/>
  <c r="K104" i="39"/>
  <c r="L104" i="39" s="1"/>
  <c r="M104" i="39" s="1"/>
  <c r="F104" i="39"/>
  <c r="G104" i="39" s="1"/>
  <c r="H104" i="39" s="1"/>
  <c r="I104" i="39" s="1"/>
  <c r="J104" i="39" s="1"/>
  <c r="E104" i="39"/>
  <c r="D104" i="39"/>
  <c r="B103" i="39"/>
  <c r="G102" i="39"/>
  <c r="D102" i="39"/>
  <c r="E102" i="39" s="1"/>
  <c r="F102" i="39" s="1"/>
  <c r="F100" i="39"/>
  <c r="G100" i="39" s="1"/>
  <c r="D100" i="39"/>
  <c r="E100" i="39" s="1"/>
  <c r="G98" i="39"/>
  <c r="D98" i="39"/>
  <c r="E98" i="39" s="1"/>
  <c r="F98" i="39" s="1"/>
  <c r="F96" i="39"/>
  <c r="G96" i="39" s="1"/>
  <c r="D96" i="39"/>
  <c r="E96" i="39" s="1"/>
  <c r="G94" i="39"/>
  <c r="D94" i="39"/>
  <c r="E94" i="39" s="1"/>
  <c r="F94" i="39" s="1"/>
  <c r="F92" i="39"/>
  <c r="G92" i="39" s="1"/>
  <c r="D92" i="39"/>
  <c r="E92" i="39" s="1"/>
  <c r="G90" i="39"/>
  <c r="D90" i="39"/>
  <c r="E90" i="39" s="1"/>
  <c r="F90" i="39" s="1"/>
  <c r="F88" i="39"/>
  <c r="G88" i="39" s="1"/>
  <c r="D88" i="39"/>
  <c r="E88" i="39" s="1"/>
  <c r="B85" i="39"/>
  <c r="B83" i="39"/>
  <c r="H13" i="39" s="1"/>
  <c r="B81" i="39"/>
  <c r="I80" i="39"/>
  <c r="J80" i="39" s="1"/>
  <c r="K80" i="39" s="1"/>
  <c r="L80" i="39" s="1"/>
  <c r="M80" i="39" s="1"/>
  <c r="D80" i="39"/>
  <c r="E80" i="39" s="1"/>
  <c r="F80" i="39" s="1"/>
  <c r="G80" i="39" s="1"/>
  <c r="H80" i="39" s="1"/>
  <c r="M78" i="39"/>
  <c r="L78" i="39"/>
  <c r="K78" i="39"/>
  <c r="J78" i="39"/>
  <c r="I78" i="39"/>
  <c r="H78" i="39"/>
  <c r="G78" i="39"/>
  <c r="F78" i="39"/>
  <c r="E78" i="39"/>
  <c r="D78" i="39"/>
  <c r="C78" i="39"/>
  <c r="I64" i="39"/>
  <c r="C64" i="39" s="1"/>
  <c r="H64" i="39"/>
  <c r="H63" i="39"/>
  <c r="I63" i="39" s="1"/>
  <c r="C63" i="39" s="1"/>
  <c r="H62" i="39"/>
  <c r="I62" i="39" s="1"/>
  <c r="C62" i="39" s="1"/>
  <c r="H61" i="39"/>
  <c r="I61" i="39" s="1"/>
  <c r="C61" i="39" s="1"/>
  <c r="H60" i="39"/>
  <c r="I60" i="39" s="1"/>
  <c r="C60" i="39"/>
  <c r="H59" i="39"/>
  <c r="I59" i="39" s="1"/>
  <c r="C59" i="39" s="1"/>
  <c r="H58" i="39"/>
  <c r="I58" i="39" s="1"/>
  <c r="C58" i="39" s="1"/>
  <c r="H57" i="39"/>
  <c r="I57" i="39" s="1"/>
  <c r="C57" i="39" s="1"/>
  <c r="J53" i="39"/>
  <c r="I53" i="39"/>
  <c r="H53" i="39"/>
  <c r="G53" i="39"/>
  <c r="F53" i="39"/>
  <c r="E53" i="39"/>
  <c r="P48" i="39"/>
  <c r="P47" i="39"/>
  <c r="K47" i="39"/>
  <c r="V46" i="39"/>
  <c r="T46" i="39"/>
  <c r="R46" i="39"/>
  <c r="P46" i="39"/>
  <c r="Q45" i="39"/>
  <c r="Z45" i="39" s="1"/>
  <c r="H45" i="39"/>
  <c r="AB44" i="39"/>
  <c r="W44" i="39"/>
  <c r="Q44" i="39"/>
  <c r="Z44" i="39" s="1"/>
  <c r="J44" i="39"/>
  <c r="AC44" i="39" s="1"/>
  <c r="H44" i="39"/>
  <c r="U44" i="39" s="1"/>
  <c r="F44" i="39"/>
  <c r="AA44" i="39" s="1"/>
  <c r="AA43" i="39"/>
  <c r="Q43" i="39"/>
  <c r="Z43" i="39" s="1"/>
  <c r="J43" i="39"/>
  <c r="AC43" i="39" s="1"/>
  <c r="H43" i="39"/>
  <c r="F43" i="39"/>
  <c r="S43" i="39" s="1"/>
  <c r="Z42" i="39"/>
  <c r="Q42" i="39"/>
  <c r="J42" i="39"/>
  <c r="W42" i="39" s="1"/>
  <c r="H42" i="39"/>
  <c r="AB42" i="39" s="1"/>
  <c r="F42" i="39"/>
  <c r="AA42" i="39" s="1"/>
  <c r="W41" i="39"/>
  <c r="Q41" i="39"/>
  <c r="Z41" i="39" s="1"/>
  <c r="J41" i="39"/>
  <c r="AC41" i="39" s="1"/>
  <c r="H41" i="39"/>
  <c r="U41" i="39" s="1"/>
  <c r="F41" i="39"/>
  <c r="AA41" i="39" s="1"/>
  <c r="AC40" i="39"/>
  <c r="AA40" i="39"/>
  <c r="Q40" i="39"/>
  <c r="Z40" i="39" s="1"/>
  <c r="J40" i="39"/>
  <c r="W40" i="39" s="1"/>
  <c r="H40" i="39"/>
  <c r="F40" i="39"/>
  <c r="S40" i="39" s="1"/>
  <c r="AB39" i="39"/>
  <c r="Z39" i="39"/>
  <c r="Q39" i="39"/>
  <c r="J39" i="39"/>
  <c r="AC39" i="39" s="1"/>
  <c r="H39" i="39"/>
  <c r="U39" i="39" s="1"/>
  <c r="F39" i="39"/>
  <c r="AA39" i="39" s="1"/>
  <c r="AA38" i="39"/>
  <c r="W38" i="39"/>
  <c r="Q38" i="39"/>
  <c r="Z38" i="39" s="1"/>
  <c r="J38" i="39"/>
  <c r="AC38" i="39" s="1"/>
  <c r="H38" i="39"/>
  <c r="AB38" i="39" s="1"/>
  <c r="F38" i="39"/>
  <c r="S38" i="39" s="1"/>
  <c r="AB37" i="39"/>
  <c r="Z37" i="39"/>
  <c r="U37" i="39"/>
  <c r="Q37" i="39"/>
  <c r="J37" i="39"/>
  <c r="H37" i="39"/>
  <c r="F37" i="39"/>
  <c r="AA37" i="39" s="1"/>
  <c r="AB36" i="39"/>
  <c r="W36" i="39"/>
  <c r="Q36" i="39"/>
  <c r="Z36" i="39" s="1"/>
  <c r="J36" i="39"/>
  <c r="AC36" i="39" s="1"/>
  <c r="H36" i="39"/>
  <c r="U36" i="39" s="1"/>
  <c r="F36" i="39"/>
  <c r="AA36" i="39" s="1"/>
  <c r="Q35" i="39"/>
  <c r="Z35" i="39" s="1"/>
  <c r="AA34" i="39"/>
  <c r="W34" i="39"/>
  <c r="Q34" i="39"/>
  <c r="Z34" i="39" s="1"/>
  <c r="J34" i="39"/>
  <c r="AC34" i="39" s="1"/>
  <c r="H34" i="39"/>
  <c r="AB34" i="39" s="1"/>
  <c r="F34" i="39"/>
  <c r="S34" i="39" s="1"/>
  <c r="Z32" i="39"/>
  <c r="U32" i="39"/>
  <c r="Q32" i="39"/>
  <c r="J32" i="39"/>
  <c r="W32" i="39" s="1"/>
  <c r="H32" i="39"/>
  <c r="AB32" i="39" s="1"/>
  <c r="F32" i="39"/>
  <c r="AA32" i="39" s="1"/>
  <c r="AB31" i="39"/>
  <c r="W31" i="39"/>
  <c r="Q31" i="39"/>
  <c r="Z31" i="39" s="1"/>
  <c r="J31" i="39"/>
  <c r="AC31" i="39" s="1"/>
  <c r="H31" i="39"/>
  <c r="U31" i="39" s="1"/>
  <c r="F31" i="39"/>
  <c r="AA31" i="39" s="1"/>
  <c r="AA29" i="39"/>
  <c r="Q29" i="39"/>
  <c r="Z29" i="39" s="1"/>
  <c r="J29" i="39"/>
  <c r="AC29" i="39" s="1"/>
  <c r="H29" i="39"/>
  <c r="F29" i="39"/>
  <c r="S29" i="39" s="1"/>
  <c r="C29" i="39"/>
  <c r="AA27" i="39"/>
  <c r="U27" i="39"/>
  <c r="Q27" i="39"/>
  <c r="Z27" i="39" s="1"/>
  <c r="J27" i="39"/>
  <c r="AC27" i="39" s="1"/>
  <c r="H27" i="39"/>
  <c r="AB27" i="39" s="1"/>
  <c r="F27" i="39"/>
  <c r="S27" i="39" s="1"/>
  <c r="AA25" i="39"/>
  <c r="Q25" i="39"/>
  <c r="Z25" i="39" s="1"/>
  <c r="J25" i="39"/>
  <c r="AC25" i="39" s="1"/>
  <c r="H25" i="39"/>
  <c r="F25" i="39"/>
  <c r="S25" i="39" s="1"/>
  <c r="AA23" i="39"/>
  <c r="U23" i="39"/>
  <c r="Q23" i="39"/>
  <c r="Z23" i="39" s="1"/>
  <c r="J23" i="39"/>
  <c r="AC23" i="39" s="1"/>
  <c r="H23" i="39"/>
  <c r="AB23" i="39" s="1"/>
  <c r="F23" i="39"/>
  <c r="S23" i="39" s="1"/>
  <c r="C23" i="39"/>
  <c r="AA21" i="39"/>
  <c r="Q21" i="39"/>
  <c r="Z21" i="39" s="1"/>
  <c r="J21" i="39"/>
  <c r="AC21" i="39" s="1"/>
  <c r="H21" i="39"/>
  <c r="F21" i="39"/>
  <c r="S21" i="39" s="1"/>
  <c r="AA19" i="39"/>
  <c r="U19" i="39"/>
  <c r="Q19" i="39"/>
  <c r="Z19" i="39" s="1"/>
  <c r="J19" i="39"/>
  <c r="AC19" i="39" s="1"/>
  <c r="H19" i="39"/>
  <c r="AB19" i="39" s="1"/>
  <c r="F19" i="39"/>
  <c r="S19" i="39" s="1"/>
  <c r="AA17" i="39"/>
  <c r="Q17" i="39"/>
  <c r="Z17" i="39" s="1"/>
  <c r="J17" i="39"/>
  <c r="AC17" i="39" s="1"/>
  <c r="H17" i="39"/>
  <c r="F17" i="39"/>
  <c r="S17" i="39" s="1"/>
  <c r="AA15" i="39"/>
  <c r="U15" i="39"/>
  <c r="Q15" i="39"/>
  <c r="Z15" i="39" s="1"/>
  <c r="J15" i="39"/>
  <c r="AC15" i="39" s="1"/>
  <c r="H15" i="39"/>
  <c r="AB15" i="39" s="1"/>
  <c r="F15" i="39"/>
  <c r="S15" i="39" s="1"/>
  <c r="Q14" i="39"/>
  <c r="Z14" i="39" s="1"/>
  <c r="W13" i="39"/>
  <c r="Q13" i="39"/>
  <c r="Z13" i="39" s="1"/>
  <c r="J13" i="39"/>
  <c r="AC13" i="39" s="1"/>
  <c r="F13" i="39"/>
  <c r="S13" i="39" s="1"/>
  <c r="W12" i="39"/>
  <c r="Q12" i="39"/>
  <c r="Z12" i="39" s="1"/>
  <c r="J12" i="39"/>
  <c r="AC12" i="39" s="1"/>
  <c r="H12" i="39"/>
  <c r="U12" i="39" s="1"/>
  <c r="F12" i="39"/>
  <c r="AA12" i="39" s="1"/>
  <c r="AC11" i="39"/>
  <c r="AA11" i="39"/>
  <c r="Q11" i="39"/>
  <c r="Z11" i="39" s="1"/>
  <c r="J11" i="39"/>
  <c r="W11" i="39" s="1"/>
  <c r="H11" i="39"/>
  <c r="F11" i="39"/>
  <c r="S11" i="39" s="1"/>
  <c r="Q10" i="39"/>
  <c r="Z10" i="39" s="1"/>
  <c r="W9" i="39"/>
  <c r="Q9" i="39"/>
  <c r="Z9" i="39" s="1"/>
  <c r="J9" i="39"/>
  <c r="AC9" i="39" s="1"/>
  <c r="H9" i="39"/>
  <c r="U9" i="39" s="1"/>
  <c r="F9" i="39"/>
  <c r="AB8" i="39"/>
  <c r="U8" i="39"/>
  <c r="J8" i="39"/>
  <c r="W8" i="39" s="1"/>
  <c r="H8" i="39"/>
  <c r="F8" i="39"/>
  <c r="S8" i="39" s="1"/>
  <c r="B95" i="36"/>
  <c r="F34" i="36" s="1"/>
  <c r="B93" i="36"/>
  <c r="H33" i="36" s="1"/>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F83" i="36"/>
  <c r="G83" i="36" s="1"/>
  <c r="H83" i="36" s="1"/>
  <c r="I83" i="36" s="1"/>
  <c r="D83" i="36"/>
  <c r="E83" i="36" s="1"/>
  <c r="H81" i="36"/>
  <c r="I81" i="36" s="1"/>
  <c r="J81" i="36" s="1"/>
  <c r="K81" i="36" s="1"/>
  <c r="L81" i="36" s="1"/>
  <c r="M81" i="36" s="1"/>
  <c r="D81" i="36"/>
  <c r="E81" i="36" s="1"/>
  <c r="F81" i="36" s="1"/>
  <c r="G81" i="36" s="1"/>
  <c r="G79" i="36"/>
  <c r="F79" i="36"/>
  <c r="E79" i="36"/>
  <c r="D79" i="36"/>
  <c r="C79" i="36"/>
  <c r="I78" i="36"/>
  <c r="J78" i="36" s="1"/>
  <c r="K78" i="36" s="1"/>
  <c r="L78" i="36" s="1"/>
  <c r="M78" i="36" s="1"/>
  <c r="E78" i="36"/>
  <c r="F78" i="36" s="1"/>
  <c r="G78" i="36" s="1"/>
  <c r="H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J42" i="36"/>
  <c r="I42" i="36"/>
  <c r="H42" i="36"/>
  <c r="G42" i="36"/>
  <c r="F42" i="36"/>
  <c r="E42" i="36"/>
  <c r="P37" i="36"/>
  <c r="P36" i="36"/>
  <c r="K36" i="36"/>
  <c r="V35" i="36"/>
  <c r="T35" i="36"/>
  <c r="R35" i="36"/>
  <c r="P35" i="36"/>
  <c r="Z34" i="36"/>
  <c r="Q34" i="36"/>
  <c r="J34" i="36"/>
  <c r="AC34" i="36" s="1"/>
  <c r="H34" i="36"/>
  <c r="AA33" i="36"/>
  <c r="S33" i="36"/>
  <c r="Q33" i="36"/>
  <c r="Z33" i="36" s="1"/>
  <c r="J33" i="36"/>
  <c r="F33" i="36"/>
  <c r="AB32" i="36"/>
  <c r="U32" i="36"/>
  <c r="Q32" i="36"/>
  <c r="Z32" i="36" s="1"/>
  <c r="J32" i="36"/>
  <c r="AC32" i="36" s="1"/>
  <c r="H32" i="36"/>
  <c r="F32" i="36"/>
  <c r="AA32" i="36" s="1"/>
  <c r="Q31" i="36"/>
  <c r="Z31" i="36" s="1"/>
  <c r="J31" i="36"/>
  <c r="H31" i="36"/>
  <c r="AB31" i="36" s="1"/>
  <c r="F31" i="36"/>
  <c r="AA31" i="36" s="1"/>
  <c r="Q30" i="36"/>
  <c r="Z30" i="36" s="1"/>
  <c r="J30" i="36"/>
  <c r="AC30" i="36" s="1"/>
  <c r="H30" i="36"/>
  <c r="F30" i="36"/>
  <c r="AA30" i="36" s="1"/>
  <c r="AC29" i="36"/>
  <c r="AA29" i="36"/>
  <c r="W29" i="36"/>
  <c r="Q29" i="36"/>
  <c r="Z29" i="36" s="1"/>
  <c r="J29" i="36"/>
  <c r="H29" i="36"/>
  <c r="AB29" i="36" s="1"/>
  <c r="F29" i="36"/>
  <c r="S29" i="36" s="1"/>
  <c r="AB28" i="36"/>
  <c r="Z28" i="36"/>
  <c r="U28" i="36"/>
  <c r="Q28" i="36"/>
  <c r="J28" i="36"/>
  <c r="AC28" i="36" s="1"/>
  <c r="H28" i="36"/>
  <c r="F28" i="36"/>
  <c r="AA28" i="36" s="1"/>
  <c r="AA27" i="36"/>
  <c r="Q27" i="36"/>
  <c r="Z27" i="36" s="1"/>
  <c r="J27" i="36"/>
  <c r="H27" i="36"/>
  <c r="AB27" i="36" s="1"/>
  <c r="F27" i="36"/>
  <c r="S27" i="36" s="1"/>
  <c r="Z26" i="36"/>
  <c r="Q26" i="36"/>
  <c r="J26" i="36"/>
  <c r="AC26" i="36" s="1"/>
  <c r="H26" i="36"/>
  <c r="F26" i="36"/>
  <c r="AA26" i="36" s="1"/>
  <c r="Q25" i="36"/>
  <c r="Z25" i="36" s="1"/>
  <c r="F25" i="36"/>
  <c r="Q24" i="36"/>
  <c r="Z24" i="36" s="1"/>
  <c r="J24" i="36"/>
  <c r="AC24" i="36" s="1"/>
  <c r="H24" i="36"/>
  <c r="F24" i="36"/>
  <c r="AA24" i="36" s="1"/>
  <c r="Q23" i="36"/>
  <c r="Z23" i="36" s="1"/>
  <c r="F23" i="36"/>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AA16" i="36"/>
  <c r="W16" i="36"/>
  <c r="Q16" i="36"/>
  <c r="Z16" i="36" s="1"/>
  <c r="J16" i="36"/>
  <c r="H16" i="36"/>
  <c r="AB16" i="36" s="1"/>
  <c r="F16" i="36"/>
  <c r="S16" i="36" s="1"/>
  <c r="C16" i="36"/>
  <c r="Q14" i="36"/>
  <c r="Z14" i="36" s="1"/>
  <c r="J14" i="36"/>
  <c r="H14" i="36"/>
  <c r="AB14" i="36" s="1"/>
  <c r="F14" i="36"/>
  <c r="AA14" i="36" s="1"/>
  <c r="C14" i="36"/>
  <c r="Q13" i="36"/>
  <c r="Z13" i="36" s="1"/>
  <c r="F13" i="36"/>
  <c r="Z12" i="36"/>
  <c r="Q12" i="36"/>
  <c r="J12" i="36"/>
  <c r="AC12" i="36" s="1"/>
  <c r="H12" i="36"/>
  <c r="F12" i="36"/>
  <c r="AA12" i="36" s="1"/>
  <c r="Q11" i="36"/>
  <c r="Z11" i="36" s="1"/>
  <c r="F11" i="36"/>
  <c r="Q10" i="36"/>
  <c r="Z10" i="36" s="1"/>
  <c r="J10" i="36"/>
  <c r="AC10" i="36" s="1"/>
  <c r="H10" i="36"/>
  <c r="F10" i="36"/>
  <c r="AA10" i="36" s="1"/>
  <c r="AC9" i="36"/>
  <c r="W9" i="36"/>
  <c r="Q9" i="36"/>
  <c r="Z9" i="36" s="1"/>
  <c r="J9" i="36"/>
  <c r="H9" i="36"/>
  <c r="AB9" i="36" s="1"/>
  <c r="F9" i="36"/>
  <c r="AA9" i="36" s="1"/>
  <c r="AB8" i="36"/>
  <c r="AA8" i="36"/>
  <c r="W8" i="36"/>
  <c r="S8" i="36"/>
  <c r="J8" i="36"/>
  <c r="AC8" i="36" s="1"/>
  <c r="H8" i="36"/>
  <c r="U8" i="36" s="1"/>
  <c r="F8" i="36"/>
  <c r="D3" i="36"/>
  <c r="B2" i="36"/>
  <c r="B101" i="35"/>
  <c r="B99" i="35"/>
  <c r="B97" i="35"/>
  <c r="F96" i="35"/>
  <c r="G96" i="35" s="1"/>
  <c r="D96" i="35"/>
  <c r="E96" i="35" s="1"/>
  <c r="L94" i="35"/>
  <c r="M94" i="35" s="1"/>
  <c r="D94" i="35"/>
  <c r="E94" i="35" s="1"/>
  <c r="F94" i="35" s="1"/>
  <c r="G94" i="35" s="1"/>
  <c r="H94" i="35" s="1"/>
  <c r="I94" i="35" s="1"/>
  <c r="J94" i="35" s="1"/>
  <c r="K94" i="35" s="1"/>
  <c r="M90" i="35"/>
  <c r="L90" i="35"/>
  <c r="K90" i="35"/>
  <c r="J90" i="35"/>
  <c r="I90" i="35"/>
  <c r="H90" i="35"/>
  <c r="G90" i="35"/>
  <c r="F90" i="35"/>
  <c r="E90" i="35"/>
  <c r="D90" i="35"/>
  <c r="C90" i="35"/>
  <c r="E89" i="35"/>
  <c r="F89" i="35" s="1"/>
  <c r="G89" i="35" s="1"/>
  <c r="H89" i="35" s="1"/>
  <c r="I89" i="35" s="1"/>
  <c r="J89" i="35" s="1"/>
  <c r="K89" i="35" s="1"/>
  <c r="L89" i="35" s="1"/>
  <c r="M89" i="35" s="1"/>
  <c r="D89" i="35"/>
  <c r="M87" i="35"/>
  <c r="E87" i="35"/>
  <c r="F87" i="35" s="1"/>
  <c r="G87" i="35" s="1"/>
  <c r="H87" i="35" s="1"/>
  <c r="I87" i="35" s="1"/>
  <c r="J87" i="35" s="1"/>
  <c r="K87" i="35" s="1"/>
  <c r="L87" i="35" s="1"/>
  <c r="D87" i="35"/>
  <c r="G85" i="35"/>
  <c r="F85" i="35"/>
  <c r="E85" i="35"/>
  <c r="D85" i="35"/>
  <c r="C85" i="35"/>
  <c r="F84" i="35"/>
  <c r="G84" i="35" s="1"/>
  <c r="H84" i="35" s="1"/>
  <c r="I84" i="35" s="1"/>
  <c r="J84" i="35" s="1"/>
  <c r="K84" i="35" s="1"/>
  <c r="L84" i="35" s="1"/>
  <c r="M84" i="35" s="1"/>
  <c r="D84" i="35"/>
  <c r="E84" i="35" s="1"/>
  <c r="L80" i="35"/>
  <c r="M80" i="35" s="1"/>
  <c r="D80" i="35"/>
  <c r="E80" i="35" s="1"/>
  <c r="F80" i="35" s="1"/>
  <c r="G80" i="35" s="1"/>
  <c r="H80" i="35" s="1"/>
  <c r="I80" i="35" s="1"/>
  <c r="J80" i="35" s="1"/>
  <c r="K80" i="35" s="1"/>
  <c r="B77" i="35"/>
  <c r="B75" i="35"/>
  <c r="H24" i="35" s="1"/>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F11" i="35" s="1"/>
  <c r="C53" i="35"/>
  <c r="J9" i="35" s="1"/>
  <c r="I44" i="35"/>
  <c r="J44" i="35" s="1"/>
  <c r="G44" i="35"/>
  <c r="H44" i="35" s="1"/>
  <c r="E44" i="35"/>
  <c r="F44" i="35" s="1"/>
  <c r="P39" i="35"/>
  <c r="P38" i="35"/>
  <c r="K38" i="35"/>
  <c r="B38" i="35"/>
  <c r="V37" i="35"/>
  <c r="T37" i="35"/>
  <c r="R37" i="35"/>
  <c r="P37" i="35"/>
  <c r="Z36" i="35"/>
  <c r="U36" i="35"/>
  <c r="Q36" i="35"/>
  <c r="H36" i="35"/>
  <c r="AB36" i="35" s="1"/>
  <c r="AC35" i="35"/>
  <c r="AA35" i="35"/>
  <c r="W35" i="35"/>
  <c r="Q35" i="35"/>
  <c r="Z35" i="35" s="1"/>
  <c r="J35" i="35"/>
  <c r="H35" i="35"/>
  <c r="AB35" i="35" s="1"/>
  <c r="F35" i="35"/>
  <c r="S35" i="35" s="1"/>
  <c r="Z34" i="35"/>
  <c r="U34" i="35"/>
  <c r="Q34" i="35"/>
  <c r="H34" i="35"/>
  <c r="AB34" i="35" s="1"/>
  <c r="Q33" i="35"/>
  <c r="Z33" i="35" s="1"/>
  <c r="J33" i="35"/>
  <c r="H33" i="35"/>
  <c r="AB33" i="35" s="1"/>
  <c r="F33" i="35"/>
  <c r="AA33" i="35" s="1"/>
  <c r="Q32" i="35"/>
  <c r="Z32" i="35" s="1"/>
  <c r="J32" i="35"/>
  <c r="AC32" i="35" s="1"/>
  <c r="H32" i="35"/>
  <c r="F32" i="35"/>
  <c r="AA32" i="35" s="1"/>
  <c r="AC31" i="35"/>
  <c r="AA31" i="35"/>
  <c r="W31" i="35"/>
  <c r="Q31" i="35"/>
  <c r="Z31" i="35" s="1"/>
  <c r="J31" i="35"/>
  <c r="H31" i="35"/>
  <c r="AB31" i="35" s="1"/>
  <c r="F31" i="35"/>
  <c r="S31" i="35" s="1"/>
  <c r="AB30" i="35"/>
  <c r="Z30" i="35"/>
  <c r="U30" i="35"/>
  <c r="Q30" i="35"/>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Q26" i="35"/>
  <c r="Z26" i="35" s="1"/>
  <c r="C26" i="35"/>
  <c r="Z25" i="35"/>
  <c r="U25" i="35"/>
  <c r="Q25" i="35"/>
  <c r="H25" i="35"/>
  <c r="AB25" i="35" s="1"/>
  <c r="AA24" i="35"/>
  <c r="S24" i="35"/>
  <c r="Q24" i="35"/>
  <c r="Z24" i="35" s="1"/>
  <c r="J24" i="35"/>
  <c r="F24" i="35"/>
  <c r="Z23" i="35"/>
  <c r="Q23" i="35"/>
  <c r="H23" i="35"/>
  <c r="U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AA13" i="35"/>
  <c r="U13" i="35"/>
  <c r="Q13" i="35"/>
  <c r="Z13" i="35" s="1"/>
  <c r="J13" i="35"/>
  <c r="AC13" i="35" s="1"/>
  <c r="H13" i="35"/>
  <c r="AB13" i="35" s="1"/>
  <c r="F13" i="35"/>
  <c r="S13" i="35" s="1"/>
  <c r="Z12" i="35"/>
  <c r="S12" i="35"/>
  <c r="Q12" i="35"/>
  <c r="J12" i="35"/>
  <c r="W12" i="35" s="1"/>
  <c r="F12" i="35"/>
  <c r="AA12" i="35" s="1"/>
  <c r="Z11" i="35"/>
  <c r="U11" i="35"/>
  <c r="Q11" i="35"/>
  <c r="J11" i="35"/>
  <c r="W11" i="35" s="1"/>
  <c r="H11" i="35"/>
  <c r="AB11" i="35" s="1"/>
  <c r="AC10" i="35"/>
  <c r="AA10" i="35"/>
  <c r="Q10" i="35"/>
  <c r="Z10" i="35" s="1"/>
  <c r="J10" i="35"/>
  <c r="W10" i="35" s="1"/>
  <c r="H10" i="35"/>
  <c r="F10" i="35"/>
  <c r="S10" i="35" s="1"/>
  <c r="AB9" i="35"/>
  <c r="AA9" i="35"/>
  <c r="Z9" i="35"/>
  <c r="S9" i="35"/>
  <c r="Q9" i="35"/>
  <c r="H9" i="35"/>
  <c r="U9" i="35" s="1"/>
  <c r="F9" i="35"/>
  <c r="W8" i="35"/>
  <c r="J8" i="35"/>
  <c r="AC8" i="35" s="1"/>
  <c r="H8" i="35"/>
  <c r="AB8" i="35" s="1"/>
  <c r="F8" i="35"/>
  <c r="D3" i="35"/>
  <c r="B2" i="35"/>
  <c r="B112" i="37"/>
  <c r="H40" i="37" s="1"/>
  <c r="B110" i="37"/>
  <c r="B108" i="37"/>
  <c r="E107" i="37"/>
  <c r="F107" i="37" s="1"/>
  <c r="G107" i="37" s="1"/>
  <c r="H107" i="37" s="1"/>
  <c r="I107" i="37" s="1"/>
  <c r="J107" i="37" s="1"/>
  <c r="K107" i="37" s="1"/>
  <c r="L107" i="37" s="1"/>
  <c r="M107" i="37" s="1"/>
  <c r="D107" i="37"/>
  <c r="G105" i="37"/>
  <c r="D105" i="37"/>
  <c r="E105" i="37" s="1"/>
  <c r="F105" i="37" s="1"/>
  <c r="K103" i="37"/>
  <c r="L103" i="37" s="1"/>
  <c r="M103" i="37" s="1"/>
  <c r="F103" i="37"/>
  <c r="G103" i="37" s="1"/>
  <c r="H103" i="37" s="1"/>
  <c r="I103" i="37" s="1"/>
  <c r="J103" i="37" s="1"/>
  <c r="E103" i="37"/>
  <c r="D103" i="37"/>
  <c r="I101" i="37"/>
  <c r="J101" i="37" s="1"/>
  <c r="K101" i="37" s="1"/>
  <c r="L101" i="37" s="1"/>
  <c r="M101" i="37" s="1"/>
  <c r="D101" i="37"/>
  <c r="E101" i="37" s="1"/>
  <c r="F101" i="37" s="1"/>
  <c r="G101" i="37" s="1"/>
  <c r="H101" i="37" s="1"/>
  <c r="I99" i="37"/>
  <c r="J99" i="37" s="1"/>
  <c r="K99" i="37" s="1"/>
  <c r="L99" i="37" s="1"/>
  <c r="M99" i="37" s="1"/>
  <c r="F99" i="37"/>
  <c r="G99" i="37" s="1"/>
  <c r="H99" i="37" s="1"/>
  <c r="E99" i="37"/>
  <c r="D99" i="37"/>
  <c r="G97" i="37"/>
  <c r="F97" i="37"/>
  <c r="E97" i="37"/>
  <c r="D97" i="37"/>
  <c r="C97" i="37"/>
  <c r="E96" i="37"/>
  <c r="F96" i="37" s="1"/>
  <c r="G96" i="37" s="1"/>
  <c r="H96" i="37" s="1"/>
  <c r="I96" i="37" s="1"/>
  <c r="J96" i="37" s="1"/>
  <c r="K96" i="37" s="1"/>
  <c r="L96" i="37" s="1"/>
  <c r="M96" i="37" s="1"/>
  <c r="D96" i="37"/>
  <c r="L94" i="37"/>
  <c r="M94" i="37" s="1"/>
  <c r="G94" i="37"/>
  <c r="H94" i="37" s="1"/>
  <c r="I94" i="37" s="1"/>
  <c r="J94" i="37" s="1"/>
  <c r="K94" i="37" s="1"/>
  <c r="D94" i="37"/>
  <c r="E94" i="37" s="1"/>
  <c r="F94" i="37" s="1"/>
  <c r="M90" i="37"/>
  <c r="L90" i="37"/>
  <c r="K90" i="37"/>
  <c r="J90" i="37"/>
  <c r="I90" i="37"/>
  <c r="H90" i="37"/>
  <c r="G90" i="37"/>
  <c r="F90" i="37"/>
  <c r="E90" i="37"/>
  <c r="D90" i="37"/>
  <c r="C90" i="37"/>
  <c r="K89" i="37"/>
  <c r="L89" i="37" s="1"/>
  <c r="M89" i="37" s="1"/>
  <c r="E89" i="37"/>
  <c r="F89" i="37" s="1"/>
  <c r="G89" i="37" s="1"/>
  <c r="H89" i="37" s="1"/>
  <c r="I89" i="37" s="1"/>
  <c r="J89" i="37" s="1"/>
  <c r="D89" i="37"/>
  <c r="B86" i="37"/>
  <c r="B84" i="37"/>
  <c r="B82" i="37"/>
  <c r="B80" i="37"/>
  <c r="F25" i="37" s="1"/>
  <c r="G79" i="37"/>
  <c r="D79" i="37"/>
  <c r="E79" i="37" s="1"/>
  <c r="F79" i="37" s="1"/>
  <c r="E77" i="37"/>
  <c r="F77" i="37" s="1"/>
  <c r="G77" i="37" s="1"/>
  <c r="D77" i="37"/>
  <c r="G75" i="37"/>
  <c r="D75" i="37"/>
  <c r="E75" i="37" s="1"/>
  <c r="F75" i="37" s="1"/>
  <c r="E73" i="37"/>
  <c r="F73" i="37" s="1"/>
  <c r="G73" i="37" s="1"/>
  <c r="D73" i="37"/>
  <c r="G71" i="37"/>
  <c r="D71" i="37"/>
  <c r="E71" i="37" s="1"/>
  <c r="F71" i="37" s="1"/>
  <c r="B68" i="37"/>
  <c r="B66" i="37"/>
  <c r="B64" i="37"/>
  <c r="H12" i="37" s="1"/>
  <c r="J63" i="37"/>
  <c r="K63" i="37" s="1"/>
  <c r="L63" i="37" s="1"/>
  <c r="M63" i="37" s="1"/>
  <c r="E63" i="37"/>
  <c r="F63" i="37" s="1"/>
  <c r="G63" i="37" s="1"/>
  <c r="H63" i="37" s="1"/>
  <c r="I63" i="37" s="1"/>
  <c r="D63" i="37"/>
  <c r="M61" i="37"/>
  <c r="L61" i="37"/>
  <c r="K61" i="37"/>
  <c r="J61" i="37"/>
  <c r="I61" i="37"/>
  <c r="H61" i="37"/>
  <c r="G61" i="37"/>
  <c r="F61" i="37"/>
  <c r="E61" i="37"/>
  <c r="D61" i="37"/>
  <c r="C61" i="37"/>
  <c r="C57" i="37"/>
  <c r="J9" i="37" s="1"/>
  <c r="I48" i="37"/>
  <c r="J48" i="37" s="1"/>
  <c r="G48" i="37"/>
  <c r="H48" i="37" s="1"/>
  <c r="E48" i="37"/>
  <c r="F48" i="37" s="1"/>
  <c r="P43" i="37"/>
  <c r="P42" i="37"/>
  <c r="K42" i="37"/>
  <c r="V41" i="37"/>
  <c r="T41" i="37"/>
  <c r="R41" i="37"/>
  <c r="P41" i="37"/>
  <c r="S40" i="37"/>
  <c r="Q40" i="37"/>
  <c r="Z40" i="37" s="1"/>
  <c r="J40" i="37"/>
  <c r="F40" i="37"/>
  <c r="AA40" i="37" s="1"/>
  <c r="AA39" i="37"/>
  <c r="Q39" i="37"/>
  <c r="Z39" i="37" s="1"/>
  <c r="F39" i="37"/>
  <c r="S39" i="37" s="1"/>
  <c r="AC38" i="37"/>
  <c r="AA38" i="37"/>
  <c r="W38" i="37"/>
  <c r="Q38" i="37"/>
  <c r="Z38" i="37" s="1"/>
  <c r="J38" i="37"/>
  <c r="H38" i="37"/>
  <c r="AB38" i="37" s="1"/>
  <c r="F38" i="37"/>
  <c r="S38" i="37" s="1"/>
  <c r="Z37" i="37"/>
  <c r="U37" i="37"/>
  <c r="Q37" i="37"/>
  <c r="J37" i="37"/>
  <c r="W37" i="37" s="1"/>
  <c r="H37" i="37"/>
  <c r="AB37" i="37" s="1"/>
  <c r="F37" i="37"/>
  <c r="AA37" i="37" s="1"/>
  <c r="AB36" i="37"/>
  <c r="Q36" i="37"/>
  <c r="Z36" i="37" s="1"/>
  <c r="J36" i="37"/>
  <c r="H36" i="37"/>
  <c r="U36" i="37" s="1"/>
  <c r="F36" i="37"/>
  <c r="AA36" i="37" s="1"/>
  <c r="AA35" i="37"/>
  <c r="U35" i="37"/>
  <c r="Q35" i="37"/>
  <c r="Z35" i="37" s="1"/>
  <c r="J35" i="37"/>
  <c r="AC35" i="37" s="1"/>
  <c r="H35" i="37"/>
  <c r="AB35" i="37" s="1"/>
  <c r="F35" i="37"/>
  <c r="S35" i="37" s="1"/>
  <c r="Z34" i="37"/>
  <c r="Q34" i="37"/>
  <c r="J34" i="37"/>
  <c r="W34" i="37" s="1"/>
  <c r="H34" i="37"/>
  <c r="AB34" i="37" s="1"/>
  <c r="F34" i="37"/>
  <c r="AA34" i="37" s="1"/>
  <c r="W33" i="37"/>
  <c r="Q33" i="37"/>
  <c r="Z33" i="37" s="1"/>
  <c r="J33" i="37"/>
  <c r="AC33" i="37" s="1"/>
  <c r="H33" i="37"/>
  <c r="U33" i="37" s="1"/>
  <c r="F33" i="37"/>
  <c r="AA33" i="37" s="1"/>
  <c r="AC32" i="37"/>
  <c r="AA32" i="37"/>
  <c r="U32" i="37"/>
  <c r="Q32" i="37"/>
  <c r="Z32" i="37" s="1"/>
  <c r="J32" i="37"/>
  <c r="W32" i="37" s="1"/>
  <c r="H32" i="37"/>
  <c r="AB32" i="37" s="1"/>
  <c r="F32" i="37"/>
  <c r="S32" i="37" s="1"/>
  <c r="AB31" i="37"/>
  <c r="Z31" i="37"/>
  <c r="Q31" i="37"/>
  <c r="J31" i="37"/>
  <c r="AC31" i="37" s="1"/>
  <c r="H31" i="37"/>
  <c r="U31" i="37" s="1"/>
  <c r="F31" i="37"/>
  <c r="AA31" i="37" s="1"/>
  <c r="AA30" i="37"/>
  <c r="W30" i="37"/>
  <c r="Q30" i="37"/>
  <c r="Z30" i="37" s="1"/>
  <c r="J30" i="37"/>
  <c r="AC30" i="37" s="1"/>
  <c r="H30" i="37"/>
  <c r="AB30" i="37" s="1"/>
  <c r="F30" i="37"/>
  <c r="S30" i="37" s="1"/>
  <c r="AC29" i="37"/>
  <c r="AB29" i="37"/>
  <c r="Z29" i="37"/>
  <c r="U29" i="37"/>
  <c r="Q29" i="37"/>
  <c r="J29" i="37"/>
  <c r="W29" i="37" s="1"/>
  <c r="H29" i="37"/>
  <c r="F29" i="37"/>
  <c r="AA29" i="37" s="1"/>
  <c r="Q28" i="37"/>
  <c r="Z28" i="37" s="1"/>
  <c r="J28" i="37"/>
  <c r="AA27" i="37"/>
  <c r="Q27" i="37"/>
  <c r="Z27" i="37" s="1"/>
  <c r="J27" i="37"/>
  <c r="AC27" i="37" s="1"/>
  <c r="H27" i="37"/>
  <c r="F27" i="37"/>
  <c r="S27" i="37" s="1"/>
  <c r="Z26" i="37"/>
  <c r="Q26" i="37"/>
  <c r="J26" i="37"/>
  <c r="W26" i="37" s="1"/>
  <c r="Z25" i="37"/>
  <c r="Q25" i="37"/>
  <c r="J25" i="37"/>
  <c r="W25" i="37" s="1"/>
  <c r="AC23" i="37"/>
  <c r="AA23" i="37"/>
  <c r="U23" i="37"/>
  <c r="Q23" i="37"/>
  <c r="Z23" i="37" s="1"/>
  <c r="J23" i="37"/>
  <c r="W23" i="37" s="1"/>
  <c r="H23" i="37"/>
  <c r="AB23" i="37" s="1"/>
  <c r="F23" i="37"/>
  <c r="S23" i="37" s="1"/>
  <c r="C23" i="37"/>
  <c r="AB21" i="37"/>
  <c r="Q21" i="37"/>
  <c r="Z21" i="37" s="1"/>
  <c r="J21" i="37"/>
  <c r="H21" i="37"/>
  <c r="U21" i="37" s="1"/>
  <c r="F21" i="37"/>
  <c r="AA21" i="37" s="1"/>
  <c r="C21" i="37"/>
  <c r="AC19" i="37"/>
  <c r="AA19" i="37"/>
  <c r="U19" i="37"/>
  <c r="Q19" i="37"/>
  <c r="Z19" i="37" s="1"/>
  <c r="J19" i="37"/>
  <c r="W19" i="37" s="1"/>
  <c r="H19" i="37"/>
  <c r="AB19" i="37" s="1"/>
  <c r="F19" i="37"/>
  <c r="S19" i="37" s="1"/>
  <c r="C19" i="37"/>
  <c r="AB17" i="37"/>
  <c r="Q17" i="37"/>
  <c r="Z17" i="37" s="1"/>
  <c r="J17" i="37"/>
  <c r="H17" i="37"/>
  <c r="U17" i="37" s="1"/>
  <c r="F17" i="37"/>
  <c r="AA17" i="37" s="1"/>
  <c r="C17" i="37"/>
  <c r="AC15" i="37"/>
  <c r="AA15" i="37"/>
  <c r="U15" i="37"/>
  <c r="Q15" i="37"/>
  <c r="Z15" i="37" s="1"/>
  <c r="J15" i="37"/>
  <c r="W15" i="37" s="1"/>
  <c r="H15" i="37"/>
  <c r="AB15" i="37" s="1"/>
  <c r="F15" i="37"/>
  <c r="S15" i="37" s="1"/>
  <c r="C15" i="37"/>
  <c r="AB14" i="37"/>
  <c r="Q14" i="37"/>
  <c r="Z14" i="37" s="1"/>
  <c r="J14" i="37"/>
  <c r="H14" i="37"/>
  <c r="U14" i="37" s="1"/>
  <c r="F14" i="37"/>
  <c r="AA14" i="37" s="1"/>
  <c r="AA13" i="37"/>
  <c r="U13" i="37"/>
  <c r="Q13" i="37"/>
  <c r="Z13" i="37" s="1"/>
  <c r="J13" i="37"/>
  <c r="AC13" i="37" s="1"/>
  <c r="H13" i="37"/>
  <c r="AB13" i="37" s="1"/>
  <c r="F13" i="37"/>
  <c r="S13" i="37" s="1"/>
  <c r="Z12" i="37"/>
  <c r="S12" i="37"/>
  <c r="Q12" i="37"/>
  <c r="J12" i="37"/>
  <c r="W12" i="37" s="1"/>
  <c r="F12" i="37"/>
  <c r="AA12" i="37" s="1"/>
  <c r="Z11" i="37"/>
  <c r="U11" i="37"/>
  <c r="Q11" i="37"/>
  <c r="J11" i="37"/>
  <c r="W11" i="37" s="1"/>
  <c r="H11" i="37"/>
  <c r="AB11" i="37" s="1"/>
  <c r="F11" i="37"/>
  <c r="AA11" i="37" s="1"/>
  <c r="AB10" i="37"/>
  <c r="Q10" i="37"/>
  <c r="Z10" i="37" s="1"/>
  <c r="J10" i="37"/>
  <c r="H10" i="37"/>
  <c r="U10" i="37" s="1"/>
  <c r="F10" i="37"/>
  <c r="AA10" i="37" s="1"/>
  <c r="AB9" i="37"/>
  <c r="U9" i="37"/>
  <c r="Q9" i="37"/>
  <c r="Z9" i="37" s="1"/>
  <c r="H9" i="37"/>
  <c r="F9" i="37"/>
  <c r="S9" i="37" s="1"/>
  <c r="AA8" i="37"/>
  <c r="J8" i="37"/>
  <c r="W8" i="37" s="1"/>
  <c r="H8" i="37"/>
  <c r="AB8" i="37" s="1"/>
  <c r="F8" i="37"/>
  <c r="S8" i="37" s="1"/>
  <c r="B2" i="37"/>
  <c r="B130" i="33"/>
  <c r="B128" i="33"/>
  <c r="B126" i="33"/>
  <c r="D125" i="33"/>
  <c r="F123" i="33"/>
  <c r="G123" i="33" s="1"/>
  <c r="H123" i="33" s="1"/>
  <c r="I123" i="33" s="1"/>
  <c r="J123" i="33" s="1"/>
  <c r="K123" i="33" s="1"/>
  <c r="L123" i="33" s="1"/>
  <c r="M123" i="33" s="1"/>
  <c r="D123" i="33"/>
  <c r="E123" i="33" s="1"/>
  <c r="M121" i="33"/>
  <c r="H121" i="33"/>
  <c r="I121" i="33" s="1"/>
  <c r="J121" i="33" s="1"/>
  <c r="K121" i="33" s="1"/>
  <c r="L121" i="33" s="1"/>
  <c r="E121" i="33"/>
  <c r="F121" i="33" s="1"/>
  <c r="G121" i="33" s="1"/>
  <c r="D121" i="33"/>
  <c r="D117" i="33"/>
  <c r="E117" i="33" s="1"/>
  <c r="F117" i="33" s="1"/>
  <c r="G117" i="33" s="1"/>
  <c r="D115" i="33"/>
  <c r="E115" i="33" s="1"/>
  <c r="F115" i="33" s="1"/>
  <c r="G115" i="33" s="1"/>
  <c r="H115" i="33" s="1"/>
  <c r="I115" i="33" s="1"/>
  <c r="J115" i="33" s="1"/>
  <c r="K115" i="33" s="1"/>
  <c r="L115" i="33" s="1"/>
  <c r="M115" i="33" s="1"/>
  <c r="M113" i="33"/>
  <c r="H113" i="33"/>
  <c r="I113" i="33" s="1"/>
  <c r="J113" i="33" s="1"/>
  <c r="K113" i="33" s="1"/>
  <c r="L113" i="33" s="1"/>
  <c r="E113" i="33"/>
  <c r="F113" i="33" s="1"/>
  <c r="G113" i="33" s="1"/>
  <c r="D113" i="33"/>
  <c r="J111" i="33"/>
  <c r="K111" i="33" s="1"/>
  <c r="L111" i="33" s="1"/>
  <c r="M111" i="33" s="1"/>
  <c r="E111" i="33"/>
  <c r="F111" i="33" s="1"/>
  <c r="G111" i="33" s="1"/>
  <c r="H111" i="33" s="1"/>
  <c r="I111" i="33" s="1"/>
  <c r="D111" i="33"/>
  <c r="G109" i="33"/>
  <c r="F109" i="33"/>
  <c r="E109" i="33"/>
  <c r="D109" i="33"/>
  <c r="C109" i="33"/>
  <c r="I108" i="33"/>
  <c r="J108" i="33" s="1"/>
  <c r="K108" i="33" s="1"/>
  <c r="L108" i="33" s="1"/>
  <c r="M108" i="33" s="1"/>
  <c r="D108" i="33"/>
  <c r="E108" i="33" s="1"/>
  <c r="F108" i="33" s="1"/>
  <c r="G108" i="33" s="1"/>
  <c r="H108" i="33" s="1"/>
  <c r="H106" i="33"/>
  <c r="I106" i="33" s="1"/>
  <c r="J106" i="33" s="1"/>
  <c r="K106" i="33" s="1"/>
  <c r="L106" i="33" s="1"/>
  <c r="M106" i="33" s="1"/>
  <c r="F106" i="33"/>
  <c r="G106" i="33" s="1"/>
  <c r="D106" i="33"/>
  <c r="E106" i="33" s="1"/>
  <c r="M102" i="33"/>
  <c r="L102" i="33"/>
  <c r="K102" i="33"/>
  <c r="J102" i="33"/>
  <c r="I102" i="33"/>
  <c r="H102" i="33"/>
  <c r="G102" i="33"/>
  <c r="F102" i="33"/>
  <c r="E102" i="33"/>
  <c r="D102" i="33"/>
  <c r="C102" i="33"/>
  <c r="L101" i="33"/>
  <c r="M101" i="33" s="1"/>
  <c r="G101" i="33"/>
  <c r="H101" i="33" s="1"/>
  <c r="I101" i="33" s="1"/>
  <c r="J101" i="33" s="1"/>
  <c r="K101" i="33" s="1"/>
  <c r="D101" i="33"/>
  <c r="E101" i="33" s="1"/>
  <c r="F101" i="33" s="1"/>
  <c r="B98" i="33"/>
  <c r="B96" i="33"/>
  <c r="B94" i="33"/>
  <c r="B92" i="33"/>
  <c r="D91" i="33"/>
  <c r="J27" i="33" s="1"/>
  <c r="AC27" i="33" s="1"/>
  <c r="B90" i="33"/>
  <c r="B88" i="33"/>
  <c r="J87" i="33"/>
  <c r="K87" i="33" s="1"/>
  <c r="L87" i="33" s="1"/>
  <c r="M87" i="33" s="1"/>
  <c r="E87" i="33"/>
  <c r="F87" i="33" s="1"/>
  <c r="G87" i="33" s="1"/>
  <c r="H87" i="33" s="1"/>
  <c r="I87" i="33" s="1"/>
  <c r="D87" i="33"/>
  <c r="D85" i="33"/>
  <c r="E83" i="33"/>
  <c r="F83" i="33" s="1"/>
  <c r="G83" i="33" s="1"/>
  <c r="D83" i="33"/>
  <c r="D81" i="33"/>
  <c r="E79" i="33"/>
  <c r="F79" i="33" s="1"/>
  <c r="G79" i="33" s="1"/>
  <c r="D79" i="33"/>
  <c r="D77" i="33"/>
  <c r="E77" i="33" s="1"/>
  <c r="B74" i="33"/>
  <c r="B72" i="33"/>
  <c r="B70" i="33"/>
  <c r="I69" i="33"/>
  <c r="J69" i="33" s="1"/>
  <c r="K69" i="33" s="1"/>
  <c r="L69" i="33" s="1"/>
  <c r="M69" i="33" s="1"/>
  <c r="E69" i="33"/>
  <c r="F69" i="33" s="1"/>
  <c r="G69" i="33" s="1"/>
  <c r="H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A46" i="33"/>
  <c r="W46" i="33"/>
  <c r="Q46" i="33"/>
  <c r="Z46" i="33" s="1"/>
  <c r="J46" i="33"/>
  <c r="H46" i="33"/>
  <c r="AB46" i="33" s="1"/>
  <c r="F46" i="33"/>
  <c r="S46" i="33" s="1"/>
  <c r="AB45" i="33"/>
  <c r="Z45" i="33"/>
  <c r="Q45" i="33"/>
  <c r="H45" i="33"/>
  <c r="U45" i="33" s="1"/>
  <c r="Q44" i="33"/>
  <c r="Z44" i="33" s="1"/>
  <c r="J44" i="33"/>
  <c r="H44" i="33"/>
  <c r="AB44" i="33" s="1"/>
  <c r="F44" i="33"/>
  <c r="AA44" i="33" s="1"/>
  <c r="Q43" i="33"/>
  <c r="Z43" i="33" s="1"/>
  <c r="H43" i="33"/>
  <c r="AB43" i="33" s="1"/>
  <c r="Z42" i="33"/>
  <c r="Q42" i="33"/>
  <c r="J42" i="33"/>
  <c r="AC42" i="33" s="1"/>
  <c r="H42" i="33"/>
  <c r="AB42" i="33" s="1"/>
  <c r="F42" i="33"/>
  <c r="AA42" i="33" s="1"/>
  <c r="AB41" i="33"/>
  <c r="Z41" i="33"/>
  <c r="U41" i="33"/>
  <c r="Q41" i="33"/>
  <c r="J41" i="33"/>
  <c r="AC41" i="33" s="1"/>
  <c r="H41" i="33"/>
  <c r="F41" i="33"/>
  <c r="AA41" i="33" s="1"/>
  <c r="Q40" i="33"/>
  <c r="Z40" i="33" s="1"/>
  <c r="J40" i="33"/>
  <c r="H40" i="33"/>
  <c r="AB40" i="33" s="1"/>
  <c r="F40" i="33"/>
  <c r="AA40" i="33" s="1"/>
  <c r="Q39" i="33"/>
  <c r="Z39" i="33" s="1"/>
  <c r="J39" i="33"/>
  <c r="AC39" i="33" s="1"/>
  <c r="H39" i="33"/>
  <c r="U39" i="33" s="1"/>
  <c r="F39" i="33"/>
  <c r="AA39" i="33" s="1"/>
  <c r="Z38" i="33"/>
  <c r="Q38" i="33"/>
  <c r="J38" i="33"/>
  <c r="AC38" i="33" s="1"/>
  <c r="H38" i="33"/>
  <c r="AB38" i="33" s="1"/>
  <c r="F38" i="33"/>
  <c r="AA38" i="33" s="1"/>
  <c r="AB37" i="33"/>
  <c r="Z37" i="33"/>
  <c r="U37" i="33"/>
  <c r="Q37" i="33"/>
  <c r="J37" i="33"/>
  <c r="AC37" i="33" s="1"/>
  <c r="H37" i="33"/>
  <c r="F37" i="33"/>
  <c r="AA37" i="33" s="1"/>
  <c r="Z36" i="33"/>
  <c r="Q36" i="33"/>
  <c r="Z35" i="33"/>
  <c r="Q35" i="33"/>
  <c r="J35" i="33"/>
  <c r="AC35" i="33" s="1"/>
  <c r="H35" i="33"/>
  <c r="AB35" i="33" s="1"/>
  <c r="F35" i="33"/>
  <c r="AA35" i="33" s="1"/>
  <c r="Q34" i="33"/>
  <c r="Z34" i="33" s="1"/>
  <c r="J34" i="33"/>
  <c r="AC34" i="33" s="1"/>
  <c r="H34" i="33"/>
  <c r="AB34" i="33" s="1"/>
  <c r="F34" i="33"/>
  <c r="AA34" i="33" s="1"/>
  <c r="Z33" i="33"/>
  <c r="Q33" i="33"/>
  <c r="J33" i="33"/>
  <c r="AC33" i="33" s="1"/>
  <c r="H33" i="33"/>
  <c r="AB33" i="33" s="1"/>
  <c r="F33" i="33"/>
  <c r="AA33" i="33" s="1"/>
  <c r="Q32" i="33"/>
  <c r="Z32" i="33" s="1"/>
  <c r="J32" i="33"/>
  <c r="AC32" i="33" s="1"/>
  <c r="H32" i="33"/>
  <c r="AB32" i="33" s="1"/>
  <c r="F32" i="33"/>
  <c r="AA32" i="33" s="1"/>
  <c r="Q31" i="33"/>
  <c r="Z31" i="33" s="1"/>
  <c r="J31" i="33"/>
  <c r="H31" i="33"/>
  <c r="AB31" i="33" s="1"/>
  <c r="F31" i="33"/>
  <c r="AA31" i="33" s="1"/>
  <c r="Q30" i="33"/>
  <c r="Z30" i="33" s="1"/>
  <c r="J30" i="33"/>
  <c r="AC30" i="33" s="1"/>
  <c r="H30" i="33"/>
  <c r="AB30" i="33" s="1"/>
  <c r="F30" i="33"/>
  <c r="AA30" i="33" s="1"/>
  <c r="Z29" i="33"/>
  <c r="Q29" i="33"/>
  <c r="J29" i="33"/>
  <c r="AC29" i="33" s="1"/>
  <c r="H29" i="33"/>
  <c r="AB29" i="33" s="1"/>
  <c r="F29" i="33"/>
  <c r="AA29" i="33" s="1"/>
  <c r="Q28" i="33"/>
  <c r="Z28" i="33" s="1"/>
  <c r="H28" i="33"/>
  <c r="AB28" i="33" s="1"/>
  <c r="Z27" i="33"/>
  <c r="Q27" i="33"/>
  <c r="AC26" i="33"/>
  <c r="AA26" i="33"/>
  <c r="W26" i="33"/>
  <c r="Q26" i="33"/>
  <c r="Z26" i="33" s="1"/>
  <c r="J26" i="33"/>
  <c r="H26" i="33"/>
  <c r="AB26" i="33" s="1"/>
  <c r="F26" i="33"/>
  <c r="S26" i="33" s="1"/>
  <c r="AB25" i="33"/>
  <c r="Z25" i="33"/>
  <c r="U25" i="33"/>
  <c r="Q25" i="33"/>
  <c r="J25" i="33"/>
  <c r="AC25" i="33" s="1"/>
  <c r="H25" i="33"/>
  <c r="F25" i="33"/>
  <c r="AA25" i="33" s="1"/>
  <c r="Z23" i="33"/>
  <c r="Q23" i="33"/>
  <c r="J23" i="33"/>
  <c r="AC23" i="33" s="1"/>
  <c r="F23" i="33"/>
  <c r="AA23" i="33" s="1"/>
  <c r="C23" i="33"/>
  <c r="Z21" i="33"/>
  <c r="Q21" i="33"/>
  <c r="J21" i="33"/>
  <c r="AC21" i="33" s="1"/>
  <c r="H21" i="33"/>
  <c r="AB21" i="33" s="1"/>
  <c r="F21" i="33"/>
  <c r="AA21" i="33" s="1"/>
  <c r="C21" i="33"/>
  <c r="Z19" i="33"/>
  <c r="Q19" i="33"/>
  <c r="J19" i="33"/>
  <c r="AC19" i="33" s="1"/>
  <c r="F19" i="33"/>
  <c r="AA19" i="33" s="1"/>
  <c r="C19" i="33"/>
  <c r="Z17" i="33"/>
  <c r="Q17" i="33"/>
  <c r="J17" i="33"/>
  <c r="AC17" i="33" s="1"/>
  <c r="H17" i="33"/>
  <c r="AB17" i="33" s="1"/>
  <c r="F17" i="33"/>
  <c r="AA17" i="33" s="1"/>
  <c r="C17" i="33"/>
  <c r="Z15" i="33"/>
  <c r="Q15" i="33"/>
  <c r="C15" i="33"/>
  <c r="AB14" i="33"/>
  <c r="Z14" i="33"/>
  <c r="U14" i="33"/>
  <c r="Q14" i="33"/>
  <c r="J14" i="33"/>
  <c r="AC14" i="33" s="1"/>
  <c r="H14" i="33"/>
  <c r="F14" i="33"/>
  <c r="AA14" i="33" s="1"/>
  <c r="Q13" i="33"/>
  <c r="Z13" i="33" s="1"/>
  <c r="J13" i="33"/>
  <c r="AB12" i="33"/>
  <c r="U12" i="33"/>
  <c r="Q12" i="33"/>
  <c r="Z12" i="33" s="1"/>
  <c r="J12" i="33"/>
  <c r="AC12" i="33" s="1"/>
  <c r="H12" i="33"/>
  <c r="F12" i="33"/>
  <c r="AA12" i="33" s="1"/>
  <c r="Z11" i="33"/>
  <c r="Q11" i="33"/>
  <c r="J11" i="33"/>
  <c r="AC11" i="33" s="1"/>
  <c r="H11" i="33"/>
  <c r="AB11" i="33" s="1"/>
  <c r="F11" i="33"/>
  <c r="AA11" i="33" s="1"/>
  <c r="AB10" i="33"/>
  <c r="U10" i="33"/>
  <c r="Q10" i="33"/>
  <c r="Z10" i="33" s="1"/>
  <c r="J10" i="33"/>
  <c r="AC10" i="33" s="1"/>
  <c r="H10" i="33"/>
  <c r="F10" i="33"/>
  <c r="AA10" i="33" s="1"/>
  <c r="Z9" i="33"/>
  <c r="Q9" i="33"/>
  <c r="J9" i="33"/>
  <c r="AC9" i="33" s="1"/>
  <c r="H9" i="33"/>
  <c r="AB9" i="33" s="1"/>
  <c r="F9" i="33"/>
  <c r="AA9" i="33" s="1"/>
  <c r="J8" i="33"/>
  <c r="W8" i="33" s="1"/>
  <c r="H8" i="33"/>
  <c r="U8" i="33" s="1"/>
  <c r="F8" i="33"/>
  <c r="AA8" i="33" s="1"/>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I110" i="21"/>
  <c r="J110" i="21" s="1"/>
  <c r="K110" i="21" s="1"/>
  <c r="L110" i="21" s="1"/>
  <c r="M110" i="21" s="1"/>
  <c r="E110" i="21"/>
  <c r="F110" i="21" s="1"/>
  <c r="G110" i="21" s="1"/>
  <c r="H110" i="21" s="1"/>
  <c r="D110" i="21"/>
  <c r="I108" i="21"/>
  <c r="J108" i="21" s="1"/>
  <c r="K108" i="21" s="1"/>
  <c r="L108" i="21" s="1"/>
  <c r="M108" i="21" s="1"/>
  <c r="E108" i="21"/>
  <c r="F108" i="21" s="1"/>
  <c r="G108" i="21" s="1"/>
  <c r="H108" i="21" s="1"/>
  <c r="D108" i="21"/>
  <c r="I106" i="21"/>
  <c r="J106" i="21" s="1"/>
  <c r="K106" i="21" s="1"/>
  <c r="L106" i="21" s="1"/>
  <c r="M106" i="21" s="1"/>
  <c r="E106" i="21"/>
  <c r="F106" i="21" s="1"/>
  <c r="G106" i="21" s="1"/>
  <c r="H106" i="21" s="1"/>
  <c r="D106" i="21"/>
  <c r="M102" i="21"/>
  <c r="L102" i="21"/>
  <c r="K102" i="21"/>
  <c r="J102" i="21"/>
  <c r="I102" i="21"/>
  <c r="H102" i="21"/>
  <c r="G102" i="21"/>
  <c r="F102" i="21"/>
  <c r="E102" i="21"/>
  <c r="D102" i="21"/>
  <c r="C102" i="21"/>
  <c r="J101" i="21"/>
  <c r="K101" i="21" s="1"/>
  <c r="L101" i="21" s="1"/>
  <c r="M101" i="21" s="1"/>
  <c r="F101" i="21"/>
  <c r="G101" i="21" s="1"/>
  <c r="H101" i="21" s="1"/>
  <c r="I101" i="21" s="1"/>
  <c r="D101" i="21"/>
  <c r="E101" i="21" s="1"/>
  <c r="B98" i="21"/>
  <c r="B96" i="21"/>
  <c r="H30" i="21" s="1"/>
  <c r="B94" i="21"/>
  <c r="B92" i="21"/>
  <c r="H28" i="21" s="1"/>
  <c r="B90" i="21"/>
  <c r="K89" i="21"/>
  <c r="L89" i="21" s="1"/>
  <c r="M89" i="21" s="1"/>
  <c r="G89" i="21"/>
  <c r="H89" i="21" s="1"/>
  <c r="I89" i="21" s="1"/>
  <c r="J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AC46" i="21"/>
  <c r="W46" i="21"/>
  <c r="Q46" i="21"/>
  <c r="Z46" i="21" s="1"/>
  <c r="J46" i="21"/>
  <c r="F46" i="21"/>
  <c r="Q45" i="21"/>
  <c r="Z45" i="21" s="1"/>
  <c r="J45" i="21"/>
  <c r="AC45" i="21" s="1"/>
  <c r="H45" i="21"/>
  <c r="F45" i="21"/>
  <c r="AA45" i="21" s="1"/>
  <c r="AC44" i="21"/>
  <c r="W44" i="21"/>
  <c r="Q44" i="21"/>
  <c r="Z44" i="21" s="1"/>
  <c r="J44" i="21"/>
  <c r="F44" i="21"/>
  <c r="Q43" i="21"/>
  <c r="Z43" i="21" s="1"/>
  <c r="J43" i="21"/>
  <c r="AC43" i="21" s="1"/>
  <c r="H43" i="21"/>
  <c r="F43" i="21"/>
  <c r="AA43" i="21" s="1"/>
  <c r="AC42" i="21"/>
  <c r="W42" i="21"/>
  <c r="Q42" i="21"/>
  <c r="Z42" i="21" s="1"/>
  <c r="J42" i="21"/>
  <c r="H42" i="21"/>
  <c r="AB42" i="21" s="1"/>
  <c r="F42" i="21"/>
  <c r="AA42" i="21" s="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AC38" i="21"/>
  <c r="AA38" i="21"/>
  <c r="W38" i="21"/>
  <c r="Q38" i="21"/>
  <c r="Z38" i="21" s="1"/>
  <c r="J38" i="21"/>
  <c r="H38" i="21"/>
  <c r="AB38" i="21" s="1"/>
  <c r="F38" i="21"/>
  <c r="S38" i="21" s="1"/>
  <c r="AB37" i="21"/>
  <c r="Z37" i="21"/>
  <c r="U37" i="21"/>
  <c r="Q37" i="21"/>
  <c r="J37" i="21"/>
  <c r="AC37" i="21" s="1"/>
  <c r="H37" i="21"/>
  <c r="F37" i="21"/>
  <c r="AA37" i="21" s="1"/>
  <c r="Q36" i="21"/>
  <c r="Z36" i="21" s="1"/>
  <c r="J36" i="21"/>
  <c r="H36" i="21"/>
  <c r="AB36" i="21" s="1"/>
  <c r="F36" i="21"/>
  <c r="AA36" i="21" s="1"/>
  <c r="Q35" i="21"/>
  <c r="Z35" i="21" s="1"/>
  <c r="J35" i="21"/>
  <c r="AC35" i="21" s="1"/>
  <c r="H35" i="21"/>
  <c r="F35" i="21"/>
  <c r="AA35" i="21" s="1"/>
  <c r="AC34" i="21"/>
  <c r="W34" i="21"/>
  <c r="Q34" i="21"/>
  <c r="Z34" i="21" s="1"/>
  <c r="J34" i="21"/>
  <c r="H34" i="21"/>
  <c r="AB34" i="21" s="1"/>
  <c r="F34" i="21"/>
  <c r="AA34" i="21" s="1"/>
  <c r="AB33" i="21"/>
  <c r="U33" i="21"/>
  <c r="Q33" i="21"/>
  <c r="Z33" i="21" s="1"/>
  <c r="J33" i="21"/>
  <c r="AC33" i="21" s="1"/>
  <c r="H33" i="21"/>
  <c r="F33" i="21"/>
  <c r="AA33" i="21" s="1"/>
  <c r="AA32" i="21"/>
  <c r="Q32" i="21"/>
  <c r="Z32" i="21" s="1"/>
  <c r="J32" i="21"/>
  <c r="H32" i="21"/>
  <c r="AB32" i="21" s="1"/>
  <c r="F32" i="21"/>
  <c r="S32" i="21" s="1"/>
  <c r="Z31" i="21"/>
  <c r="Q31" i="21"/>
  <c r="J31" i="21"/>
  <c r="AC31" i="21" s="1"/>
  <c r="H31" i="21"/>
  <c r="F31" i="21"/>
  <c r="AA31" i="21" s="1"/>
  <c r="AC30" i="21"/>
  <c r="W30" i="21"/>
  <c r="Q30" i="21"/>
  <c r="Z30" i="21" s="1"/>
  <c r="J30" i="21"/>
  <c r="F30" i="21"/>
  <c r="Z29" i="21"/>
  <c r="Q29" i="21"/>
  <c r="J29" i="21"/>
  <c r="AC29" i="21" s="1"/>
  <c r="H29" i="21"/>
  <c r="F29" i="21"/>
  <c r="AA29" i="21" s="1"/>
  <c r="AC28" i="21"/>
  <c r="W28" i="21"/>
  <c r="Q28" i="21"/>
  <c r="Z28" i="21" s="1"/>
  <c r="J28" i="21"/>
  <c r="F28" i="21"/>
  <c r="Z27" i="21"/>
  <c r="Q27" i="21"/>
  <c r="J27" i="21"/>
  <c r="AC27" i="21" s="1"/>
  <c r="H27" i="21"/>
  <c r="F27" i="21"/>
  <c r="AA27" i="21" s="1"/>
  <c r="AC26" i="21"/>
  <c r="AA26" i="21"/>
  <c r="W26" i="21"/>
  <c r="Q26" i="21"/>
  <c r="Z26" i="21" s="1"/>
  <c r="J26" i="21"/>
  <c r="H26" i="21"/>
  <c r="AB26" i="21" s="1"/>
  <c r="F26" i="21"/>
  <c r="S26" i="21" s="1"/>
  <c r="AB25" i="21"/>
  <c r="Z25" i="21"/>
  <c r="U25" i="21"/>
  <c r="Q25" i="21"/>
  <c r="J25" i="21"/>
  <c r="AC25" i="21" s="1"/>
  <c r="H25" i="21"/>
  <c r="F25" i="21"/>
  <c r="AA25" i="21" s="1"/>
  <c r="Q23" i="21"/>
  <c r="Z23" i="21" s="1"/>
  <c r="J23" i="21"/>
  <c r="H23" i="21"/>
  <c r="AB23" i="21" s="1"/>
  <c r="F23" i="21"/>
  <c r="AA23" i="21" s="1"/>
  <c r="C23" i="21"/>
  <c r="AC21" i="21"/>
  <c r="AA21" i="21"/>
  <c r="W21" i="21"/>
  <c r="Q21" i="21"/>
  <c r="Z21" i="21" s="1"/>
  <c r="J21" i="21"/>
  <c r="H21" i="21"/>
  <c r="AB21" i="21" s="1"/>
  <c r="F21" i="21"/>
  <c r="S21" i="21" s="1"/>
  <c r="C21" i="21"/>
  <c r="AA19" i="21"/>
  <c r="Q19" i="21"/>
  <c r="Z19" i="21" s="1"/>
  <c r="J19" i="21"/>
  <c r="H19" i="21"/>
  <c r="AB19" i="21" s="1"/>
  <c r="F19" i="21"/>
  <c r="S19" i="21" s="1"/>
  <c r="C19" i="21"/>
  <c r="AC17" i="21"/>
  <c r="AA17" i="21"/>
  <c r="Q17" i="21"/>
  <c r="Z17" i="21" s="1"/>
  <c r="J17" i="21"/>
  <c r="W17" i="21" s="1"/>
  <c r="H17" i="21"/>
  <c r="AB17" i="21" s="1"/>
  <c r="F17" i="21"/>
  <c r="S17" i="21" s="1"/>
  <c r="C17" i="21"/>
  <c r="AB15" i="21"/>
  <c r="W15" i="21"/>
  <c r="Q15" i="21"/>
  <c r="Z15" i="21" s="1"/>
  <c r="J15" i="21"/>
  <c r="AC15" i="21" s="1"/>
  <c r="H15" i="21"/>
  <c r="U15" i="21" s="1"/>
  <c r="F15" i="21"/>
  <c r="AA15" i="21" s="1"/>
  <c r="C15" i="21"/>
  <c r="Q14" i="21"/>
  <c r="Z14" i="21" s="1"/>
  <c r="AB13" i="21"/>
  <c r="Z13" i="21"/>
  <c r="Q13" i="21"/>
  <c r="J13" i="21"/>
  <c r="AC13" i="21" s="1"/>
  <c r="H13" i="21"/>
  <c r="U13" i="21" s="1"/>
  <c r="F13" i="21"/>
  <c r="AA13" i="21" s="1"/>
  <c r="Q12" i="21"/>
  <c r="Z12" i="21" s="1"/>
  <c r="F12" i="21"/>
  <c r="W11" i="21"/>
  <c r="Q11" i="21"/>
  <c r="Z11" i="21" s="1"/>
  <c r="J11" i="21"/>
  <c r="AC11" i="21" s="1"/>
  <c r="H11" i="21"/>
  <c r="U11" i="21" s="1"/>
  <c r="F11" i="21"/>
  <c r="AA11" i="21" s="1"/>
  <c r="AC10" i="21"/>
  <c r="AA10" i="21"/>
  <c r="Q10" i="21"/>
  <c r="Z10" i="21" s="1"/>
  <c r="J10" i="21"/>
  <c r="W10" i="21" s="1"/>
  <c r="H10" i="21"/>
  <c r="F10" i="21"/>
  <c r="S10" i="21" s="1"/>
  <c r="Z9" i="21"/>
  <c r="S9" i="21"/>
  <c r="Q9" i="21"/>
  <c r="H9" i="21"/>
  <c r="U9" i="21" s="1"/>
  <c r="F9" i="21"/>
  <c r="AA9" i="21" s="1"/>
  <c r="AC8" i="21"/>
  <c r="U8" i="21"/>
  <c r="J8" i="21"/>
  <c r="W8" i="21" s="1"/>
  <c r="H8" i="21"/>
  <c r="AB8" i="21" s="1"/>
  <c r="F8" i="21"/>
  <c r="B2" i="21"/>
  <c r="E13" i="70"/>
  <c r="A13" i="70"/>
  <c r="E12" i="70"/>
  <c r="A12" i="70"/>
  <c r="E11" i="70"/>
  <c r="A11" i="70"/>
  <c r="E10" i="70"/>
  <c r="A10" i="70"/>
  <c r="E9" i="70"/>
  <c r="A9" i="70"/>
  <c r="E8" i="70"/>
  <c r="A8" i="70"/>
  <c r="E7" i="70"/>
  <c r="A7" i="70"/>
  <c r="A6" i="70"/>
  <c r="R43" i="77"/>
  <c r="R40" i="77"/>
  <c r="F36" i="77"/>
  <c r="R34" i="77"/>
  <c r="R33" i="77"/>
  <c r="C30" i="77"/>
  <c r="C29"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R4" i="77"/>
  <c r="R3" i="77"/>
  <c r="P74" i="67"/>
  <c r="Q72" i="67"/>
  <c r="P61" i="67"/>
  <c r="F61" i="67"/>
  <c r="Q59" i="67"/>
  <c r="K59" i="67"/>
  <c r="Q58" i="67"/>
  <c r="Q51" i="67"/>
  <c r="J50" i="67"/>
  <c r="J49" i="67"/>
  <c r="M47" i="67"/>
  <c r="D46" i="67"/>
  <c r="F33" i="67"/>
  <c r="F23" i="67"/>
  <c r="F21" i="67"/>
  <c r="F20" i="67"/>
  <c r="M19" i="67"/>
  <c r="F18" i="67"/>
  <c r="F17" i="67"/>
  <c r="F15" i="67"/>
  <c r="B131" i="34"/>
  <c r="B129" i="34"/>
  <c r="H46" i="34" s="1"/>
  <c r="B127" i="34"/>
  <c r="H45" i="34" s="1"/>
  <c r="D126" i="34"/>
  <c r="F124" i="34"/>
  <c r="G124" i="34" s="1"/>
  <c r="H124" i="34" s="1"/>
  <c r="I124" i="34" s="1"/>
  <c r="J124" i="34" s="1"/>
  <c r="K124" i="34" s="1"/>
  <c r="L124" i="34" s="1"/>
  <c r="M124" i="34" s="1"/>
  <c r="E124" i="34"/>
  <c r="F43" i="34" s="1"/>
  <c r="S43" i="34" s="1"/>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H114" i="34"/>
  <c r="I114" i="34" s="1"/>
  <c r="J114" i="34" s="1"/>
  <c r="K114" i="34" s="1"/>
  <c r="L114" i="34" s="1"/>
  <c r="M114" i="34" s="1"/>
  <c r="E114" i="34"/>
  <c r="F114" i="34" s="1"/>
  <c r="G114" i="34" s="1"/>
  <c r="D114" i="34"/>
  <c r="J112" i="34"/>
  <c r="K112" i="34" s="1"/>
  <c r="L112" i="34" s="1"/>
  <c r="M112" i="34" s="1"/>
  <c r="E112" i="34"/>
  <c r="F112" i="34" s="1"/>
  <c r="G112" i="34" s="1"/>
  <c r="H112" i="34" s="1"/>
  <c r="I112" i="34" s="1"/>
  <c r="D112" i="34"/>
  <c r="G110" i="34"/>
  <c r="F110" i="34"/>
  <c r="E110" i="34"/>
  <c r="D110" i="34"/>
  <c r="C110" i="34"/>
  <c r="D109" i="34"/>
  <c r="E109" i="34" s="1"/>
  <c r="F109" i="34" s="1"/>
  <c r="G109" i="34" s="1"/>
  <c r="H109" i="34" s="1"/>
  <c r="I109" i="34" s="1"/>
  <c r="J109" i="34" s="1"/>
  <c r="K109" i="34" s="1"/>
  <c r="L109" i="34" s="1"/>
  <c r="M109" i="34" s="1"/>
  <c r="H107" i="34"/>
  <c r="I107" i="34" s="1"/>
  <c r="J107" i="34" s="1"/>
  <c r="K107" i="34" s="1"/>
  <c r="L107" i="34" s="1"/>
  <c r="M107" i="34" s="1"/>
  <c r="F107" i="34"/>
  <c r="G107" i="34" s="1"/>
  <c r="D107" i="34"/>
  <c r="E107" i="34" s="1"/>
  <c r="M103" i="34"/>
  <c r="L103" i="34"/>
  <c r="K103" i="34"/>
  <c r="J103" i="34"/>
  <c r="I103" i="34"/>
  <c r="H103" i="34"/>
  <c r="G103" i="34"/>
  <c r="F103" i="34"/>
  <c r="E103" i="34"/>
  <c r="D103" i="34"/>
  <c r="C103" i="34"/>
  <c r="L102" i="34"/>
  <c r="M102" i="34" s="1"/>
  <c r="G102" i="34"/>
  <c r="H102" i="34" s="1"/>
  <c r="I102" i="34" s="1"/>
  <c r="J102" i="34" s="1"/>
  <c r="K102" i="34" s="1"/>
  <c r="D102" i="34"/>
  <c r="E102" i="34" s="1"/>
  <c r="F102" i="34" s="1"/>
  <c r="B99" i="34"/>
  <c r="F32" i="34" s="1"/>
  <c r="S32" i="34" s="1"/>
  <c r="B97" i="34"/>
  <c r="B95" i="34"/>
  <c r="B93" i="34"/>
  <c r="H29" i="34" s="1"/>
  <c r="K92" i="34"/>
  <c r="L92" i="34" s="1"/>
  <c r="M92" i="34" s="1"/>
  <c r="F92" i="34"/>
  <c r="G92" i="34" s="1"/>
  <c r="H92" i="34" s="1"/>
  <c r="I92" i="34" s="1"/>
  <c r="J92" i="34" s="1"/>
  <c r="E92" i="34"/>
  <c r="D92" i="34"/>
  <c r="B91" i="34"/>
  <c r="F28" i="34" s="1"/>
  <c r="E90" i="34"/>
  <c r="D90" i="34"/>
  <c r="B89" i="34"/>
  <c r="L88" i="34"/>
  <c r="M88" i="34" s="1"/>
  <c r="G88" i="34"/>
  <c r="H88" i="34" s="1"/>
  <c r="I88" i="34" s="1"/>
  <c r="J88" i="34" s="1"/>
  <c r="K88" i="34" s="1"/>
  <c r="D88" i="34"/>
  <c r="E88" i="34" s="1"/>
  <c r="F88" i="34" s="1"/>
  <c r="E86" i="34"/>
  <c r="F86" i="34" s="1"/>
  <c r="G86" i="34" s="1"/>
  <c r="D86" i="34"/>
  <c r="H23" i="34" s="1"/>
  <c r="G84" i="34"/>
  <c r="D84" i="34"/>
  <c r="E84" i="34" s="1"/>
  <c r="F84" i="34" s="1"/>
  <c r="E82" i="34"/>
  <c r="F82" i="34" s="1"/>
  <c r="G82" i="34" s="1"/>
  <c r="D82" i="34"/>
  <c r="D80" i="34"/>
  <c r="E78" i="34"/>
  <c r="F78" i="34" s="1"/>
  <c r="G78" i="34" s="1"/>
  <c r="D78" i="34"/>
  <c r="H15" i="34" s="1"/>
  <c r="B75" i="34"/>
  <c r="H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H55" i="34"/>
  <c r="G55" i="34"/>
  <c r="E55" i="34"/>
  <c r="F55" i="34" s="1"/>
  <c r="P50" i="34"/>
  <c r="P49" i="34"/>
  <c r="K49" i="34"/>
  <c r="V48" i="34"/>
  <c r="T48" i="34"/>
  <c r="R48" i="34"/>
  <c r="P48" i="34"/>
  <c r="AC47" i="34"/>
  <c r="AA47" i="34"/>
  <c r="U47" i="34"/>
  <c r="Q47" i="34"/>
  <c r="Z47" i="34" s="1"/>
  <c r="J47" i="34"/>
  <c r="W47" i="34" s="1"/>
  <c r="H47" i="34"/>
  <c r="AB47" i="34" s="1"/>
  <c r="F47" i="34"/>
  <c r="S47" i="34" s="1"/>
  <c r="Z46" i="34"/>
  <c r="Q46" i="34"/>
  <c r="Z45" i="34"/>
  <c r="S45" i="34"/>
  <c r="Q45" i="34"/>
  <c r="J45" i="34"/>
  <c r="W45" i="34" s="1"/>
  <c r="F45" i="34"/>
  <c r="AA45" i="34" s="1"/>
  <c r="Z44" i="34"/>
  <c r="Q44" i="34"/>
  <c r="J44" i="34"/>
  <c r="W44" i="34" s="1"/>
  <c r="AC43" i="34"/>
  <c r="AA43" i="34"/>
  <c r="Q43" i="34"/>
  <c r="Z43" i="34" s="1"/>
  <c r="J43" i="34"/>
  <c r="W43" i="34" s="1"/>
  <c r="H43" i="34"/>
  <c r="AB42" i="34"/>
  <c r="Z42" i="34"/>
  <c r="Q42" i="34"/>
  <c r="J42" i="34"/>
  <c r="AC42" i="34" s="1"/>
  <c r="H42" i="34"/>
  <c r="U42" i="34" s="1"/>
  <c r="F42" i="34"/>
  <c r="AA42" i="34" s="1"/>
  <c r="AC41" i="34"/>
  <c r="AA41" i="34"/>
  <c r="W41" i="34"/>
  <c r="Q41" i="34"/>
  <c r="Z41" i="34" s="1"/>
  <c r="J41" i="34"/>
  <c r="H41" i="34"/>
  <c r="AB41" i="34" s="1"/>
  <c r="F41" i="34"/>
  <c r="S41" i="34" s="1"/>
  <c r="Z40" i="34"/>
  <c r="U40" i="34"/>
  <c r="Q40" i="34"/>
  <c r="J40" i="34"/>
  <c r="W40" i="34" s="1"/>
  <c r="H40" i="34"/>
  <c r="AB40" i="34" s="1"/>
  <c r="F40" i="34"/>
  <c r="AA40" i="34" s="1"/>
  <c r="AB39" i="34"/>
  <c r="Q39" i="34"/>
  <c r="Z39" i="34" s="1"/>
  <c r="J39" i="34"/>
  <c r="AC39" i="34" s="1"/>
  <c r="H39" i="34"/>
  <c r="U39" i="34" s="1"/>
  <c r="F39" i="34"/>
  <c r="AA39" i="34" s="1"/>
  <c r="AA38" i="34"/>
  <c r="U38" i="34"/>
  <c r="Q38" i="34"/>
  <c r="Z38" i="34" s="1"/>
  <c r="J38" i="34"/>
  <c r="AC38" i="34" s="1"/>
  <c r="H38" i="34"/>
  <c r="AB38" i="34" s="1"/>
  <c r="F38" i="34"/>
  <c r="S38" i="34" s="1"/>
  <c r="Z37" i="34"/>
  <c r="Q37" i="34"/>
  <c r="AC36" i="34"/>
  <c r="AA36" i="34"/>
  <c r="Q36" i="34"/>
  <c r="Z36" i="34" s="1"/>
  <c r="J36" i="34"/>
  <c r="W36" i="34" s="1"/>
  <c r="H36" i="34"/>
  <c r="AB36" i="34" s="1"/>
  <c r="F36" i="34"/>
  <c r="S36" i="34" s="1"/>
  <c r="AB35" i="34"/>
  <c r="Z35" i="34"/>
  <c r="Q35" i="34"/>
  <c r="J35" i="34"/>
  <c r="AC35" i="34" s="1"/>
  <c r="H35" i="34"/>
  <c r="U35" i="34" s="1"/>
  <c r="F35" i="34"/>
  <c r="AA35" i="34" s="1"/>
  <c r="Z34" i="34"/>
  <c r="Q34" i="34"/>
  <c r="AB33" i="34"/>
  <c r="W33" i="34"/>
  <c r="Q33" i="34"/>
  <c r="Z33" i="34" s="1"/>
  <c r="J33" i="34"/>
  <c r="AC33" i="34" s="1"/>
  <c r="H33" i="34"/>
  <c r="U33" i="34" s="1"/>
  <c r="F33" i="34"/>
  <c r="AA33" i="34" s="1"/>
  <c r="Q32" i="34"/>
  <c r="Z32" i="34" s="1"/>
  <c r="J32" i="34"/>
  <c r="H32" i="34"/>
  <c r="Q31" i="34"/>
  <c r="Z31" i="34" s="1"/>
  <c r="J31" i="34"/>
  <c r="AC31" i="34" s="1"/>
  <c r="H31" i="34"/>
  <c r="AB31" i="34" s="1"/>
  <c r="F31" i="34"/>
  <c r="AA31" i="34" s="1"/>
  <c r="Q30" i="34"/>
  <c r="Z30" i="34" s="1"/>
  <c r="J30" i="34"/>
  <c r="AC30" i="34" s="1"/>
  <c r="H30" i="34"/>
  <c r="AB30" i="34" s="1"/>
  <c r="F30" i="34"/>
  <c r="AA30" i="34" s="1"/>
  <c r="AC29" i="34"/>
  <c r="W29" i="34"/>
  <c r="Q29" i="34"/>
  <c r="Z29" i="34" s="1"/>
  <c r="J29" i="34"/>
  <c r="F29" i="34"/>
  <c r="AA29" i="34" s="1"/>
  <c r="Z28" i="34"/>
  <c r="Q28" i="34"/>
  <c r="J28" i="34"/>
  <c r="AC28" i="34" s="1"/>
  <c r="H28" i="34"/>
  <c r="AA27" i="34"/>
  <c r="S27" i="34"/>
  <c r="Q27" i="34"/>
  <c r="Z27" i="34" s="1"/>
  <c r="J27" i="34"/>
  <c r="AC27" i="34" s="1"/>
  <c r="F27" i="34"/>
  <c r="AB25" i="34"/>
  <c r="Z25" i="34"/>
  <c r="U25" i="34"/>
  <c r="Q25" i="34"/>
  <c r="J25" i="34"/>
  <c r="AC25" i="34" s="1"/>
  <c r="H25" i="34"/>
  <c r="F25" i="34"/>
  <c r="AA25" i="34" s="1"/>
  <c r="AA23" i="34"/>
  <c r="S23" i="34"/>
  <c r="Q23" i="34"/>
  <c r="Z23" i="34" s="1"/>
  <c r="J23" i="34"/>
  <c r="F23" i="34"/>
  <c r="C23" i="34"/>
  <c r="AA21" i="34"/>
  <c r="Q21" i="34"/>
  <c r="Z21" i="34" s="1"/>
  <c r="J21" i="34"/>
  <c r="H21" i="34"/>
  <c r="AB21" i="34" s="1"/>
  <c r="F21" i="34"/>
  <c r="S21" i="34" s="1"/>
  <c r="C21" i="34"/>
  <c r="AC19" i="34"/>
  <c r="AA19" i="34"/>
  <c r="W19" i="34"/>
  <c r="Q19" i="34"/>
  <c r="Z19" i="34" s="1"/>
  <c r="J19" i="34"/>
  <c r="H19" i="34"/>
  <c r="AB19" i="34" s="1"/>
  <c r="F19" i="34"/>
  <c r="S19" i="34" s="1"/>
  <c r="C19" i="34"/>
  <c r="AA17" i="34"/>
  <c r="S17" i="34"/>
  <c r="Q17" i="34"/>
  <c r="Z17" i="34" s="1"/>
  <c r="J17" i="34"/>
  <c r="AC17" i="34" s="1"/>
  <c r="F17" i="34"/>
  <c r="C17" i="34"/>
  <c r="AA15" i="34"/>
  <c r="S15" i="34"/>
  <c r="Q15" i="34"/>
  <c r="Z15" i="34" s="1"/>
  <c r="J15" i="34"/>
  <c r="AC15" i="34" s="1"/>
  <c r="F15" i="34"/>
  <c r="C15" i="34"/>
  <c r="Q14" i="34"/>
  <c r="Z14" i="34" s="1"/>
  <c r="J14" i="34"/>
  <c r="AC14" i="34" s="1"/>
  <c r="AB13" i="34"/>
  <c r="Z13" i="34"/>
  <c r="U13" i="34"/>
  <c r="Q13" i="34"/>
  <c r="J13" i="34"/>
  <c r="AC13" i="34" s="1"/>
  <c r="H13" i="34"/>
  <c r="F13" i="34"/>
  <c r="AA13" i="34" s="1"/>
  <c r="Q12" i="34"/>
  <c r="Z12" i="34" s="1"/>
  <c r="J12" i="34"/>
  <c r="AB11" i="34"/>
  <c r="U11" i="34"/>
  <c r="Q11" i="34"/>
  <c r="Z11" i="34" s="1"/>
  <c r="J11" i="34"/>
  <c r="AC11" i="34" s="1"/>
  <c r="H11" i="34"/>
  <c r="F11" i="34"/>
  <c r="AA11" i="34" s="1"/>
  <c r="Q10" i="34"/>
  <c r="Z10" i="34" s="1"/>
  <c r="J10" i="34"/>
  <c r="AC10" i="34" s="1"/>
  <c r="H10" i="34"/>
  <c r="AB10" i="34" s="1"/>
  <c r="F10" i="34"/>
  <c r="AA10" i="34" s="1"/>
  <c r="Q9" i="34"/>
  <c r="Z9" i="34" s="1"/>
  <c r="AB8" i="34"/>
  <c r="U8" i="34"/>
  <c r="J8" i="34"/>
  <c r="W8" i="34" s="1"/>
  <c r="H8" i="34"/>
  <c r="F8" i="34"/>
  <c r="S8" i="34" s="1"/>
  <c r="P74" i="15"/>
  <c r="Q72" i="15"/>
  <c r="P61" i="15"/>
  <c r="F61" i="15"/>
  <c r="Q59" i="15"/>
  <c r="K59" i="15"/>
  <c r="Q58" i="15"/>
  <c r="Q51" i="15"/>
  <c r="J51" i="15"/>
  <c r="J50" i="15"/>
  <c r="M47" i="15"/>
  <c r="D46" i="15"/>
  <c r="F34" i="15"/>
  <c r="F62" i="15" s="1"/>
  <c r="F33" i="15"/>
  <c r="D24" i="15"/>
  <c r="F23" i="15"/>
  <c r="D22" i="15" s="1"/>
  <c r="D23" i="15"/>
  <c r="F21" i="15"/>
  <c r="F20" i="15"/>
  <c r="M19" i="15"/>
  <c r="F18" i="15"/>
  <c r="F17" i="15"/>
  <c r="F15" i="15"/>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0" i="69"/>
  <c r="E9" i="69"/>
  <c r="F7" i="69"/>
  <c r="H1" i="69"/>
  <c r="F40" i="68"/>
  <c r="F39" i="68"/>
  <c r="F38" i="68"/>
  <c r="E37" i="68"/>
  <c r="F36" i="68"/>
  <c r="F35" i="68"/>
  <c r="G22" i="68"/>
  <c r="F21" i="68"/>
  <c r="C40" i="68" s="1"/>
  <c r="C21" i="68"/>
  <c r="F20" i="68"/>
  <c r="E19" i="68"/>
  <c r="E10" i="68"/>
  <c r="E9" i="68"/>
  <c r="C8" i="68"/>
  <c r="F7" i="68"/>
  <c r="C7" i="68" s="1"/>
  <c r="A126" i="9"/>
  <c r="A124" i="9"/>
  <c r="D120" i="9"/>
  <c r="A120" i="9"/>
  <c r="H112" i="9"/>
  <c r="H111" i="9"/>
  <c r="E111" i="9"/>
  <c r="H110" i="9"/>
  <c r="E109" i="9"/>
  <c r="H109" i="9" s="1"/>
  <c r="D124" i="9" s="1"/>
  <c r="E107" i="9"/>
  <c r="A122" i="9" s="1"/>
  <c r="A8" i="52" s="1"/>
  <c r="H106" i="9"/>
  <c r="H105" i="9"/>
  <c r="H103" i="9" s="1"/>
  <c r="H104" i="9"/>
  <c r="D101" i="9"/>
  <c r="C101" i="9"/>
  <c r="C91" i="9"/>
  <c r="E90" i="9"/>
  <c r="D89" i="9"/>
  <c r="C89" i="9"/>
  <c r="C87" i="9" s="1"/>
  <c r="C92" i="9" s="1"/>
  <c r="H77" i="9"/>
  <c r="D77" i="9"/>
  <c r="C76" i="9"/>
  <c r="F59" i="9"/>
  <c r="E59" i="9"/>
  <c r="N55" i="9" s="1"/>
  <c r="F56" i="9"/>
  <c r="O54" i="9" s="1"/>
  <c r="O55" i="9"/>
  <c r="K55" i="9"/>
  <c r="J55" i="9"/>
  <c r="I55" i="9"/>
  <c r="F55" i="9"/>
  <c r="O53" i="9" s="1"/>
  <c r="N54" i="9"/>
  <c r="N53" i="9"/>
  <c r="M52" i="9"/>
  <c r="K49" i="9"/>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B88" i="43" s="1"/>
  <c r="C20" i="20"/>
  <c r="G19" i="20"/>
  <c r="G18" i="20"/>
  <c r="B90" i="43" s="1"/>
  <c r="C18" i="20"/>
  <c r="C17" i="20"/>
  <c r="G16" i="20"/>
  <c r="B84" i="43" s="1"/>
  <c r="C16" i="20"/>
  <c r="C17" i="39" s="1"/>
  <c r="G15" i="20"/>
  <c r="C15" i="20"/>
  <c r="B52" i="1"/>
  <c r="M20" i="67" s="1"/>
  <c r="B43" i="1"/>
  <c r="D78" i="9" s="1"/>
  <c r="B31" i="1"/>
  <c r="E19" i="11" s="1"/>
  <c r="B24" i="1"/>
  <c r="B23" i="1"/>
  <c r="B22" i="1"/>
  <c r="O19" i="1"/>
  <c r="N18" i="1"/>
  <c r="N20" i="1" s="1"/>
  <c r="N6" i="1" s="1"/>
  <c r="C36" i="33" s="1"/>
  <c r="E36" i="33" s="1"/>
  <c r="G36" i="33" s="1"/>
  <c r="I36" i="33" s="1"/>
  <c r="J36" i="33" s="1"/>
  <c r="AC36" i="33" s="1"/>
  <c r="P14" i="1"/>
  <c r="O14" i="1"/>
  <c r="AP13" i="1"/>
  <c r="AG13" i="1"/>
  <c r="AE13" i="1"/>
  <c r="S13" i="1"/>
  <c r="AR13" i="1" s="1"/>
  <c r="P13" i="1"/>
  <c r="O13" i="1"/>
  <c r="K13" i="1"/>
  <c r="M13" i="1" s="1"/>
  <c r="F13" i="1"/>
  <c r="G13" i="1" s="1"/>
  <c r="E13" i="1"/>
  <c r="D13" i="1"/>
  <c r="B13" i="1"/>
  <c r="A13" i="1"/>
  <c r="R13" i="1" s="1"/>
  <c r="AP12" i="1"/>
  <c r="AG12" i="1"/>
  <c r="AE12" i="1"/>
  <c r="P12" i="1"/>
  <c r="O12" i="1"/>
  <c r="F12" i="1"/>
  <c r="D12" i="1"/>
  <c r="A12" i="1"/>
  <c r="AP11" i="1"/>
  <c r="AG11" i="1"/>
  <c r="AE11" i="1"/>
  <c r="S11" i="1"/>
  <c r="AR11" i="1" s="1"/>
  <c r="P11" i="1"/>
  <c r="O11" i="1"/>
  <c r="K11" i="1"/>
  <c r="M11" i="1" s="1"/>
  <c r="F11" i="1"/>
  <c r="D11" i="1"/>
  <c r="B11" i="1"/>
  <c r="E11" i="1" s="1"/>
  <c r="A11" i="1"/>
  <c r="R11" i="1" s="1"/>
  <c r="AP10" i="1"/>
  <c r="AG10" i="1"/>
  <c r="AE10" i="1"/>
  <c r="R10" i="1"/>
  <c r="P10" i="1"/>
  <c r="O10" i="1"/>
  <c r="F10" i="1"/>
  <c r="D10" i="1"/>
  <c r="A10" i="1"/>
  <c r="AP9" i="1"/>
  <c r="AG9" i="1"/>
  <c r="AE9" i="1"/>
  <c r="S9" i="1"/>
  <c r="AR9" i="1" s="1"/>
  <c r="P9" i="1"/>
  <c r="O9" i="1"/>
  <c r="K9" i="1"/>
  <c r="M9" i="1" s="1"/>
  <c r="F9" i="1"/>
  <c r="G9" i="1" s="1"/>
  <c r="D9" i="1"/>
  <c r="B9" i="1"/>
  <c r="E9" i="1" s="1"/>
  <c r="A9" i="1"/>
  <c r="R9" i="1" s="1"/>
  <c r="AP8" i="1"/>
  <c r="AG8" i="1"/>
  <c r="AE8" i="1"/>
  <c r="P8" i="1"/>
  <c r="O8" i="1"/>
  <c r="F8" i="1"/>
  <c r="D8" i="1"/>
  <c r="A8" i="1"/>
  <c r="AP7" i="1"/>
  <c r="AG7" i="1"/>
  <c r="AE7" i="1"/>
  <c r="P7" i="1"/>
  <c r="O7" i="1"/>
  <c r="F7" i="1"/>
  <c r="D7" i="1"/>
  <c r="A7" i="1"/>
  <c r="AP6" i="1"/>
  <c r="AG6" i="1"/>
  <c r="P6" i="1"/>
  <c r="O6" i="1"/>
  <c r="D6" i="1"/>
  <c r="A6" i="1"/>
  <c r="G1" i="67" s="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s="1"/>
  <c r="BT586" i="3"/>
  <c r="BS586" i="3"/>
  <c r="BR586" i="3"/>
  <c r="BQ586" i="3"/>
  <c r="BP586" i="3"/>
  <c r="BO586" i="3"/>
  <c r="BN586" i="3"/>
  <c r="BL586" i="3" s="1"/>
  <c r="BM586" i="3"/>
  <c r="BK586" i="3"/>
  <c r="BJ586" i="3"/>
  <c r="BI586" i="3"/>
  <c r="BH586" i="3"/>
  <c r="BG586" i="3"/>
  <c r="BF586" i="3"/>
  <c r="BE586" i="3"/>
  <c r="BD586" i="3"/>
  <c r="BC586" i="3"/>
  <c r="BB586" i="3"/>
  <c r="BA586" i="3" s="1"/>
  <c r="AZ586" i="3"/>
  <c r="AX586" i="3"/>
  <c r="AW586" i="3"/>
  <c r="AV586" i="3"/>
  <c r="AC586" i="3"/>
  <c r="G586" i="3" s="1"/>
  <c r="H586" i="3"/>
  <c r="BT585" i="3"/>
  <c r="BS585" i="3"/>
  <c r="BR585" i="3"/>
  <c r="BQ585" i="3"/>
  <c r="BP585" i="3"/>
  <c r="BO585" i="3"/>
  <c r="BN585" i="3"/>
  <c r="BM585" i="3"/>
  <c r="BK585" i="3"/>
  <c r="BJ585" i="3"/>
  <c r="BI585" i="3"/>
  <c r="BH585" i="3"/>
  <c r="BG585" i="3"/>
  <c r="BF585" i="3"/>
  <c r="BE585" i="3"/>
  <c r="BD585" i="3"/>
  <c r="BC585" i="3"/>
  <c r="BA585" i="3" s="1"/>
  <c r="BB585" i="3"/>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L582" i="3" s="1"/>
  <c r="BM582" i="3"/>
  <c r="BK582" i="3"/>
  <c r="BJ582" i="3"/>
  <c r="BI582" i="3"/>
  <c r="BH582" i="3"/>
  <c r="BG582" i="3"/>
  <c r="BF582" i="3"/>
  <c r="BE582" i="3"/>
  <c r="BD582" i="3"/>
  <c r="BC582" i="3"/>
  <c r="BB582" i="3"/>
  <c r="BA582" i="3" s="1"/>
  <c r="AZ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A581" i="3" s="1"/>
  <c r="BB581" i="3"/>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s="1"/>
  <c r="BT578" i="3"/>
  <c r="BS578" i="3"/>
  <c r="BR578" i="3"/>
  <c r="BQ578" i="3"/>
  <c r="BP578" i="3"/>
  <c r="BO578" i="3"/>
  <c r="BN578" i="3"/>
  <c r="BL578" i="3" s="1"/>
  <c r="BM578" i="3"/>
  <c r="BK578" i="3"/>
  <c r="BJ578" i="3"/>
  <c r="BI578" i="3"/>
  <c r="BH578" i="3"/>
  <c r="BG578" i="3"/>
  <c r="BF578" i="3"/>
  <c r="BE578" i="3"/>
  <c r="BD578" i="3"/>
  <c r="BC578" i="3"/>
  <c r="BB578" i="3"/>
  <c r="BA578" i="3" s="1"/>
  <c r="AZ578" i="3"/>
  <c r="AX578" i="3"/>
  <c r="AW578" i="3"/>
  <c r="AV578" i="3"/>
  <c r="AC578" i="3"/>
  <c r="G578" i="3" s="1"/>
  <c r="H578" i="3"/>
  <c r="BT577" i="3"/>
  <c r="BS577" i="3"/>
  <c r="BR577" i="3"/>
  <c r="BQ577" i="3"/>
  <c r="BP577" i="3"/>
  <c r="BO577" i="3"/>
  <c r="BN577" i="3"/>
  <c r="BM577" i="3"/>
  <c r="BK577" i="3"/>
  <c r="BJ577" i="3"/>
  <c r="BI577" i="3"/>
  <c r="BH577" i="3"/>
  <c r="BG577" i="3"/>
  <c r="BF577" i="3"/>
  <c r="BE577" i="3"/>
  <c r="BD577" i="3"/>
  <c r="BC577" i="3"/>
  <c r="BA577" i="3" s="1"/>
  <c r="BB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s="1"/>
  <c r="BT574" i="3"/>
  <c r="BS574" i="3"/>
  <c r="BR574" i="3"/>
  <c r="BQ574" i="3"/>
  <c r="BP574" i="3"/>
  <c r="BO574" i="3"/>
  <c r="BN574" i="3"/>
  <c r="BL574" i="3" s="1"/>
  <c r="BM574" i="3"/>
  <c r="BK574" i="3"/>
  <c r="BJ574" i="3"/>
  <c r="BI574" i="3"/>
  <c r="BH574" i="3"/>
  <c r="BG574" i="3"/>
  <c r="BF574" i="3"/>
  <c r="BE574" i="3"/>
  <c r="BD574" i="3"/>
  <c r="BC574" i="3"/>
  <c r="BB574" i="3"/>
  <c r="BA574" i="3" s="1"/>
  <c r="AZ574" i="3"/>
  <c r="AX574" i="3"/>
  <c r="AW574" i="3"/>
  <c r="AV574" i="3"/>
  <c r="AC574" i="3"/>
  <c r="G574" i="3" s="1"/>
  <c r="H574" i="3"/>
  <c r="BT573" i="3"/>
  <c r="BS573" i="3"/>
  <c r="BR573" i="3"/>
  <c r="BQ573" i="3"/>
  <c r="BP573" i="3"/>
  <c r="BO573" i="3"/>
  <c r="BN573" i="3"/>
  <c r="BM573" i="3"/>
  <c r="BK573" i="3"/>
  <c r="BJ573" i="3"/>
  <c r="BI573" i="3"/>
  <c r="BH573" i="3"/>
  <c r="BG573" i="3"/>
  <c r="BF573" i="3"/>
  <c r="BE573" i="3"/>
  <c r="BD573" i="3"/>
  <c r="BC573" i="3"/>
  <c r="BA573" i="3" s="1"/>
  <c r="BB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s="1"/>
  <c r="BT570" i="3"/>
  <c r="BS570" i="3"/>
  <c r="BR570" i="3"/>
  <c r="BQ570" i="3"/>
  <c r="BP570" i="3"/>
  <c r="BO570" i="3"/>
  <c r="BN570" i="3"/>
  <c r="BL570" i="3" s="1"/>
  <c r="BM570" i="3"/>
  <c r="BK570" i="3"/>
  <c r="BJ570" i="3"/>
  <c r="BI570" i="3"/>
  <c r="BH570" i="3"/>
  <c r="BG570" i="3"/>
  <c r="BF570" i="3"/>
  <c r="BE570" i="3"/>
  <c r="BD570" i="3"/>
  <c r="BC570" i="3"/>
  <c r="BB570" i="3"/>
  <c r="BA570" i="3" s="1"/>
  <c r="AZ570" i="3"/>
  <c r="AX570" i="3"/>
  <c r="AW570" i="3"/>
  <c r="AV570" i="3"/>
  <c r="AC570" i="3"/>
  <c r="G570" i="3" s="1"/>
  <c r="H570" i="3"/>
  <c r="BT569" i="3"/>
  <c r="BS569" i="3"/>
  <c r="BR569" i="3"/>
  <c r="BQ569" i="3"/>
  <c r="BP569" i="3"/>
  <c r="BO569" i="3"/>
  <c r="BN569" i="3"/>
  <c r="BM569" i="3"/>
  <c r="BK569" i="3"/>
  <c r="BJ569" i="3"/>
  <c r="BI569" i="3"/>
  <c r="BH569" i="3"/>
  <c r="BG569" i="3"/>
  <c r="BF569" i="3"/>
  <c r="BE569" i="3"/>
  <c r="BD569" i="3"/>
  <c r="BC569" i="3"/>
  <c r="BA569" i="3" s="1"/>
  <c r="BB569" i="3"/>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L566" i="3" s="1"/>
  <c r="BM566" i="3"/>
  <c r="BK566" i="3"/>
  <c r="BJ566" i="3"/>
  <c r="BI566" i="3"/>
  <c r="BH566" i="3"/>
  <c r="BG566" i="3"/>
  <c r="BF566" i="3"/>
  <c r="BE566" i="3"/>
  <c r="BD566" i="3"/>
  <c r="BC566" i="3"/>
  <c r="BB566" i="3"/>
  <c r="BA566" i="3" s="1"/>
  <c r="AZ566" i="3"/>
  <c r="AX566" i="3"/>
  <c r="AW566" i="3"/>
  <c r="AV566" i="3"/>
  <c r="AC566" i="3"/>
  <c r="G566" i="3" s="1"/>
  <c r="H566" i="3"/>
  <c r="BT565" i="3"/>
  <c r="BS565" i="3"/>
  <c r="BR565" i="3"/>
  <c r="BQ565" i="3"/>
  <c r="BP565" i="3"/>
  <c r="BO565" i="3"/>
  <c r="BN565" i="3"/>
  <c r="BM565" i="3"/>
  <c r="BK565" i="3"/>
  <c r="BJ565" i="3"/>
  <c r="BI565" i="3"/>
  <c r="BH565" i="3"/>
  <c r="BG565" i="3"/>
  <c r="BF565" i="3"/>
  <c r="BE565" i="3"/>
  <c r="BD565" i="3"/>
  <c r="BC565" i="3"/>
  <c r="BA565" i="3" s="1"/>
  <c r="BB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L562" i="3" s="1"/>
  <c r="BM562" i="3"/>
  <c r="BK562" i="3"/>
  <c r="BJ562" i="3"/>
  <c r="BI562" i="3"/>
  <c r="BH562" i="3"/>
  <c r="BG562" i="3"/>
  <c r="BF562" i="3"/>
  <c r="BE562" i="3"/>
  <c r="BD562" i="3"/>
  <c r="BC562" i="3"/>
  <c r="BB562" i="3"/>
  <c r="BA562" i="3" s="1"/>
  <c r="AZ562" i="3"/>
  <c r="AX562" i="3"/>
  <c r="AW562" i="3"/>
  <c r="AV562" i="3"/>
  <c r="AC562" i="3"/>
  <c r="G562" i="3" s="1"/>
  <c r="H562" i="3"/>
  <c r="BT561" i="3"/>
  <c r="BS561" i="3"/>
  <c r="BR561" i="3"/>
  <c r="BQ561" i="3"/>
  <c r="BP561" i="3"/>
  <c r="BO561" i="3"/>
  <c r="BN561" i="3"/>
  <c r="BM561" i="3"/>
  <c r="BK561" i="3"/>
  <c r="BJ561" i="3"/>
  <c r="BI561" i="3"/>
  <c r="BH561" i="3"/>
  <c r="BG561" i="3"/>
  <c r="BF561" i="3"/>
  <c r="BE561" i="3"/>
  <c r="BD561" i="3"/>
  <c r="BC561" i="3"/>
  <c r="BA561" i="3" s="1"/>
  <c r="BB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L558" i="3" s="1"/>
  <c r="BM558" i="3"/>
  <c r="BK558" i="3"/>
  <c r="BJ558" i="3"/>
  <c r="BI558" i="3"/>
  <c r="BH558" i="3"/>
  <c r="BG558" i="3"/>
  <c r="BF558" i="3"/>
  <c r="BE558" i="3"/>
  <c r="BD558" i="3"/>
  <c r="BC558" i="3"/>
  <c r="BB558" i="3"/>
  <c r="BA558" i="3" s="1"/>
  <c r="AZ558" i="3"/>
  <c r="AX558" i="3"/>
  <c r="AW558" i="3"/>
  <c r="AV558" i="3"/>
  <c r="AC558" i="3"/>
  <c r="G558" i="3" s="1"/>
  <c r="H558" i="3"/>
  <c r="BT557" i="3"/>
  <c r="BS557" i="3"/>
  <c r="BR557" i="3"/>
  <c r="BQ557" i="3"/>
  <c r="BP557" i="3"/>
  <c r="BO557" i="3"/>
  <c r="BN557" i="3"/>
  <c r="BM557" i="3"/>
  <c r="BK557" i="3"/>
  <c r="BJ557" i="3"/>
  <c r="BI557" i="3"/>
  <c r="BH557" i="3"/>
  <c r="BG557" i="3"/>
  <c r="BF557" i="3"/>
  <c r="BE557" i="3"/>
  <c r="BD557" i="3"/>
  <c r="BC557" i="3"/>
  <c r="BA557" i="3" s="1"/>
  <c r="BB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s="1"/>
  <c r="BT554" i="3"/>
  <c r="BS554" i="3"/>
  <c r="BR554" i="3"/>
  <c r="BQ554" i="3"/>
  <c r="BP554" i="3"/>
  <c r="BO554" i="3"/>
  <c r="BN554" i="3"/>
  <c r="BL554" i="3" s="1"/>
  <c r="BM554" i="3"/>
  <c r="BK554" i="3"/>
  <c r="BJ554" i="3"/>
  <c r="BI554" i="3"/>
  <c r="BH554" i="3"/>
  <c r="BG554" i="3"/>
  <c r="BF554" i="3"/>
  <c r="BE554" i="3"/>
  <c r="BD554" i="3"/>
  <c r="BC554" i="3"/>
  <c r="BB554" i="3"/>
  <c r="BA554" i="3" s="1"/>
  <c r="AZ554" i="3"/>
  <c r="AX554" i="3"/>
  <c r="AW554" i="3"/>
  <c r="AV554" i="3"/>
  <c r="AC554" i="3"/>
  <c r="G554" i="3" s="1"/>
  <c r="H554" i="3"/>
  <c r="BT553" i="3"/>
  <c r="BS553" i="3"/>
  <c r="BR553" i="3"/>
  <c r="BQ553" i="3"/>
  <c r="BP553" i="3"/>
  <c r="BO553" i="3"/>
  <c r="BN553" i="3"/>
  <c r="BM553" i="3"/>
  <c r="BK553" i="3"/>
  <c r="BJ553" i="3"/>
  <c r="BI553" i="3"/>
  <c r="BH553" i="3"/>
  <c r="BG553" i="3"/>
  <c r="BF553" i="3"/>
  <c r="BE553" i="3"/>
  <c r="BD553" i="3"/>
  <c r="BC553" i="3"/>
  <c r="BA553" i="3" s="1"/>
  <c r="BB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s="1"/>
  <c r="BT550" i="3"/>
  <c r="BS550" i="3"/>
  <c r="BR550" i="3"/>
  <c r="BQ550" i="3"/>
  <c r="BP550" i="3"/>
  <c r="BO550" i="3"/>
  <c r="BN550" i="3"/>
  <c r="BL550" i="3" s="1"/>
  <c r="BM550" i="3"/>
  <c r="BK550" i="3"/>
  <c r="BJ550" i="3"/>
  <c r="BI550" i="3"/>
  <c r="BH550" i="3"/>
  <c r="BG550" i="3"/>
  <c r="BF550" i="3"/>
  <c r="BE550" i="3"/>
  <c r="BD550" i="3"/>
  <c r="BC550" i="3"/>
  <c r="BB550" i="3"/>
  <c r="BA550" i="3" s="1"/>
  <c r="AZ550" i="3"/>
  <c r="AX550" i="3"/>
  <c r="AW550" i="3"/>
  <c r="AV550" i="3"/>
  <c r="AC550" i="3"/>
  <c r="G550" i="3" s="1"/>
  <c r="H550" i="3"/>
  <c r="BT549" i="3"/>
  <c r="BS549" i="3"/>
  <c r="BR549" i="3"/>
  <c r="BQ549" i="3"/>
  <c r="BP549" i="3"/>
  <c r="BO549" i="3"/>
  <c r="BN549" i="3"/>
  <c r="BM549" i="3"/>
  <c r="BK549" i="3"/>
  <c r="BJ549" i="3"/>
  <c r="BI549" i="3"/>
  <c r="BH549" i="3"/>
  <c r="BG549" i="3"/>
  <c r="BF549" i="3"/>
  <c r="BE549" i="3"/>
  <c r="BD549" i="3"/>
  <c r="BC549" i="3"/>
  <c r="BA549" i="3" s="1"/>
  <c r="BB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C546" i="3"/>
  <c r="BB546" i="3"/>
  <c r="BA546" i="3" s="1"/>
  <c r="AZ546" i="3"/>
  <c r="AX546" i="3"/>
  <c r="AW546" i="3"/>
  <c r="AV546" i="3"/>
  <c r="AC546" i="3"/>
  <c r="G546" i="3" s="1"/>
  <c r="H546" i="3"/>
  <c r="BT545" i="3"/>
  <c r="BS545" i="3"/>
  <c r="BR545" i="3"/>
  <c r="BQ545" i="3"/>
  <c r="BP545" i="3"/>
  <c r="BO545" i="3"/>
  <c r="BN545" i="3"/>
  <c r="BM545" i="3"/>
  <c r="BK545" i="3"/>
  <c r="BJ545" i="3"/>
  <c r="BI545" i="3"/>
  <c r="BH545" i="3"/>
  <c r="BG545" i="3"/>
  <c r="BF545" i="3"/>
  <c r="BE545" i="3"/>
  <c r="BD545" i="3"/>
  <c r="BC545" i="3"/>
  <c r="BA545" i="3" s="1"/>
  <c r="BB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L542" i="3" s="1"/>
  <c r="BM542" i="3"/>
  <c r="BK542" i="3"/>
  <c r="BJ542" i="3"/>
  <c r="BI542" i="3"/>
  <c r="BH542" i="3"/>
  <c r="BG542" i="3"/>
  <c r="BF542" i="3"/>
  <c r="BE542" i="3"/>
  <c r="BD542" i="3"/>
  <c r="BC542" i="3"/>
  <c r="BB542" i="3"/>
  <c r="BA542" i="3" s="1"/>
  <c r="AZ542" i="3"/>
  <c r="AX542" i="3"/>
  <c r="AW542" i="3"/>
  <c r="AV542" i="3"/>
  <c r="AC542" i="3"/>
  <c r="G542" i="3" s="1"/>
  <c r="H542" i="3"/>
  <c r="BT541" i="3"/>
  <c r="BS541" i="3"/>
  <c r="BR541" i="3"/>
  <c r="BQ541" i="3"/>
  <c r="BP541" i="3"/>
  <c r="BO541" i="3"/>
  <c r="BN541" i="3"/>
  <c r="BM541" i="3"/>
  <c r="BK541" i="3"/>
  <c r="BJ541" i="3"/>
  <c r="BI541" i="3"/>
  <c r="BH541" i="3"/>
  <c r="BG541" i="3"/>
  <c r="BF541" i="3"/>
  <c r="BE541" i="3"/>
  <c r="BD541" i="3"/>
  <c r="BC541" i="3"/>
  <c r="BA541" i="3" s="1"/>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L538" i="3" s="1"/>
  <c r="BM538" i="3"/>
  <c r="BK538" i="3"/>
  <c r="BJ538" i="3"/>
  <c r="BI538" i="3"/>
  <c r="BH538" i="3"/>
  <c r="BG538" i="3"/>
  <c r="BF538" i="3"/>
  <c r="BE538" i="3"/>
  <c r="BD538" i="3"/>
  <c r="BC538" i="3"/>
  <c r="BB538" i="3"/>
  <c r="BA538" i="3" s="1"/>
  <c r="AZ538" i="3"/>
  <c r="AX538" i="3"/>
  <c r="AW538" i="3"/>
  <c r="AV538" i="3"/>
  <c r="AC538" i="3"/>
  <c r="G538" i="3" s="1"/>
  <c r="H538" i="3"/>
  <c r="BT537" i="3"/>
  <c r="BS537" i="3"/>
  <c r="BR537" i="3"/>
  <c r="BQ537" i="3"/>
  <c r="BP537" i="3"/>
  <c r="BO537" i="3"/>
  <c r="BN537" i="3"/>
  <c r="BM537" i="3"/>
  <c r="BK537" i="3"/>
  <c r="BJ537" i="3"/>
  <c r="BI537" i="3"/>
  <c r="BH537" i="3"/>
  <c r="BG537" i="3"/>
  <c r="BF537" i="3"/>
  <c r="BE537" i="3"/>
  <c r="BD537" i="3"/>
  <c r="BC537" i="3"/>
  <c r="BA537" i="3" s="1"/>
  <c r="BB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L534" i="3" s="1"/>
  <c r="BM534" i="3"/>
  <c r="BK534" i="3"/>
  <c r="BJ534" i="3"/>
  <c r="BI534" i="3"/>
  <c r="BH534" i="3"/>
  <c r="BG534" i="3"/>
  <c r="BF534" i="3"/>
  <c r="BE534" i="3"/>
  <c r="BD534" i="3"/>
  <c r="BC534" i="3"/>
  <c r="BB534" i="3"/>
  <c r="BA534" i="3" s="1"/>
  <c r="AZ534" i="3"/>
  <c r="AX534" i="3"/>
  <c r="AW534" i="3"/>
  <c r="AV534" i="3"/>
  <c r="AC534" i="3"/>
  <c r="G534" i="3" s="1"/>
  <c r="H534" i="3"/>
  <c r="BT533" i="3"/>
  <c r="BS533" i="3"/>
  <c r="BR533" i="3"/>
  <c r="BQ533" i="3"/>
  <c r="BP533" i="3"/>
  <c r="BO533" i="3"/>
  <c r="BN533" i="3"/>
  <c r="BM533" i="3"/>
  <c r="BK533" i="3"/>
  <c r="BJ533" i="3"/>
  <c r="BI533" i="3"/>
  <c r="BH533" i="3"/>
  <c r="BG533" i="3"/>
  <c r="BF533" i="3"/>
  <c r="BE533" i="3"/>
  <c r="BD533" i="3"/>
  <c r="BC533" i="3"/>
  <c r="BA533" i="3" s="1"/>
  <c r="BB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L530" i="3" s="1"/>
  <c r="BM530" i="3"/>
  <c r="BK530" i="3"/>
  <c r="BJ530" i="3"/>
  <c r="BI530" i="3"/>
  <c r="BH530" i="3"/>
  <c r="BG530" i="3"/>
  <c r="BF530" i="3"/>
  <c r="BE530" i="3"/>
  <c r="BD530" i="3"/>
  <c r="BC530" i="3"/>
  <c r="BB530" i="3"/>
  <c r="BA530" i="3" s="1"/>
  <c r="AZ530" i="3"/>
  <c r="AX530" i="3"/>
  <c r="AW530" i="3"/>
  <c r="AV530" i="3"/>
  <c r="AC530" i="3"/>
  <c r="G530" i="3" s="1"/>
  <c r="H530" i="3"/>
  <c r="BT529" i="3"/>
  <c r="BS529" i="3"/>
  <c r="BR529" i="3"/>
  <c r="BQ529" i="3"/>
  <c r="BP529" i="3"/>
  <c r="BO529" i="3"/>
  <c r="BN529" i="3"/>
  <c r="BM529" i="3"/>
  <c r="BK529" i="3"/>
  <c r="BJ529" i="3"/>
  <c r="BI529" i="3"/>
  <c r="BH529" i="3"/>
  <c r="BG529" i="3"/>
  <c r="BF529" i="3"/>
  <c r="BE529" i="3"/>
  <c r="BD529" i="3"/>
  <c r="BC529" i="3"/>
  <c r="BA529" i="3" s="1"/>
  <c r="BB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BA526" i="3" s="1"/>
  <c r="AZ526" i="3"/>
  <c r="AX526" i="3"/>
  <c r="AW526" i="3"/>
  <c r="AV526" i="3"/>
  <c r="AC526" i="3"/>
  <c r="G526" i="3" s="1"/>
  <c r="H526" i="3"/>
  <c r="BT525" i="3"/>
  <c r="BS525" i="3"/>
  <c r="BR525" i="3"/>
  <c r="BQ525" i="3"/>
  <c r="BP525" i="3"/>
  <c r="BO525" i="3"/>
  <c r="BN525" i="3"/>
  <c r="BM525" i="3"/>
  <c r="BK525" i="3"/>
  <c r="BJ525" i="3"/>
  <c r="BI525" i="3"/>
  <c r="BH525" i="3"/>
  <c r="BG525" i="3"/>
  <c r="BF525" i="3"/>
  <c r="BE525" i="3"/>
  <c r="BD525" i="3"/>
  <c r="BC525" i="3"/>
  <c r="BA525" i="3" s="1"/>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L522" i="3" s="1"/>
  <c r="BM522" i="3"/>
  <c r="BK522" i="3"/>
  <c r="BJ522" i="3"/>
  <c r="BI522" i="3"/>
  <c r="BH522" i="3"/>
  <c r="BG522" i="3"/>
  <c r="BF522" i="3"/>
  <c r="BE522" i="3"/>
  <c r="BD522" i="3"/>
  <c r="BC522" i="3"/>
  <c r="BB522" i="3"/>
  <c r="BA522" i="3" s="1"/>
  <c r="AZ522" i="3"/>
  <c r="AX522" i="3"/>
  <c r="AW522" i="3"/>
  <c r="AV522" i="3"/>
  <c r="AC522" i="3"/>
  <c r="G522" i="3" s="1"/>
  <c r="H522" i="3"/>
  <c r="BT521" i="3"/>
  <c r="BS521" i="3"/>
  <c r="BR521" i="3"/>
  <c r="BQ521" i="3"/>
  <c r="BP521" i="3"/>
  <c r="BO521" i="3"/>
  <c r="BN521" i="3"/>
  <c r="BM521" i="3"/>
  <c r="BK521" i="3"/>
  <c r="BJ521" i="3"/>
  <c r="BI521" i="3"/>
  <c r="BH521" i="3"/>
  <c r="BG521" i="3"/>
  <c r="BF521" i="3"/>
  <c r="BE521" i="3"/>
  <c r="BD521" i="3"/>
  <c r="BC521" i="3"/>
  <c r="BA521" i="3" s="1"/>
  <c r="BB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L518" i="3" s="1"/>
  <c r="BM518" i="3"/>
  <c r="BK518" i="3"/>
  <c r="BJ518" i="3"/>
  <c r="BI518" i="3"/>
  <c r="BH518" i="3"/>
  <c r="BG518" i="3"/>
  <c r="BF518" i="3"/>
  <c r="BE518" i="3"/>
  <c r="BD518" i="3"/>
  <c r="BC518" i="3"/>
  <c r="BB518" i="3"/>
  <c r="BA518" i="3" s="1"/>
  <c r="AZ518" i="3"/>
  <c r="AX518" i="3"/>
  <c r="AW518" i="3"/>
  <c r="AV518" i="3"/>
  <c r="AC518" i="3"/>
  <c r="G518" i="3" s="1"/>
  <c r="H518" i="3"/>
  <c r="BT517" i="3"/>
  <c r="BS517" i="3"/>
  <c r="BR517" i="3"/>
  <c r="BQ517" i="3"/>
  <c r="BP517" i="3"/>
  <c r="BO517" i="3"/>
  <c r="BN517" i="3"/>
  <c r="BM517" i="3"/>
  <c r="BK517" i="3"/>
  <c r="BJ517" i="3"/>
  <c r="BI517" i="3"/>
  <c r="BH517" i="3"/>
  <c r="BG517" i="3"/>
  <c r="BF517" i="3"/>
  <c r="BE517" i="3"/>
  <c r="BD517" i="3"/>
  <c r="BC517" i="3"/>
  <c r="BA517" i="3" s="1"/>
  <c r="BB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L514" i="3" s="1"/>
  <c r="BM514" i="3"/>
  <c r="BK514" i="3"/>
  <c r="BJ514" i="3"/>
  <c r="BI514" i="3"/>
  <c r="BH514" i="3"/>
  <c r="BG514" i="3"/>
  <c r="BF514" i="3"/>
  <c r="BE514" i="3"/>
  <c r="BD514" i="3"/>
  <c r="BC514" i="3"/>
  <c r="BB514" i="3"/>
  <c r="BA514" i="3" s="1"/>
  <c r="AZ514" i="3"/>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Z510" i="3"/>
  <c r="AX510" i="3"/>
  <c r="AW510" i="3"/>
  <c r="AV510" i="3"/>
  <c r="AC510" i="3"/>
  <c r="G510" i="3" s="1"/>
  <c r="H510" i="3"/>
  <c r="BT509" i="3"/>
  <c r="BS509" i="3"/>
  <c r="BR509" i="3"/>
  <c r="BQ509" i="3"/>
  <c r="BP509" i="3"/>
  <c r="BO509" i="3"/>
  <c r="BN509" i="3"/>
  <c r="BM509" i="3"/>
  <c r="BK509" i="3"/>
  <c r="BJ509" i="3"/>
  <c r="BI509" i="3"/>
  <c r="BH509" i="3"/>
  <c r="BG509" i="3"/>
  <c r="BF509" i="3"/>
  <c r="BE509" i="3"/>
  <c r="BD509" i="3"/>
  <c r="BC509" i="3"/>
  <c r="BA509" i="3" s="1"/>
  <c r="BB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Z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A505" i="3" s="1"/>
  <c r="BB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B502" i="3"/>
  <c r="BA502" i="3" s="1"/>
  <c r="AZ502" i="3"/>
  <c r="AX502" i="3"/>
  <c r="AW502" i="3"/>
  <c r="AV502" i="3"/>
  <c r="AC502" i="3"/>
  <c r="G502" i="3" s="1"/>
  <c r="H502" i="3"/>
  <c r="BT501" i="3"/>
  <c r="BS501" i="3"/>
  <c r="BR501" i="3"/>
  <c r="BQ501" i="3"/>
  <c r="BP501" i="3"/>
  <c r="BO501" i="3"/>
  <c r="BN501" i="3"/>
  <c r="BM501" i="3"/>
  <c r="BK501" i="3"/>
  <c r="BJ501" i="3"/>
  <c r="BI501" i="3"/>
  <c r="BH501" i="3"/>
  <c r="BG501" i="3"/>
  <c r="BF501" i="3"/>
  <c r="BE501" i="3"/>
  <c r="BD501" i="3"/>
  <c r="BC501" i="3"/>
  <c r="BA501" i="3" s="1"/>
  <c r="BB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L498" i="3" s="1"/>
  <c r="BM498" i="3"/>
  <c r="BK498" i="3"/>
  <c r="BJ498" i="3"/>
  <c r="BI498" i="3"/>
  <c r="BH498" i="3"/>
  <c r="BG498" i="3"/>
  <c r="BF498" i="3"/>
  <c r="BE498" i="3"/>
  <c r="BD498" i="3"/>
  <c r="BC498" i="3"/>
  <c r="BB498" i="3"/>
  <c r="BA498" i="3" s="1"/>
  <c r="AZ498" i="3"/>
  <c r="AX498" i="3"/>
  <c r="AW498" i="3"/>
  <c r="AV498" i="3"/>
  <c r="AC498" i="3"/>
  <c r="G498" i="3" s="1"/>
  <c r="H498" i="3"/>
  <c r="BT497" i="3"/>
  <c r="BS497" i="3"/>
  <c r="BR497" i="3"/>
  <c r="BQ497" i="3"/>
  <c r="BP497" i="3"/>
  <c r="BO497" i="3"/>
  <c r="BN497" i="3"/>
  <c r="BM497" i="3"/>
  <c r="BK497" i="3"/>
  <c r="BJ497" i="3"/>
  <c r="BI497" i="3"/>
  <c r="BH497" i="3"/>
  <c r="BG497" i="3"/>
  <c r="BF497" i="3"/>
  <c r="BE497" i="3"/>
  <c r="BD497" i="3"/>
  <c r="BC497" i="3"/>
  <c r="BA497" i="3" s="1"/>
  <c r="BB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Z494" i="3"/>
  <c r="AX494" i="3"/>
  <c r="AW494" i="3"/>
  <c r="AV494" i="3"/>
  <c r="AC494" i="3"/>
  <c r="G494" i="3" s="1"/>
  <c r="H494" i="3"/>
  <c r="BT493" i="3"/>
  <c r="BS493" i="3"/>
  <c r="BR493" i="3"/>
  <c r="BQ493" i="3"/>
  <c r="BP493" i="3"/>
  <c r="BO493" i="3"/>
  <c r="BN493" i="3"/>
  <c r="BM493" i="3"/>
  <c r="BK493" i="3"/>
  <c r="BJ493" i="3"/>
  <c r="BI493" i="3"/>
  <c r="BH493" i="3"/>
  <c r="BG493" i="3"/>
  <c r="BF493" i="3"/>
  <c r="BE493" i="3"/>
  <c r="BD493" i="3"/>
  <c r="BC493" i="3"/>
  <c r="BA493" i="3" s="1"/>
  <c r="BB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Z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L392" i="3" s="1"/>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Z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L378" i="3" s="1"/>
  <c r="BM378" i="3"/>
  <c r="BK378" i="3"/>
  <c r="BJ378" i="3"/>
  <c r="BI378" i="3"/>
  <c r="BH378" i="3"/>
  <c r="BG378" i="3"/>
  <c r="BF378" i="3"/>
  <c r="BE378" i="3"/>
  <c r="BD378" i="3"/>
  <c r="BC378" i="3"/>
  <c r="BB378" i="3"/>
  <c r="BA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s="1"/>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BA370" i="3" s="1"/>
  <c r="AZ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L368" i="3" s="1"/>
  <c r="BN368" i="3"/>
  <c r="BM368" i="3"/>
  <c r="BK368" i="3"/>
  <c r="BJ368" i="3"/>
  <c r="BI368" i="3"/>
  <c r="BH368" i="3"/>
  <c r="BG368" i="3"/>
  <c r="BF368" i="3"/>
  <c r="BE368" i="3"/>
  <c r="BD368" i="3"/>
  <c r="BC368" i="3"/>
  <c r="BB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L362" i="3" s="1"/>
  <c r="BM362" i="3"/>
  <c r="BK362" i="3"/>
  <c r="BJ362" i="3"/>
  <c r="BI362" i="3"/>
  <c r="BH362" i="3"/>
  <c r="BG362" i="3"/>
  <c r="BF362" i="3"/>
  <c r="BE362" i="3"/>
  <c r="BD362" i="3"/>
  <c r="BC362" i="3"/>
  <c r="BB362" i="3"/>
  <c r="BA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s="1"/>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L356" i="3" s="1"/>
  <c r="BN356" i="3"/>
  <c r="BM356" i="3"/>
  <c r="BK356" i="3"/>
  <c r="BJ356" i="3"/>
  <c r="BI356" i="3"/>
  <c r="BH356" i="3"/>
  <c r="BG356" i="3"/>
  <c r="BF356" i="3"/>
  <c r="BE356" i="3"/>
  <c r="BD356" i="3"/>
  <c r="BC356" i="3"/>
  <c r="BB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G354" i="3" s="1"/>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L352" i="3" s="1"/>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A349" i="3" s="1"/>
  <c r="AZ349" i="3" s="1"/>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G346" i="3" s="1"/>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s="1"/>
  <c r="BT344" i="3"/>
  <c r="BS344" i="3"/>
  <c r="BR344" i="3"/>
  <c r="BQ344" i="3"/>
  <c r="BP344" i="3"/>
  <c r="BO344" i="3"/>
  <c r="BL344" i="3" s="1"/>
  <c r="BN344" i="3"/>
  <c r="BM344" i="3"/>
  <c r="BK344" i="3"/>
  <c r="BJ344" i="3"/>
  <c r="BI344" i="3"/>
  <c r="BH344" i="3"/>
  <c r="BG344" i="3"/>
  <c r="BF344" i="3"/>
  <c r="BE344" i="3"/>
  <c r="BD344" i="3"/>
  <c r="BC344" i="3"/>
  <c r="BB344" i="3"/>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A341" i="3" s="1"/>
  <c r="AZ341" i="3" s="1"/>
  <c r="BB341" i="3"/>
  <c r="AX341" i="3"/>
  <c r="AW341" i="3"/>
  <c r="AV341" i="3"/>
  <c r="AC341" i="3"/>
  <c r="H341" i="3"/>
  <c r="G341" i="3" s="1"/>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L336" i="3" s="1"/>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A333" i="3" s="1"/>
  <c r="AZ333" i="3" s="1"/>
  <c r="BB333" i="3"/>
  <c r="AX333" i="3"/>
  <c r="AW333" i="3"/>
  <c r="AV333" i="3"/>
  <c r="AC333" i="3"/>
  <c r="H333" i="3"/>
  <c r="G333" i="3" s="1"/>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L326" i="3" s="1"/>
  <c r="BM326" i="3"/>
  <c r="BK326" i="3"/>
  <c r="BJ326" i="3"/>
  <c r="BI326" i="3"/>
  <c r="BH326" i="3"/>
  <c r="BG326" i="3"/>
  <c r="BF326" i="3"/>
  <c r="BE326" i="3"/>
  <c r="BD326" i="3"/>
  <c r="BC326" i="3"/>
  <c r="BB326" i="3"/>
  <c r="BA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A325" i="3" s="1"/>
  <c r="AZ325" i="3" s="1"/>
  <c r="BB325" i="3"/>
  <c r="AX325" i="3"/>
  <c r="AW325" i="3"/>
  <c r="AV325" i="3"/>
  <c r="AC325" i="3"/>
  <c r="H325" i="3"/>
  <c r="G325" i="3" s="1"/>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BA318" i="3" s="1"/>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A317" i="3" s="1"/>
  <c r="AZ317" i="3" s="1"/>
  <c r="BB317" i="3"/>
  <c r="AX317" i="3"/>
  <c r="AW317" i="3"/>
  <c r="AV317" i="3"/>
  <c r="AC317" i="3"/>
  <c r="H317" i="3"/>
  <c r="G317" i="3" s="1"/>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BA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A309" i="3" s="1"/>
  <c r="AZ309" i="3" s="1"/>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s="1"/>
  <c r="BT304" i="3"/>
  <c r="BS304" i="3"/>
  <c r="BR304" i="3"/>
  <c r="BQ304" i="3"/>
  <c r="BP304" i="3"/>
  <c r="BO304" i="3"/>
  <c r="BN304" i="3"/>
  <c r="BL304" i="3" s="1"/>
  <c r="BM304" i="3"/>
  <c r="BK304" i="3"/>
  <c r="BJ304" i="3"/>
  <c r="BI304" i="3"/>
  <c r="BH304" i="3"/>
  <c r="BG304" i="3"/>
  <c r="BF304" i="3"/>
  <c r="BE304" i="3"/>
  <c r="BD304" i="3"/>
  <c r="BC304" i="3"/>
  <c r="BB304" i="3"/>
  <c r="AX304" i="3"/>
  <c r="AW304" i="3"/>
  <c r="AV304" i="3"/>
  <c r="AC304" i="3"/>
  <c r="G304" i="3" s="1"/>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A269" i="3" s="1"/>
  <c r="AZ269" i="3" s="1"/>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Z254" i="3" s="1"/>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Z222" i="3" s="1"/>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G208" i="3" s="1"/>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Z182" i="3" s="1"/>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O168" i="3"/>
  <c r="BN168" i="3"/>
  <c r="BL168" i="3" s="1"/>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Z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A165" i="3" s="1"/>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Z158" i="3" s="1"/>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Z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Z142" i="3" s="1"/>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Z130" i="3" s="1"/>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Z114" i="3" s="1"/>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Z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Z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Z94" i="3" s="1"/>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Z86" i="3" s="1"/>
  <c r="AX86" i="3"/>
  <c r="AW86" i="3"/>
  <c r="AV86" i="3"/>
  <c r="AC86" i="3"/>
  <c r="G86" i="3" s="1"/>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Z82" i="3" s="1"/>
  <c r="AX82" i="3"/>
  <c r="AW82" i="3"/>
  <c r="AV82" i="3"/>
  <c r="AC82" i="3"/>
  <c r="G82" i="3" s="1"/>
  <c r="H82" i="3"/>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Z74" i="3" s="1"/>
  <c r="AX74" i="3"/>
  <c r="AW74" i="3"/>
  <c r="AV74" i="3"/>
  <c r="AC74" i="3"/>
  <c r="G74" i="3" s="1"/>
  <c r="H74" i="3"/>
  <c r="BT73" i="3"/>
  <c r="BS73" i="3"/>
  <c r="BR73" i="3"/>
  <c r="BQ73" i="3"/>
  <c r="BP73" i="3"/>
  <c r="BO73" i="3"/>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Z66" i="3" s="1"/>
  <c r="AX66" i="3"/>
  <c r="AW66" i="3"/>
  <c r="AV66" i="3"/>
  <c r="AC66" i="3"/>
  <c r="G66" i="3" s="1"/>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Z42" i="3" s="1"/>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L26" i="3" s="1"/>
  <c r="BM26" i="3"/>
  <c r="BK26" i="3"/>
  <c r="BJ26" i="3"/>
  <c r="BJ5" i="3" s="1"/>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Z18" i="3"/>
  <c r="AX18" i="3"/>
  <c r="AW18" i="3"/>
  <c r="AV18" i="3"/>
  <c r="AC18" i="3"/>
  <c r="G18" i="3" s="1"/>
  <c r="H18" i="3"/>
  <c r="BT17" i="3"/>
  <c r="BS17" i="3"/>
  <c r="BR17" i="3"/>
  <c r="BQ17" i="3"/>
  <c r="BP17" i="3"/>
  <c r="BO17" i="3"/>
  <c r="BN17" i="3"/>
  <c r="BM17" i="3"/>
  <c r="BK17" i="3"/>
  <c r="BJ17" i="3"/>
  <c r="BI17" i="3"/>
  <c r="BH17" i="3"/>
  <c r="BG17" i="3"/>
  <c r="BF17" i="3"/>
  <c r="BE17" i="3"/>
  <c r="BD17" i="3"/>
  <c r="BC17" i="3"/>
  <c r="BA17" i="3" s="1"/>
  <c r="BB17" i="3"/>
  <c r="AX17" i="3"/>
  <c r="AW17" i="3"/>
  <c r="AV17" i="3"/>
  <c r="AC17" i="3"/>
  <c r="H17" i="3"/>
  <c r="G17" i="3" s="1"/>
  <c r="BT16" i="3"/>
  <c r="BS16" i="3"/>
  <c r="BR16" i="3"/>
  <c r="BQ16" i="3"/>
  <c r="BP16" i="3"/>
  <c r="BO16" i="3"/>
  <c r="BN16" i="3"/>
  <c r="BM16" i="3"/>
  <c r="BL16" i="3"/>
  <c r="BK16" i="3"/>
  <c r="BJ16" i="3"/>
  <c r="BI16" i="3"/>
  <c r="BH16" i="3"/>
  <c r="BH5" i="3" s="1"/>
  <c r="BG16" i="3"/>
  <c r="BF16" i="3"/>
  <c r="BE16" i="3"/>
  <c r="BD16" i="3"/>
  <c r="BD5" i="3" s="1"/>
  <c r="BC16" i="3"/>
  <c r="BB16" i="3"/>
  <c r="AX16" i="3"/>
  <c r="AW16" i="3"/>
  <c r="AV16" i="3"/>
  <c r="AC16" i="3"/>
  <c r="H16" i="3"/>
  <c r="G16" i="3"/>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s="1"/>
  <c r="BT14" i="3"/>
  <c r="BS14" i="3"/>
  <c r="BR14" i="3"/>
  <c r="BR5" i="3" s="1"/>
  <c r="BQ14" i="3"/>
  <c r="BP14" i="3"/>
  <c r="BO14" i="3"/>
  <c r="BN14" i="3"/>
  <c r="BL14" i="3" s="1"/>
  <c r="BM14" i="3"/>
  <c r="BK14" i="3"/>
  <c r="BJ14" i="3"/>
  <c r="BI14" i="3"/>
  <c r="BH14" i="3"/>
  <c r="BG14" i="3"/>
  <c r="BF14" i="3"/>
  <c r="BE14" i="3"/>
  <c r="BD14" i="3"/>
  <c r="BC14" i="3"/>
  <c r="BB14" i="3"/>
  <c r="BA14" i="3" s="1"/>
  <c r="AZ14" i="3"/>
  <c r="AX14" i="3"/>
  <c r="AW14" i="3"/>
  <c r="AV14" i="3"/>
  <c r="AC14" i="3"/>
  <c r="H14" i="3"/>
  <c r="G14" i="3"/>
  <c r="BT13" i="3"/>
  <c r="BS13" i="3"/>
  <c r="BR13" i="3"/>
  <c r="BQ13" i="3"/>
  <c r="BQ5" i="3" s="1"/>
  <c r="BP13" i="3"/>
  <c r="BO13" i="3"/>
  <c r="BN13" i="3"/>
  <c r="BM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A19" i="51" s="1"/>
  <c r="B14" i="72" s="1"/>
  <c r="R35" i="4"/>
  <c r="Q35" i="4"/>
  <c r="P35" i="4"/>
  <c r="O35" i="4"/>
  <c r="N35" i="4"/>
  <c r="M35" i="4"/>
  <c r="L35" i="4"/>
  <c r="F35" i="4"/>
  <c r="K34" i="4"/>
  <c r="T34" i="4" s="1"/>
  <c r="C33" i="4"/>
  <c r="C32" i="4"/>
  <c r="C31" i="4"/>
  <c r="L22" i="4"/>
  <c r="L21" i="4"/>
  <c r="L20" i="4"/>
  <c r="F19" i="4"/>
  <c r="I15" i="4"/>
  <c r="H15" i="4"/>
  <c r="G15" i="4"/>
  <c r="F15" i="4"/>
  <c r="E15" i="4"/>
  <c r="D15" i="4"/>
  <c r="C15" i="4"/>
  <c r="K6" i="4"/>
  <c r="K5" i="4"/>
  <c r="B47" i="48" s="1"/>
  <c r="I4" i="4"/>
  <c r="G4" i="4"/>
  <c r="E4" i="4"/>
  <c r="B5" i="62" s="1"/>
  <c r="B73" i="72" s="1"/>
  <c r="C4" i="4"/>
  <c r="C1" i="73"/>
  <c r="S2" i="4"/>
  <c r="S1" i="4"/>
  <c r="B1" i="4"/>
  <c r="D60" i="78"/>
  <c r="C60" i="78"/>
  <c r="D56" i="78"/>
  <c r="B56" i="78"/>
  <c r="B55" i="78"/>
  <c r="D55" i="78" s="1"/>
  <c r="B54" i="78"/>
  <c r="D54" i="78" s="1"/>
  <c r="D53" i="78"/>
  <c r="D52" i="78"/>
  <c r="D51" i="78" s="1"/>
  <c r="C51" i="78"/>
  <c r="C56" i="78" s="1"/>
  <c r="C58" i="78" s="1"/>
  <c r="B51" i="78"/>
  <c r="B62" i="78" s="1"/>
  <c r="K47" i="78"/>
  <c r="K46" i="78"/>
  <c r="K45" i="78"/>
  <c r="K41" i="78"/>
  <c r="K40" i="78"/>
  <c r="K39" i="78"/>
  <c r="K38" i="78"/>
  <c r="K37" i="78"/>
  <c r="K36" i="78"/>
  <c r="K35" i="78"/>
  <c r="K30" i="78"/>
  <c r="K29" i="78"/>
  <c r="K28" i="78"/>
  <c r="K27" i="78"/>
  <c r="K26" i="78"/>
  <c r="K25" i="78"/>
  <c r="G25" i="78"/>
  <c r="E25" i="78"/>
  <c r="K24" i="78"/>
  <c r="E24" i="78"/>
  <c r="G24" i="78" s="1"/>
  <c r="K23" i="78"/>
  <c r="F23" i="78"/>
  <c r="F24" i="78" s="1"/>
  <c r="F25" i="78" s="1"/>
  <c r="E23" i="78"/>
  <c r="G23" i="78" s="1"/>
  <c r="K22" i="78"/>
  <c r="G22" i="78"/>
  <c r="E22" i="78"/>
  <c r="C18" i="78"/>
  <c r="F12" i="78"/>
  <c r="B15" i="78" s="1"/>
  <c r="F11" i="78"/>
  <c r="B3" i="78"/>
  <c r="C53" i="10"/>
  <c r="C51" i="10"/>
  <c r="A13" i="51" s="1"/>
  <c r="B51" i="10"/>
  <c r="H16" i="49"/>
  <c r="D16" i="49"/>
  <c r="D15" i="49"/>
  <c r="B2" i="49"/>
  <c r="A21" i="62"/>
  <c r="B67" i="72" s="1"/>
  <c r="A20" i="62"/>
  <c r="A19" i="62"/>
  <c r="B65" i="72" s="1"/>
  <c r="A15" i="62"/>
  <c r="B61" i="72" s="1"/>
  <c r="A14" i="62"/>
  <c r="A13" i="62"/>
  <c r="B59" i="72" s="1"/>
  <c r="A12" i="62"/>
  <c r="A5" i="62"/>
  <c r="A4" i="62"/>
  <c r="B70" i="72" s="1"/>
  <c r="A12" i="52"/>
  <c r="A10" i="52"/>
  <c r="B55" i="72" s="1"/>
  <c r="A6" i="52"/>
  <c r="B57" i="72" s="1"/>
  <c r="H2" i="52"/>
  <c r="F2" i="52"/>
  <c r="D2" i="52"/>
  <c r="A1" i="52"/>
  <c r="D21" i="53"/>
  <c r="B19" i="53"/>
  <c r="B37" i="72" s="1"/>
  <c r="D16" i="53"/>
  <c r="D17" i="53" s="1"/>
  <c r="B36" i="72" s="1"/>
  <c r="B16" i="53"/>
  <c r="B33" i="72" s="1"/>
  <c r="B13" i="53"/>
  <c r="D12" i="53"/>
  <c r="B28" i="72" s="1"/>
  <c r="D11" i="53"/>
  <c r="D10" i="53"/>
  <c r="B26" i="72" s="1"/>
  <c r="D8" i="53"/>
  <c r="D9" i="53" s="1"/>
  <c r="B25" i="72" s="1"/>
  <c r="B8" i="53"/>
  <c r="A3" i="53"/>
  <c r="A2" i="53"/>
  <c r="A24" i="51"/>
  <c r="B18" i="72" s="1"/>
  <c r="A22" i="51"/>
  <c r="A21" i="51"/>
  <c r="A20" i="51"/>
  <c r="A18" i="51"/>
  <c r="A15" i="51"/>
  <c r="B12" i="72" s="1"/>
  <c r="A4" i="51"/>
  <c r="B6" i="72" s="1"/>
  <c r="A3" i="51"/>
  <c r="B49" i="48"/>
  <c r="B5" i="72" s="1"/>
  <c r="B40" i="48"/>
  <c r="B37" i="48"/>
  <c r="B2" i="72" s="1"/>
  <c r="B74" i="72"/>
  <c r="B72" i="72"/>
  <c r="B69" i="72"/>
  <c r="B68" i="72"/>
  <c r="B66" i="72"/>
  <c r="B63" i="72"/>
  <c r="B62" i="72"/>
  <c r="B60" i="72"/>
  <c r="B58" i="72"/>
  <c r="B56" i="72"/>
  <c r="B54" i="72"/>
  <c r="B50" i="72"/>
  <c r="B46" i="72"/>
  <c r="B44" i="72"/>
  <c r="B42" i="72"/>
  <c r="B39" i="72"/>
  <c r="B34" i="72"/>
  <c r="B29" i="72"/>
  <c r="B27" i="72"/>
  <c r="B24" i="72"/>
  <c r="B23" i="72"/>
  <c r="B19" i="72"/>
  <c r="B17" i="72"/>
  <c r="B16" i="72"/>
  <c r="B15" i="72"/>
  <c r="B13" i="72"/>
  <c r="B11" i="72"/>
  <c r="B10" i="72"/>
  <c r="B8" i="72"/>
  <c r="B3" i="72"/>
  <c r="B8" i="76"/>
  <c r="D2" i="21"/>
  <c r="F20" i="31"/>
  <c r="F38" i="67"/>
  <c r="B9" i="76"/>
  <c r="D34" i="9"/>
  <c r="M8" i="67"/>
  <c r="B12" i="76"/>
  <c r="F42" i="67"/>
  <c r="B7" i="76"/>
  <c r="F16" i="67"/>
  <c r="F8" i="67"/>
  <c r="E2" i="69"/>
  <c r="M26" i="67"/>
  <c r="E9" i="76"/>
  <c r="M23" i="67"/>
  <c r="D2" i="36"/>
  <c r="AO13" i="1"/>
  <c r="D35" i="9"/>
  <c r="F36" i="67"/>
  <c r="E13" i="76"/>
  <c r="J15" i="67"/>
  <c r="F6" i="67"/>
  <c r="F9" i="67"/>
  <c r="M9" i="67"/>
  <c r="B10" i="76"/>
  <c r="L47" i="67"/>
  <c r="C76" i="67"/>
  <c r="AO8" i="1"/>
  <c r="D2" i="37"/>
  <c r="B11" i="76"/>
  <c r="M6" i="67"/>
  <c r="AO9" i="1"/>
  <c r="M24" i="67"/>
  <c r="E10" i="76"/>
  <c r="D2" i="33"/>
  <c r="D2" i="35"/>
  <c r="AO10" i="1"/>
  <c r="E7" i="76"/>
  <c r="E2" i="68"/>
  <c r="B13" i="76"/>
  <c r="F40" i="67"/>
  <c r="E11" i="76"/>
  <c r="F37" i="67"/>
  <c r="M22" i="67"/>
  <c r="AO11" i="1"/>
  <c r="F26" i="67"/>
  <c r="D2" i="34"/>
  <c r="AO7" i="1"/>
  <c r="M27" i="67"/>
  <c r="M28" i="67"/>
  <c r="E12" i="76"/>
  <c r="AO12" i="1"/>
  <c r="E8" i="76"/>
  <c r="B18" i="78" l="1"/>
  <c r="D58" i="78"/>
  <c r="D62" i="78" s="1"/>
  <c r="C62" i="78" s="1"/>
  <c r="AA8" i="71"/>
  <c r="Y8" i="71"/>
  <c r="Z8" i="71" s="1"/>
  <c r="AB8" i="71"/>
  <c r="X8" i="71"/>
  <c r="K4" i="4"/>
  <c r="B46" i="48" s="1"/>
  <c r="B4" i="72" s="1"/>
  <c r="B4" i="62"/>
  <c r="B71" i="72" s="1"/>
  <c r="BA26" i="3"/>
  <c r="AZ26" i="3" s="1"/>
  <c r="BB5" i="3"/>
  <c r="BO5" i="3"/>
  <c r="BS5" i="3"/>
  <c r="BT5" i="3"/>
  <c r="G28" i="6" s="1"/>
  <c r="G30" i="6" s="1"/>
  <c r="G31" i="6" s="1"/>
  <c r="BL17" i="3"/>
  <c r="AZ17" i="3" s="1"/>
  <c r="BL27" i="3"/>
  <c r="BL35" i="3"/>
  <c r="BL39" i="3"/>
  <c r="AZ39" i="3" s="1"/>
  <c r="BL43" i="3"/>
  <c r="BL47" i="3"/>
  <c r="BL51" i="3"/>
  <c r="AZ53" i="3"/>
  <c r="BL55" i="3"/>
  <c r="AZ55" i="3" s="1"/>
  <c r="BL59" i="3"/>
  <c r="BL63" i="3"/>
  <c r="BL67" i="3"/>
  <c r="AZ69" i="3"/>
  <c r="BL71" i="3"/>
  <c r="AZ71" i="3" s="1"/>
  <c r="BL75" i="3"/>
  <c r="BL79" i="3"/>
  <c r="BL83" i="3"/>
  <c r="AZ85" i="3"/>
  <c r="BL87" i="3"/>
  <c r="AZ87" i="3" s="1"/>
  <c r="BL91" i="3"/>
  <c r="BL13" i="3"/>
  <c r="BM5" i="3"/>
  <c r="F29" i="6" s="1"/>
  <c r="BA30" i="3"/>
  <c r="AZ30" i="3" s="1"/>
  <c r="J55" i="39"/>
  <c r="J50" i="40"/>
  <c r="BL25" i="3"/>
  <c r="AZ25" i="3" s="1"/>
  <c r="BL31" i="3"/>
  <c r="C15" i="78"/>
  <c r="A4" i="52"/>
  <c r="B41" i="72" s="1"/>
  <c r="A118" i="9"/>
  <c r="A2" i="9"/>
  <c r="BN5" i="3"/>
  <c r="G29" i="6" s="1"/>
  <c r="BC5" i="3"/>
  <c r="BG5" i="3"/>
  <c r="BK5" i="3"/>
  <c r="BL19" i="3"/>
  <c r="AZ19" i="3" s="1"/>
  <c r="AZ21" i="3"/>
  <c r="AZ117" i="3"/>
  <c r="AZ133" i="3"/>
  <c r="AZ157" i="3"/>
  <c r="F28" i="6"/>
  <c r="AZ27" i="3"/>
  <c r="BL29" i="3"/>
  <c r="AZ29" i="3" s="1"/>
  <c r="AZ35" i="3"/>
  <c r="BL37" i="3"/>
  <c r="AZ37" i="3" s="1"/>
  <c r="AZ43" i="3"/>
  <c r="BL45" i="3"/>
  <c r="AZ45" i="3" s="1"/>
  <c r="AZ51" i="3"/>
  <c r="BL53" i="3"/>
  <c r="AZ59" i="3"/>
  <c r="BL61" i="3"/>
  <c r="AZ61" i="3" s="1"/>
  <c r="AZ67" i="3"/>
  <c r="BL69" i="3"/>
  <c r="AZ75" i="3"/>
  <c r="BL77" i="3"/>
  <c r="AZ77" i="3" s="1"/>
  <c r="AZ83" i="3"/>
  <c r="BL85" i="3"/>
  <c r="AZ91" i="3"/>
  <c r="BL93" i="3"/>
  <c r="AZ93" i="3" s="1"/>
  <c r="AZ99" i="3"/>
  <c r="BL101" i="3"/>
  <c r="AZ101" i="3" s="1"/>
  <c r="AZ107" i="3"/>
  <c r="BL109" i="3"/>
  <c r="AZ109" i="3" s="1"/>
  <c r="AZ115" i="3"/>
  <c r="BL117" i="3"/>
  <c r="AZ123" i="3"/>
  <c r="BL125" i="3"/>
  <c r="AZ125" i="3" s="1"/>
  <c r="AZ131" i="3"/>
  <c r="BL133" i="3"/>
  <c r="BL137" i="3"/>
  <c r="AZ137" i="3" s="1"/>
  <c r="AZ145" i="3"/>
  <c r="AZ161" i="3"/>
  <c r="AZ198" i="3"/>
  <c r="AZ230" i="3"/>
  <c r="AZ262" i="3"/>
  <c r="AZ294" i="3"/>
  <c r="AZ326" i="3"/>
  <c r="BL95" i="3"/>
  <c r="AZ97" i="3"/>
  <c r="BL103" i="3"/>
  <c r="AZ103" i="3" s="1"/>
  <c r="BL111" i="3"/>
  <c r="AZ113" i="3"/>
  <c r="BL119" i="3"/>
  <c r="AZ119" i="3" s="1"/>
  <c r="BL127" i="3"/>
  <c r="AZ129" i="3"/>
  <c r="BL136" i="3"/>
  <c r="AZ174" i="3"/>
  <c r="AZ189" i="3"/>
  <c r="AZ206" i="3"/>
  <c r="AZ221" i="3"/>
  <c r="AZ238" i="3"/>
  <c r="AZ270" i="3"/>
  <c r="AZ302" i="3"/>
  <c r="AZ334" i="3"/>
  <c r="AZ31" i="3"/>
  <c r="BL33" i="3"/>
  <c r="AZ33" i="3" s="1"/>
  <c r="BL41" i="3"/>
  <c r="AZ41" i="3" s="1"/>
  <c r="AZ47" i="3"/>
  <c r="BL49" i="3"/>
  <c r="AZ49" i="3" s="1"/>
  <c r="BL57" i="3"/>
  <c r="AZ57" i="3" s="1"/>
  <c r="AZ63" i="3"/>
  <c r="BL65" i="3"/>
  <c r="AZ65" i="3" s="1"/>
  <c r="BL73" i="3"/>
  <c r="AZ73" i="3" s="1"/>
  <c r="AZ79" i="3"/>
  <c r="BL81" i="3"/>
  <c r="AZ81" i="3" s="1"/>
  <c r="BL89" i="3"/>
  <c r="AZ89" i="3" s="1"/>
  <c r="AZ95" i="3"/>
  <c r="BL97" i="3"/>
  <c r="BL105" i="3"/>
  <c r="AZ105" i="3" s="1"/>
  <c r="AZ111" i="3"/>
  <c r="BL113" i="3"/>
  <c r="BL121" i="3"/>
  <c r="AZ121" i="3" s="1"/>
  <c r="AZ127" i="3"/>
  <c r="BL129" i="3"/>
  <c r="AZ153" i="3"/>
  <c r="AZ169" i="3"/>
  <c r="AZ214" i="3"/>
  <c r="AZ246" i="3"/>
  <c r="AZ278" i="3"/>
  <c r="AZ310" i="3"/>
  <c r="AZ342" i="3"/>
  <c r="AZ305" i="3"/>
  <c r="R7" i="1"/>
  <c r="K7" i="1"/>
  <c r="M7" i="1" s="1"/>
  <c r="B7" i="1"/>
  <c r="E7" i="1" s="1"/>
  <c r="S7" i="1"/>
  <c r="D126" i="9"/>
  <c r="D12" i="52" s="1"/>
  <c r="D19" i="53"/>
  <c r="AB32" i="34"/>
  <c r="U32" i="34"/>
  <c r="S39" i="34"/>
  <c r="F9" i="34"/>
  <c r="J9" i="34"/>
  <c r="H9" i="34"/>
  <c r="S12" i="21"/>
  <c r="AA12" i="21"/>
  <c r="S36" i="21"/>
  <c r="S14" i="37"/>
  <c r="AB25" i="39"/>
  <c r="U25" i="39"/>
  <c r="AB29" i="39"/>
  <c r="U29" i="39"/>
  <c r="AC32" i="39"/>
  <c r="S39" i="39"/>
  <c r="AB40" i="39"/>
  <c r="U40" i="39"/>
  <c r="AB21" i="40"/>
  <c r="U21" i="40"/>
  <c r="AB25" i="40"/>
  <c r="U25" i="40"/>
  <c r="AC30" i="40"/>
  <c r="W30" i="40"/>
  <c r="AC39" i="40"/>
  <c r="BL141" i="3"/>
  <c r="AZ141" i="3" s="1"/>
  <c r="BL149" i="3"/>
  <c r="AZ149" i="3" s="1"/>
  <c r="BL157" i="3"/>
  <c r="BL165" i="3"/>
  <c r="AZ165" i="3" s="1"/>
  <c r="BL173" i="3"/>
  <c r="AZ173" i="3" s="1"/>
  <c r="BL181" i="3"/>
  <c r="AZ181" i="3" s="1"/>
  <c r="BL189" i="3"/>
  <c r="BL197" i="3"/>
  <c r="AZ197" i="3" s="1"/>
  <c r="BL205" i="3"/>
  <c r="AZ205" i="3" s="1"/>
  <c r="BL213" i="3"/>
  <c r="AZ213" i="3" s="1"/>
  <c r="BL221" i="3"/>
  <c r="BL229" i="3"/>
  <c r="AZ229" i="3" s="1"/>
  <c r="BL237" i="3"/>
  <c r="AZ237" i="3" s="1"/>
  <c r="BL245" i="3"/>
  <c r="AZ245" i="3" s="1"/>
  <c r="BL253" i="3"/>
  <c r="AZ253" i="3" s="1"/>
  <c r="BL261" i="3"/>
  <c r="AZ261" i="3" s="1"/>
  <c r="AZ357" i="3"/>
  <c r="AZ362" i="3"/>
  <c r="AZ373" i="3"/>
  <c r="AZ378" i="3"/>
  <c r="AZ389" i="3"/>
  <c r="AZ394" i="3"/>
  <c r="AZ405" i="3"/>
  <c r="AZ410" i="3"/>
  <c r="AZ421" i="3"/>
  <c r="AZ426" i="3"/>
  <c r="AZ437" i="3"/>
  <c r="AZ442" i="3"/>
  <c r="AZ453" i="3"/>
  <c r="AZ458" i="3"/>
  <c r="F34" i="11"/>
  <c r="F34" i="68"/>
  <c r="F11" i="12"/>
  <c r="C23" i="12" s="1"/>
  <c r="B72" i="43"/>
  <c r="C15" i="39"/>
  <c r="B61" i="43"/>
  <c r="C19" i="39"/>
  <c r="B69" i="43"/>
  <c r="B101" i="43"/>
  <c r="B58" i="43"/>
  <c r="B79" i="43"/>
  <c r="C25" i="39"/>
  <c r="B97" i="43"/>
  <c r="B75" i="43"/>
  <c r="B54" i="43"/>
  <c r="B65" i="43"/>
  <c r="W12" i="34"/>
  <c r="AC12" i="34"/>
  <c r="W21" i="34"/>
  <c r="AC21" i="34"/>
  <c r="AB43" i="34"/>
  <c r="U43" i="34"/>
  <c r="H12" i="34"/>
  <c r="F12" i="34"/>
  <c r="D7" i="77"/>
  <c r="C26" i="77" s="1"/>
  <c r="R41" i="77"/>
  <c r="R35" i="77" s="1"/>
  <c r="U34" i="77" s="1"/>
  <c r="AB35" i="21"/>
  <c r="U35" i="21"/>
  <c r="S44" i="21"/>
  <c r="AA44" i="21"/>
  <c r="AC40" i="33"/>
  <c r="W40" i="33"/>
  <c r="AC40" i="37"/>
  <c r="W40" i="37"/>
  <c r="W33" i="35"/>
  <c r="AC33" i="35"/>
  <c r="E5" i="6"/>
  <c r="BE5" i="3"/>
  <c r="BI5" i="3"/>
  <c r="BA16" i="3"/>
  <c r="AZ16" i="3" s="1"/>
  <c r="BA20" i="3"/>
  <c r="AZ20" i="3" s="1"/>
  <c r="BA24" i="3"/>
  <c r="AZ24" i="3" s="1"/>
  <c r="BA28" i="3"/>
  <c r="AZ28" i="3" s="1"/>
  <c r="BA32" i="3"/>
  <c r="AZ32" i="3" s="1"/>
  <c r="BA36" i="3"/>
  <c r="AZ36" i="3" s="1"/>
  <c r="BA40" i="3"/>
  <c r="AZ40" i="3" s="1"/>
  <c r="BA44" i="3"/>
  <c r="AZ44" i="3" s="1"/>
  <c r="BA48" i="3"/>
  <c r="AZ48" i="3" s="1"/>
  <c r="BA52" i="3"/>
  <c r="AZ52" i="3" s="1"/>
  <c r="BA56" i="3"/>
  <c r="AZ56" i="3" s="1"/>
  <c r="BA60" i="3"/>
  <c r="AZ60" i="3" s="1"/>
  <c r="BA64" i="3"/>
  <c r="AZ64" i="3" s="1"/>
  <c r="BA68" i="3"/>
  <c r="AZ68" i="3" s="1"/>
  <c r="BA72" i="3"/>
  <c r="AZ72" i="3" s="1"/>
  <c r="BA76" i="3"/>
  <c r="AZ76" i="3" s="1"/>
  <c r="BA80" i="3"/>
  <c r="AZ80" i="3" s="1"/>
  <c r="BA84" i="3"/>
  <c r="AZ84" i="3" s="1"/>
  <c r="BA88" i="3"/>
  <c r="AZ88" i="3" s="1"/>
  <c r="BA92" i="3"/>
  <c r="AZ92" i="3" s="1"/>
  <c r="BA96" i="3"/>
  <c r="AZ96" i="3" s="1"/>
  <c r="BA100" i="3"/>
  <c r="AZ100" i="3" s="1"/>
  <c r="BA104" i="3"/>
  <c r="AZ104" i="3" s="1"/>
  <c r="BA108" i="3"/>
  <c r="AZ108" i="3" s="1"/>
  <c r="BA112" i="3"/>
  <c r="AZ112" i="3" s="1"/>
  <c r="BA116" i="3"/>
  <c r="AZ116" i="3" s="1"/>
  <c r="BA120" i="3"/>
  <c r="AZ120" i="3" s="1"/>
  <c r="BA124" i="3"/>
  <c r="AZ124" i="3" s="1"/>
  <c r="BA128" i="3"/>
  <c r="AZ128" i="3" s="1"/>
  <c r="BA132" i="3"/>
  <c r="AZ132" i="3" s="1"/>
  <c r="BL135" i="3"/>
  <c r="AZ135" i="3" s="1"/>
  <c r="BA138" i="3"/>
  <c r="AZ138" i="3" s="1"/>
  <c r="AZ139" i="3"/>
  <c r="BL140" i="3"/>
  <c r="BL143" i="3"/>
  <c r="AZ143" i="3" s="1"/>
  <c r="BA146" i="3"/>
  <c r="AZ146" i="3" s="1"/>
  <c r="AZ147" i="3"/>
  <c r="BL148" i="3"/>
  <c r="BL151" i="3"/>
  <c r="AZ151" i="3" s="1"/>
  <c r="BA154" i="3"/>
  <c r="AZ154" i="3" s="1"/>
  <c r="AZ155" i="3"/>
  <c r="BL156" i="3"/>
  <c r="BL159" i="3"/>
  <c r="AZ159" i="3" s="1"/>
  <c r="BA162" i="3"/>
  <c r="AZ162" i="3" s="1"/>
  <c r="AZ163" i="3"/>
  <c r="BL164" i="3"/>
  <c r="BL167" i="3"/>
  <c r="AZ167" i="3" s="1"/>
  <c r="BA170" i="3"/>
  <c r="AZ170" i="3" s="1"/>
  <c r="AZ171" i="3"/>
  <c r="BL172" i="3"/>
  <c r="BL175" i="3"/>
  <c r="AZ175" i="3" s="1"/>
  <c r="BA178" i="3"/>
  <c r="AZ178" i="3" s="1"/>
  <c r="AZ179" i="3"/>
  <c r="BL180" i="3"/>
  <c r="BL183" i="3"/>
  <c r="AZ183" i="3" s="1"/>
  <c r="BA186" i="3"/>
  <c r="AZ186" i="3" s="1"/>
  <c r="AZ187" i="3"/>
  <c r="BL188" i="3"/>
  <c r="BL191" i="3"/>
  <c r="AZ191" i="3" s="1"/>
  <c r="BA194" i="3"/>
  <c r="AZ194" i="3" s="1"/>
  <c r="AZ195" i="3"/>
  <c r="BL196" i="3"/>
  <c r="BL199" i="3"/>
  <c r="AZ199" i="3" s="1"/>
  <c r="BA202" i="3"/>
  <c r="AZ202" i="3" s="1"/>
  <c r="AZ203" i="3"/>
  <c r="BL204" i="3"/>
  <c r="BL207" i="3"/>
  <c r="AZ207" i="3" s="1"/>
  <c r="BA210" i="3"/>
  <c r="AZ210" i="3" s="1"/>
  <c r="AZ211" i="3"/>
  <c r="BL212" i="3"/>
  <c r="BL215" i="3"/>
  <c r="AZ215" i="3" s="1"/>
  <c r="BA218" i="3"/>
  <c r="AZ218" i="3" s="1"/>
  <c r="AZ219" i="3"/>
  <c r="BL220" i="3"/>
  <c r="BL223" i="3"/>
  <c r="AZ223" i="3" s="1"/>
  <c r="BA226" i="3"/>
  <c r="AZ226" i="3" s="1"/>
  <c r="AZ227" i="3"/>
  <c r="BL228" i="3"/>
  <c r="BL231" i="3"/>
  <c r="AZ231" i="3" s="1"/>
  <c r="BA234" i="3"/>
  <c r="AZ234" i="3" s="1"/>
  <c r="AZ235" i="3"/>
  <c r="BL236" i="3"/>
  <c r="BL239" i="3"/>
  <c r="AZ239" i="3" s="1"/>
  <c r="BA242" i="3"/>
  <c r="AZ242" i="3" s="1"/>
  <c r="AZ243" i="3"/>
  <c r="BL244" i="3"/>
  <c r="BL247" i="3"/>
  <c r="AZ247" i="3" s="1"/>
  <c r="BA250" i="3"/>
  <c r="AZ250" i="3" s="1"/>
  <c r="AZ251" i="3"/>
  <c r="BL252" i="3"/>
  <c r="BL255" i="3"/>
  <c r="AZ255" i="3" s="1"/>
  <c r="BA258" i="3"/>
  <c r="AZ258" i="3" s="1"/>
  <c r="AZ259" i="3"/>
  <c r="BL260" i="3"/>
  <c r="BL263" i="3"/>
  <c r="AZ263" i="3" s="1"/>
  <c r="BA266" i="3"/>
  <c r="AZ266" i="3" s="1"/>
  <c r="AZ267" i="3"/>
  <c r="BL268" i="3"/>
  <c r="BL271" i="3"/>
  <c r="AZ271" i="3" s="1"/>
  <c r="BA274" i="3"/>
  <c r="AZ274" i="3" s="1"/>
  <c r="AZ275" i="3"/>
  <c r="BL276" i="3"/>
  <c r="BL279" i="3"/>
  <c r="AZ279" i="3" s="1"/>
  <c r="BA282" i="3"/>
  <c r="AZ282" i="3" s="1"/>
  <c r="AZ283" i="3"/>
  <c r="BL284" i="3"/>
  <c r="BL287" i="3"/>
  <c r="AZ287" i="3" s="1"/>
  <c r="BA290" i="3"/>
  <c r="AZ290" i="3" s="1"/>
  <c r="AZ291" i="3"/>
  <c r="BL292" i="3"/>
  <c r="BL295" i="3"/>
  <c r="AZ295" i="3" s="1"/>
  <c r="BA298" i="3"/>
  <c r="AZ298" i="3" s="1"/>
  <c r="AZ299" i="3"/>
  <c r="BL300" i="3"/>
  <c r="BL303" i="3"/>
  <c r="AZ303" i="3" s="1"/>
  <c r="BA306" i="3"/>
  <c r="AZ306" i="3" s="1"/>
  <c r="AZ307" i="3"/>
  <c r="BL308" i="3"/>
  <c r="BL311" i="3"/>
  <c r="AZ311" i="3" s="1"/>
  <c r="BA314" i="3"/>
  <c r="AZ314" i="3" s="1"/>
  <c r="AZ315" i="3"/>
  <c r="BL319" i="3"/>
  <c r="AZ319" i="3" s="1"/>
  <c r="BA322" i="3"/>
  <c r="AZ322" i="3" s="1"/>
  <c r="AZ323" i="3"/>
  <c r="BL327" i="3"/>
  <c r="AZ327" i="3" s="1"/>
  <c r="BA330" i="3"/>
  <c r="AZ330" i="3" s="1"/>
  <c r="AZ331" i="3"/>
  <c r="BL335" i="3"/>
  <c r="AZ335" i="3" s="1"/>
  <c r="BA338" i="3"/>
  <c r="AZ338" i="3" s="1"/>
  <c r="AZ339" i="3"/>
  <c r="BL343" i="3"/>
  <c r="AZ343" i="3" s="1"/>
  <c r="BA346" i="3"/>
  <c r="AZ346" i="3" s="1"/>
  <c r="AZ347" i="3"/>
  <c r="BL351" i="3"/>
  <c r="AZ351" i="3" s="1"/>
  <c r="BA354" i="3"/>
  <c r="AZ354" i="3" s="1"/>
  <c r="AZ355" i="3"/>
  <c r="AZ358" i="3"/>
  <c r="AZ369" i="3"/>
  <c r="AZ371" i="3"/>
  <c r="AZ374" i="3"/>
  <c r="AZ385" i="3"/>
  <c r="AZ387" i="3"/>
  <c r="AZ390" i="3"/>
  <c r="AZ401" i="3"/>
  <c r="AZ403" i="3"/>
  <c r="AZ406" i="3"/>
  <c r="AZ417" i="3"/>
  <c r="AZ419" i="3"/>
  <c r="AZ422" i="3"/>
  <c r="AZ433" i="3"/>
  <c r="AZ435" i="3"/>
  <c r="AZ438" i="3"/>
  <c r="AZ449" i="3"/>
  <c r="AZ451" i="3"/>
  <c r="AZ454" i="3"/>
  <c r="AZ465" i="3"/>
  <c r="AZ467" i="3"/>
  <c r="C40" i="69"/>
  <c r="C21" i="69"/>
  <c r="F40" i="69"/>
  <c r="S10" i="34"/>
  <c r="W23" i="34"/>
  <c r="AC23" i="34"/>
  <c r="U28" i="34"/>
  <c r="AB28" i="34"/>
  <c r="U46" i="34"/>
  <c r="AB46" i="34"/>
  <c r="AB10" i="21"/>
  <c r="U10" i="21"/>
  <c r="S13" i="21"/>
  <c r="AB43" i="21"/>
  <c r="U43" i="21"/>
  <c r="S31" i="33"/>
  <c r="U40" i="37"/>
  <c r="AB40" i="37"/>
  <c r="U18" i="35"/>
  <c r="AB18" i="35"/>
  <c r="S22" i="35"/>
  <c r="AB10" i="36"/>
  <c r="U10" i="36"/>
  <c r="S31" i="36"/>
  <c r="AB11" i="39"/>
  <c r="U11" i="39"/>
  <c r="BL265" i="3"/>
  <c r="AZ265" i="3" s="1"/>
  <c r="BL273" i="3"/>
  <c r="AZ273" i="3" s="1"/>
  <c r="BL281" i="3"/>
  <c r="AZ281" i="3" s="1"/>
  <c r="BL289" i="3"/>
  <c r="AZ289" i="3" s="1"/>
  <c r="BL297" i="3"/>
  <c r="AZ297" i="3" s="1"/>
  <c r="BL305" i="3"/>
  <c r="BL313" i="3"/>
  <c r="AZ313" i="3" s="1"/>
  <c r="BL321" i="3"/>
  <c r="AZ321" i="3" s="1"/>
  <c r="BL329" i="3"/>
  <c r="AZ329" i="3" s="1"/>
  <c r="BL337" i="3"/>
  <c r="AZ337" i="3" s="1"/>
  <c r="BL345" i="3"/>
  <c r="AZ345" i="3" s="1"/>
  <c r="BL353" i="3"/>
  <c r="AZ353" i="3" s="1"/>
  <c r="AZ367" i="3"/>
  <c r="AZ383" i="3"/>
  <c r="AZ397" i="3"/>
  <c r="AZ399" i="3"/>
  <c r="AZ413" i="3"/>
  <c r="AZ415" i="3"/>
  <c r="AZ429" i="3"/>
  <c r="AZ431" i="3"/>
  <c r="AZ434" i="3"/>
  <c r="AZ445" i="3"/>
  <c r="AZ447" i="3"/>
  <c r="AZ461" i="3"/>
  <c r="AZ463" i="3"/>
  <c r="AZ466" i="3"/>
  <c r="AZ473" i="3"/>
  <c r="AZ489" i="3"/>
  <c r="AZ505" i="3"/>
  <c r="AZ521" i="3"/>
  <c r="AZ537" i="3"/>
  <c r="AZ553" i="3"/>
  <c r="AZ569" i="3"/>
  <c r="AZ585" i="3"/>
  <c r="S12" i="1"/>
  <c r="AR12" i="1" s="1"/>
  <c r="K12" i="1"/>
  <c r="M12" i="1" s="1"/>
  <c r="B12" i="1"/>
  <c r="E12" i="1" s="1"/>
  <c r="R12" i="1"/>
  <c r="K120" i="9"/>
  <c r="A18" i="62" s="1"/>
  <c r="B64" i="72" s="1"/>
  <c r="D121" i="9"/>
  <c r="D7" i="52" s="1"/>
  <c r="D6" i="52"/>
  <c r="AA8" i="34"/>
  <c r="S31" i="34"/>
  <c r="AA32" i="34"/>
  <c r="AC45" i="34"/>
  <c r="R25" i="77"/>
  <c r="R5" i="77" s="1"/>
  <c r="U5" i="77" s="1"/>
  <c r="S23" i="21"/>
  <c r="H12" i="21"/>
  <c r="J12" i="21"/>
  <c r="W44" i="33"/>
  <c r="AC44" i="33"/>
  <c r="AC21" i="37"/>
  <c r="W21" i="37"/>
  <c r="AC42" i="39"/>
  <c r="U45" i="39"/>
  <c r="AB45" i="39"/>
  <c r="S32" i="40"/>
  <c r="AA32" i="40"/>
  <c r="J56" i="9"/>
  <c r="M56" i="9"/>
  <c r="BA13"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7" i="3"/>
  <c r="J57" i="9"/>
  <c r="J59" i="9" s="1"/>
  <c r="J61" i="9" s="1"/>
  <c r="W10" i="34"/>
  <c r="F14" i="34"/>
  <c r="W14" i="34"/>
  <c r="W15" i="34"/>
  <c r="W17" i="34"/>
  <c r="W27" i="34"/>
  <c r="S29" i="34"/>
  <c r="U30" i="34"/>
  <c r="W31" i="34"/>
  <c r="S33" i="34"/>
  <c r="U36" i="34"/>
  <c r="W39" i="34"/>
  <c r="AC40" i="34"/>
  <c r="S42" i="34"/>
  <c r="H17" i="34"/>
  <c r="E80" i="34"/>
  <c r="F80" i="34" s="1"/>
  <c r="G80" i="34" s="1"/>
  <c r="AB29" i="34"/>
  <c r="U29" i="34"/>
  <c r="C32" i="77"/>
  <c r="C38" i="77" s="1"/>
  <c r="C39" i="77" s="1"/>
  <c r="S15" i="21"/>
  <c r="U17" i="21"/>
  <c r="U27" i="21"/>
  <c r="AB27" i="21"/>
  <c r="AA28" i="21"/>
  <c r="S28" i="21"/>
  <c r="U31" i="21"/>
  <c r="AB31" i="21"/>
  <c r="U39" i="21"/>
  <c r="AB39" i="21"/>
  <c r="AC13" i="33"/>
  <c r="W13" i="33"/>
  <c r="U8" i="37"/>
  <c r="S10" i="37"/>
  <c r="AC17" i="37"/>
  <c r="W17" i="37"/>
  <c r="AB27" i="37"/>
  <c r="U27" i="37"/>
  <c r="AC28" i="37"/>
  <c r="W28" i="37"/>
  <c r="AB33" i="37"/>
  <c r="S36" i="37"/>
  <c r="H28" i="37"/>
  <c r="F28" i="37"/>
  <c r="U20" i="35"/>
  <c r="AB20" i="35"/>
  <c r="AB23" i="35"/>
  <c r="AB24" i="35"/>
  <c r="U24" i="35"/>
  <c r="W14" i="36"/>
  <c r="AC14" i="36"/>
  <c r="AA25" i="36"/>
  <c r="S25" i="36"/>
  <c r="U30" i="36"/>
  <c r="AB30" i="36"/>
  <c r="J35" i="39"/>
  <c r="H35" i="39"/>
  <c r="F35" i="39"/>
  <c r="BL469" i="3"/>
  <c r="AZ469" i="3" s="1"/>
  <c r="BL473" i="3"/>
  <c r="BL477" i="3"/>
  <c r="AZ477" i="3" s="1"/>
  <c r="BL481" i="3"/>
  <c r="AZ481" i="3" s="1"/>
  <c r="BL485" i="3"/>
  <c r="AZ485" i="3" s="1"/>
  <c r="BL489" i="3"/>
  <c r="BL493" i="3"/>
  <c r="AZ493" i="3" s="1"/>
  <c r="BL497" i="3"/>
  <c r="AZ497" i="3" s="1"/>
  <c r="BL501" i="3"/>
  <c r="AZ501" i="3" s="1"/>
  <c r="BL505" i="3"/>
  <c r="BL509" i="3"/>
  <c r="AZ509" i="3" s="1"/>
  <c r="BL513" i="3"/>
  <c r="AZ513" i="3" s="1"/>
  <c r="BL517" i="3"/>
  <c r="AZ517" i="3" s="1"/>
  <c r="BL521" i="3"/>
  <c r="BL525" i="3"/>
  <c r="AZ525" i="3" s="1"/>
  <c r="BL529" i="3"/>
  <c r="AZ529" i="3" s="1"/>
  <c r="BL533" i="3"/>
  <c r="AZ533" i="3" s="1"/>
  <c r="BL537" i="3"/>
  <c r="BL541" i="3"/>
  <c r="AZ541" i="3" s="1"/>
  <c r="BL545" i="3"/>
  <c r="AZ545" i="3" s="1"/>
  <c r="BL549" i="3"/>
  <c r="AZ549" i="3" s="1"/>
  <c r="BL553" i="3"/>
  <c r="BL557" i="3"/>
  <c r="AZ557" i="3" s="1"/>
  <c r="BL561" i="3"/>
  <c r="AZ561" i="3" s="1"/>
  <c r="BL565" i="3"/>
  <c r="AZ565" i="3" s="1"/>
  <c r="BL569" i="3"/>
  <c r="BL573" i="3"/>
  <c r="AZ573" i="3" s="1"/>
  <c r="BL577" i="3"/>
  <c r="AZ577" i="3" s="1"/>
  <c r="BL581" i="3"/>
  <c r="AZ581" i="3" s="1"/>
  <c r="BL585" i="3"/>
  <c r="P27" i="6"/>
  <c r="S8" i="1"/>
  <c r="AR8" i="1" s="1"/>
  <c r="K8" i="1"/>
  <c r="M8" i="1" s="1"/>
  <c r="B8" i="1"/>
  <c r="E8" i="1" s="1"/>
  <c r="E1" i="73"/>
  <c r="K1" i="73" s="1"/>
  <c r="G41" i="11"/>
  <c r="G22" i="11"/>
  <c r="G27" i="12"/>
  <c r="G41" i="69"/>
  <c r="G22" i="69"/>
  <c r="G25" i="12"/>
  <c r="G41" i="68"/>
  <c r="B67" i="43"/>
  <c r="B99" i="43"/>
  <c r="B56" i="43"/>
  <c r="B76" i="43"/>
  <c r="C27" i="39"/>
  <c r="K56" i="9"/>
  <c r="AC8" i="34"/>
  <c r="S35" i="34"/>
  <c r="AC44" i="34"/>
  <c r="AB14" i="34"/>
  <c r="U14" i="34"/>
  <c r="J46" i="34"/>
  <c r="F46" i="34"/>
  <c r="D22" i="67"/>
  <c r="D24" i="67"/>
  <c r="D23" i="67"/>
  <c r="E23" i="77"/>
  <c r="D29" i="77"/>
  <c r="D26" i="77"/>
  <c r="D32" i="77" s="1"/>
  <c r="D38" i="77"/>
  <c r="D39" i="77" s="1"/>
  <c r="AB9" i="21"/>
  <c r="AC23" i="21"/>
  <c r="W23" i="21"/>
  <c r="AC36" i="21"/>
  <c r="W36" i="21"/>
  <c r="U45" i="21"/>
  <c r="AB45" i="21"/>
  <c r="AA46" i="21"/>
  <c r="S46" i="21"/>
  <c r="J14" i="21"/>
  <c r="F14" i="21"/>
  <c r="AC31" i="33"/>
  <c r="W31" i="33"/>
  <c r="S40" i="33"/>
  <c r="S44" i="33"/>
  <c r="AC14" i="37"/>
  <c r="W14" i="37"/>
  <c r="S21" i="37"/>
  <c r="U14" i="35"/>
  <c r="AB14" i="35"/>
  <c r="W22" i="35"/>
  <c r="AC22" i="35"/>
  <c r="S33" i="35"/>
  <c r="U24" i="36"/>
  <c r="AB24" i="36"/>
  <c r="W31" i="36"/>
  <c r="AC31" i="36"/>
  <c r="AA13" i="39"/>
  <c r="S42" i="39"/>
  <c r="AB43" i="39"/>
  <c r="U43" i="39"/>
  <c r="C21" i="40"/>
  <c r="S30" i="40"/>
  <c r="BA136" i="3"/>
  <c r="AZ136" i="3" s="1"/>
  <c r="BA140" i="3"/>
  <c r="AZ140" i="3" s="1"/>
  <c r="BA144" i="3"/>
  <c r="AZ144" i="3" s="1"/>
  <c r="BA148" i="3"/>
  <c r="AZ148" i="3" s="1"/>
  <c r="BA152" i="3"/>
  <c r="AZ152" i="3" s="1"/>
  <c r="BA156" i="3"/>
  <c r="AZ156" i="3" s="1"/>
  <c r="BA160" i="3"/>
  <c r="AZ160" i="3" s="1"/>
  <c r="BA164" i="3"/>
  <c r="AZ164" i="3" s="1"/>
  <c r="BA168" i="3"/>
  <c r="AZ168" i="3" s="1"/>
  <c r="BA172" i="3"/>
  <c r="AZ172" i="3" s="1"/>
  <c r="BA176" i="3"/>
  <c r="AZ176" i="3" s="1"/>
  <c r="BA180" i="3"/>
  <c r="AZ180" i="3" s="1"/>
  <c r="BA184" i="3"/>
  <c r="AZ184" i="3" s="1"/>
  <c r="BA188" i="3"/>
  <c r="AZ188" i="3" s="1"/>
  <c r="BA192" i="3"/>
  <c r="AZ192" i="3" s="1"/>
  <c r="BA196" i="3"/>
  <c r="AZ196" i="3" s="1"/>
  <c r="BA200" i="3"/>
  <c r="AZ200" i="3" s="1"/>
  <c r="BA204" i="3"/>
  <c r="AZ204" i="3" s="1"/>
  <c r="BA208" i="3"/>
  <c r="AZ208" i="3" s="1"/>
  <c r="BA212" i="3"/>
  <c r="AZ212" i="3" s="1"/>
  <c r="BA216" i="3"/>
  <c r="AZ216" i="3" s="1"/>
  <c r="BA220" i="3"/>
  <c r="AZ220" i="3" s="1"/>
  <c r="BA224" i="3"/>
  <c r="AZ224" i="3" s="1"/>
  <c r="BA228" i="3"/>
  <c r="AZ228" i="3" s="1"/>
  <c r="BA232" i="3"/>
  <c r="AZ232" i="3" s="1"/>
  <c r="BA236" i="3"/>
  <c r="AZ236" i="3" s="1"/>
  <c r="BA240" i="3"/>
  <c r="AZ240" i="3" s="1"/>
  <c r="BA244" i="3"/>
  <c r="AZ244" i="3" s="1"/>
  <c r="BA248" i="3"/>
  <c r="AZ248" i="3" s="1"/>
  <c r="BA252" i="3"/>
  <c r="AZ252" i="3" s="1"/>
  <c r="BA256" i="3"/>
  <c r="AZ256" i="3" s="1"/>
  <c r="BA260" i="3"/>
  <c r="AZ260" i="3" s="1"/>
  <c r="BA264" i="3"/>
  <c r="AZ264" i="3" s="1"/>
  <c r="BA268" i="3"/>
  <c r="AZ268" i="3" s="1"/>
  <c r="BA272" i="3"/>
  <c r="AZ272" i="3" s="1"/>
  <c r="BA276" i="3"/>
  <c r="AZ276" i="3" s="1"/>
  <c r="BA280" i="3"/>
  <c r="AZ280" i="3" s="1"/>
  <c r="BA284" i="3"/>
  <c r="AZ284" i="3" s="1"/>
  <c r="BA288" i="3"/>
  <c r="AZ288" i="3" s="1"/>
  <c r="BA292" i="3"/>
  <c r="AZ292" i="3" s="1"/>
  <c r="BA296" i="3"/>
  <c r="AZ296" i="3" s="1"/>
  <c r="BA300" i="3"/>
  <c r="AZ300" i="3" s="1"/>
  <c r="BA304" i="3"/>
  <c r="AZ304" i="3" s="1"/>
  <c r="BA308" i="3"/>
  <c r="AZ308" i="3" s="1"/>
  <c r="BA312" i="3"/>
  <c r="AZ312" i="3" s="1"/>
  <c r="BA316" i="3"/>
  <c r="AZ316" i="3" s="1"/>
  <c r="BA320" i="3"/>
  <c r="AZ320" i="3" s="1"/>
  <c r="BA324" i="3"/>
  <c r="AZ324" i="3" s="1"/>
  <c r="BA328" i="3"/>
  <c r="AZ328" i="3" s="1"/>
  <c r="BA332" i="3"/>
  <c r="AZ332" i="3" s="1"/>
  <c r="BA336" i="3"/>
  <c r="AZ336" i="3" s="1"/>
  <c r="BA340" i="3"/>
  <c r="AZ340" i="3" s="1"/>
  <c r="BA344" i="3"/>
  <c r="AZ344" i="3" s="1"/>
  <c r="BA348" i="3"/>
  <c r="AZ348" i="3" s="1"/>
  <c r="BA352" i="3"/>
  <c r="AZ352" i="3" s="1"/>
  <c r="BA356" i="3"/>
  <c r="AZ356" i="3" s="1"/>
  <c r="BA360" i="3"/>
  <c r="AZ360" i="3" s="1"/>
  <c r="BA364" i="3"/>
  <c r="AZ364" i="3" s="1"/>
  <c r="BA368" i="3"/>
  <c r="AZ368" i="3" s="1"/>
  <c r="BA372" i="3"/>
  <c r="AZ372" i="3" s="1"/>
  <c r="BA376" i="3"/>
  <c r="AZ376" i="3" s="1"/>
  <c r="BA380" i="3"/>
  <c r="AZ380" i="3" s="1"/>
  <c r="BA384" i="3"/>
  <c r="AZ384" i="3" s="1"/>
  <c r="BA388" i="3"/>
  <c r="AZ388" i="3" s="1"/>
  <c r="BA392" i="3"/>
  <c r="AZ392" i="3" s="1"/>
  <c r="BA396" i="3"/>
  <c r="AZ396" i="3" s="1"/>
  <c r="BA400" i="3"/>
  <c r="AZ400" i="3" s="1"/>
  <c r="BA404" i="3"/>
  <c r="AZ404" i="3" s="1"/>
  <c r="BA408" i="3"/>
  <c r="AZ408" i="3" s="1"/>
  <c r="BA412" i="3"/>
  <c r="AZ412" i="3" s="1"/>
  <c r="BA416" i="3"/>
  <c r="AZ416" i="3" s="1"/>
  <c r="BA420" i="3"/>
  <c r="AZ420" i="3" s="1"/>
  <c r="BA424" i="3"/>
  <c r="AZ424" i="3" s="1"/>
  <c r="BA428" i="3"/>
  <c r="AZ428" i="3" s="1"/>
  <c r="BA432" i="3"/>
  <c r="AZ432" i="3" s="1"/>
  <c r="BA436" i="3"/>
  <c r="AZ436" i="3" s="1"/>
  <c r="BA440" i="3"/>
  <c r="AZ440" i="3" s="1"/>
  <c r="BA444" i="3"/>
  <c r="AZ444" i="3" s="1"/>
  <c r="BA448" i="3"/>
  <c r="AZ448" i="3" s="1"/>
  <c r="BA452" i="3"/>
  <c r="AZ452" i="3" s="1"/>
  <c r="BA456" i="3"/>
  <c r="AZ456" i="3" s="1"/>
  <c r="BA460" i="3"/>
  <c r="AZ460" i="3" s="1"/>
  <c r="BA464" i="3"/>
  <c r="AZ464" i="3" s="1"/>
  <c r="BA468" i="3"/>
  <c r="AZ468" i="3" s="1"/>
  <c r="BA472" i="3"/>
  <c r="AZ472" i="3" s="1"/>
  <c r="BA476" i="3"/>
  <c r="AZ476" i="3" s="1"/>
  <c r="BA480" i="3"/>
  <c r="AZ480" i="3" s="1"/>
  <c r="BA484" i="3"/>
  <c r="AZ484" i="3" s="1"/>
  <c r="BA488" i="3"/>
  <c r="AZ488" i="3" s="1"/>
  <c r="BA492" i="3"/>
  <c r="AZ492" i="3" s="1"/>
  <c r="BA496" i="3"/>
  <c r="AZ496" i="3" s="1"/>
  <c r="BA500" i="3"/>
  <c r="AZ500" i="3" s="1"/>
  <c r="BA504" i="3"/>
  <c r="AZ504" i="3" s="1"/>
  <c r="BA508" i="3"/>
  <c r="AZ508" i="3" s="1"/>
  <c r="BA512" i="3"/>
  <c r="AZ512" i="3" s="1"/>
  <c r="BA516" i="3"/>
  <c r="AZ516" i="3" s="1"/>
  <c r="BA520" i="3"/>
  <c r="AZ520" i="3" s="1"/>
  <c r="BA524" i="3"/>
  <c r="AZ524" i="3" s="1"/>
  <c r="BA528" i="3"/>
  <c r="AZ528" i="3" s="1"/>
  <c r="BA532" i="3"/>
  <c r="AZ532" i="3" s="1"/>
  <c r="BA536" i="3"/>
  <c r="AZ536" i="3" s="1"/>
  <c r="BA540" i="3"/>
  <c r="AZ540" i="3" s="1"/>
  <c r="BA544" i="3"/>
  <c r="AZ544" i="3" s="1"/>
  <c r="BA548" i="3"/>
  <c r="AZ548" i="3" s="1"/>
  <c r="BA552" i="3"/>
  <c r="AZ552" i="3" s="1"/>
  <c r="BA556" i="3"/>
  <c r="AZ556" i="3" s="1"/>
  <c r="BA560" i="3"/>
  <c r="AZ560" i="3" s="1"/>
  <c r="BA564" i="3"/>
  <c r="AZ564" i="3" s="1"/>
  <c r="BA568" i="3"/>
  <c r="AZ568" i="3" s="1"/>
  <c r="BA572" i="3"/>
  <c r="AZ572" i="3" s="1"/>
  <c r="BA576" i="3"/>
  <c r="AZ576" i="3" s="1"/>
  <c r="BA580" i="3"/>
  <c r="AZ580" i="3" s="1"/>
  <c r="BA584" i="3"/>
  <c r="AZ584" i="3" s="1"/>
  <c r="R8" i="1"/>
  <c r="S10" i="1"/>
  <c r="AR10" i="1" s="1"/>
  <c r="K10" i="1"/>
  <c r="M10" i="1" s="1"/>
  <c r="B10" i="1"/>
  <c r="E10" i="1" s="1"/>
  <c r="N56" i="9"/>
  <c r="AB15" i="34"/>
  <c r="U15" i="34"/>
  <c r="AB23" i="34"/>
  <c r="U23" i="34"/>
  <c r="F90" i="34"/>
  <c r="G90" i="34" s="1"/>
  <c r="H90" i="34" s="1"/>
  <c r="I90" i="34" s="1"/>
  <c r="J90" i="34" s="1"/>
  <c r="K90" i="34" s="1"/>
  <c r="L90" i="34" s="1"/>
  <c r="M90" i="34" s="1"/>
  <c r="H27" i="34"/>
  <c r="AA28" i="34"/>
  <c r="S28" i="34"/>
  <c r="F44" i="34"/>
  <c r="E126" i="34"/>
  <c r="F126" i="34" s="1"/>
  <c r="G126" i="34" s="1"/>
  <c r="H44" i="34"/>
  <c r="S8" i="21"/>
  <c r="AA8" i="21"/>
  <c r="AB11" i="21"/>
  <c r="H14" i="21"/>
  <c r="W19" i="21"/>
  <c r="AC19" i="21"/>
  <c r="AB29" i="21"/>
  <c r="U29" i="21"/>
  <c r="S30" i="21"/>
  <c r="AA30" i="21"/>
  <c r="W32" i="21"/>
  <c r="AC32" i="21"/>
  <c r="W40" i="21"/>
  <c r="AC40" i="21"/>
  <c r="H13" i="33"/>
  <c r="F13" i="33"/>
  <c r="J45" i="33"/>
  <c r="F45" i="33"/>
  <c r="AA9" i="37"/>
  <c r="AC10" i="37"/>
  <c r="W10" i="37"/>
  <c r="S17" i="37"/>
  <c r="AC26" i="37"/>
  <c r="AC36" i="37"/>
  <c r="W36" i="37"/>
  <c r="H26" i="37"/>
  <c r="F26" i="37"/>
  <c r="AB10" i="35"/>
  <c r="U10" i="35"/>
  <c r="U16" i="35"/>
  <c r="AB16" i="35"/>
  <c r="W24" i="35"/>
  <c r="AC24" i="35"/>
  <c r="U32" i="35"/>
  <c r="AB32" i="35"/>
  <c r="AA11" i="35"/>
  <c r="S11" i="35"/>
  <c r="S11" i="36"/>
  <c r="AA11" i="36"/>
  <c r="S14" i="36"/>
  <c r="AA14" i="40"/>
  <c r="AC35" i="40"/>
  <c r="B87" i="43"/>
  <c r="C23" i="40"/>
  <c r="B77" i="43"/>
  <c r="B57" i="43"/>
  <c r="B68" i="43"/>
  <c r="B100" i="43"/>
  <c r="C5" i="68"/>
  <c r="M20" i="15"/>
  <c r="S11" i="34"/>
  <c r="W13" i="34"/>
  <c r="S25" i="34"/>
  <c r="W28" i="34"/>
  <c r="S30" i="34"/>
  <c r="U31" i="34"/>
  <c r="AC32" i="34"/>
  <c r="W32" i="34"/>
  <c r="F34" i="67"/>
  <c r="F62" i="67" s="1"/>
  <c r="S34" i="21"/>
  <c r="S42" i="21"/>
  <c r="AB30" i="21"/>
  <c r="U30" i="21"/>
  <c r="AB44" i="21"/>
  <c r="U44" i="21"/>
  <c r="K141" i="21"/>
  <c r="K143" i="21"/>
  <c r="K145" i="21"/>
  <c r="E81" i="33"/>
  <c r="F81" i="33" s="1"/>
  <c r="G81" i="33" s="1"/>
  <c r="H19" i="33"/>
  <c r="AB19" i="33" s="1"/>
  <c r="E85" i="33"/>
  <c r="F85" i="33" s="1"/>
  <c r="G85" i="33" s="1"/>
  <c r="H23" i="33"/>
  <c r="AB23" i="33" s="1"/>
  <c r="J43" i="33"/>
  <c r="AC43" i="33" s="1"/>
  <c r="E125" i="33"/>
  <c r="F125" i="33" s="1"/>
  <c r="G125" i="33" s="1"/>
  <c r="F43" i="33"/>
  <c r="AA43" i="33" s="1"/>
  <c r="AC12" i="37"/>
  <c r="AC34" i="37"/>
  <c r="AC37" i="37"/>
  <c r="AC12" i="35"/>
  <c r="AB28" i="35"/>
  <c r="U28" i="35"/>
  <c r="AC18" i="36"/>
  <c r="W18" i="36"/>
  <c r="AB22" i="36"/>
  <c r="U22" i="36"/>
  <c r="S23" i="36"/>
  <c r="AA23" i="36"/>
  <c r="AC27" i="36"/>
  <c r="W27" i="36"/>
  <c r="AC33" i="36"/>
  <c r="W33" i="36"/>
  <c r="U34" i="36"/>
  <c r="AB34" i="36"/>
  <c r="H13" i="36"/>
  <c r="J13" i="36"/>
  <c r="H23" i="36"/>
  <c r="J23" i="36"/>
  <c r="AB17" i="39"/>
  <c r="U17" i="39"/>
  <c r="AB21" i="39"/>
  <c r="U21" i="39"/>
  <c r="F45" i="39"/>
  <c r="J45" i="39"/>
  <c r="W12" i="40"/>
  <c r="AC12" i="40"/>
  <c r="AB17" i="40"/>
  <c r="U17" i="40"/>
  <c r="AA33" i="40"/>
  <c r="U38" i="40"/>
  <c r="B83" i="43"/>
  <c r="C15" i="40"/>
  <c r="B62" i="43"/>
  <c r="B94" i="43"/>
  <c r="B73" i="43"/>
  <c r="B51" i="43"/>
  <c r="C94" i="9"/>
  <c r="E19" i="69"/>
  <c r="U10" i="34"/>
  <c r="W11" i="34"/>
  <c r="S13" i="34"/>
  <c r="U19" i="34"/>
  <c r="U21" i="34"/>
  <c r="W25" i="34"/>
  <c r="W30" i="34"/>
  <c r="AB45" i="34"/>
  <c r="U45" i="34"/>
  <c r="AC9" i="21"/>
  <c r="W9" i="21"/>
  <c r="AB28" i="21"/>
  <c r="U28" i="21"/>
  <c r="AB46" i="21"/>
  <c r="U46" i="21"/>
  <c r="K144" i="21"/>
  <c r="J28" i="33"/>
  <c r="AC28" i="33" s="1"/>
  <c r="F28" i="33"/>
  <c r="AA28" i="33" s="1"/>
  <c r="AC11" i="37"/>
  <c r="AC25" i="37"/>
  <c r="S31" i="37"/>
  <c r="S34" i="37"/>
  <c r="J39" i="37"/>
  <c r="H39" i="37"/>
  <c r="S8" i="35"/>
  <c r="AA8" i="35"/>
  <c r="AC11" i="35"/>
  <c r="AC29" i="35"/>
  <c r="W29" i="35"/>
  <c r="U12" i="36"/>
  <c r="AB12" i="36"/>
  <c r="AA13" i="36"/>
  <c r="S13" i="36"/>
  <c r="AB26" i="36"/>
  <c r="U26" i="36"/>
  <c r="H11" i="36"/>
  <c r="J11" i="36"/>
  <c r="H25" i="36"/>
  <c r="J25" i="36"/>
  <c r="AA34" i="36"/>
  <c r="S34" i="36"/>
  <c r="C21" i="39"/>
  <c r="W37" i="39"/>
  <c r="AC37" i="39"/>
  <c r="J14" i="39"/>
  <c r="H14" i="39"/>
  <c r="F14" i="39"/>
  <c r="AB9" i="40"/>
  <c r="C17" i="40"/>
  <c r="AC27" i="40"/>
  <c r="W27" i="40"/>
  <c r="W35" i="34"/>
  <c r="W38" i="34"/>
  <c r="S40" i="34"/>
  <c r="U41" i="34"/>
  <c r="W42" i="34"/>
  <c r="S11" i="21"/>
  <c r="W13" i="21"/>
  <c r="S25" i="21"/>
  <c r="U26" i="21"/>
  <c r="W27" i="21"/>
  <c r="S29" i="21"/>
  <c r="W31" i="21"/>
  <c r="S33" i="21"/>
  <c r="U34" i="21"/>
  <c r="W35" i="21"/>
  <c r="S37" i="21"/>
  <c r="U38" i="21"/>
  <c r="W39" i="21"/>
  <c r="S41" i="21"/>
  <c r="U42" i="21"/>
  <c r="W43" i="21"/>
  <c r="S45" i="21"/>
  <c r="S10" i="33"/>
  <c r="S12" i="33"/>
  <c r="W14" i="33"/>
  <c r="S25" i="33"/>
  <c r="U26" i="33"/>
  <c r="U31" i="33"/>
  <c r="S37" i="33"/>
  <c r="S41" i="33"/>
  <c r="U46" i="33"/>
  <c r="AC8" i="37"/>
  <c r="AA25" i="37"/>
  <c r="S25" i="37"/>
  <c r="S27" i="35"/>
  <c r="AB12" i="35"/>
  <c r="U12" i="35"/>
  <c r="F23" i="35"/>
  <c r="J23" i="35"/>
  <c r="J34" i="35"/>
  <c r="F34" i="35"/>
  <c r="S9" i="36"/>
  <c r="S20" i="36"/>
  <c r="AB33" i="36"/>
  <c r="U33" i="36"/>
  <c r="AC8" i="39"/>
  <c r="AB12" i="39"/>
  <c r="S44" i="39"/>
  <c r="S34" i="40"/>
  <c r="S37" i="40"/>
  <c r="H40" i="40"/>
  <c r="F40" i="40"/>
  <c r="U19" i="21"/>
  <c r="U21" i="21"/>
  <c r="U23" i="21"/>
  <c r="W25" i="21"/>
  <c r="S27" i="21"/>
  <c r="W29" i="21"/>
  <c r="S31" i="21"/>
  <c r="U32" i="21"/>
  <c r="W33" i="21"/>
  <c r="S35" i="21"/>
  <c r="U36" i="21"/>
  <c r="W37" i="21"/>
  <c r="S39" i="21"/>
  <c r="U40" i="21"/>
  <c r="W41" i="21"/>
  <c r="S43" i="21"/>
  <c r="W45" i="21"/>
  <c r="W10" i="33"/>
  <c r="W12" i="33"/>
  <c r="S14" i="33"/>
  <c r="W25" i="33"/>
  <c r="W37" i="33"/>
  <c r="U40" i="33"/>
  <c r="W41" i="33"/>
  <c r="U44" i="33"/>
  <c r="H25" i="37"/>
  <c r="AC9" i="37"/>
  <c r="W9" i="37"/>
  <c r="AB12" i="37"/>
  <c r="U12" i="37"/>
  <c r="U8" i="35"/>
  <c r="C79" i="35"/>
  <c r="H26" i="35" s="1"/>
  <c r="F26" i="35"/>
  <c r="AC9" i="35"/>
  <c r="W9" i="35"/>
  <c r="J25" i="35"/>
  <c r="F25" i="35"/>
  <c r="F36" i="35"/>
  <c r="J36" i="35"/>
  <c r="AA8" i="39"/>
  <c r="AB9" i="39"/>
  <c r="S31" i="39"/>
  <c r="S36" i="39"/>
  <c r="AB41" i="39"/>
  <c r="AB31" i="40"/>
  <c r="AC40" i="40"/>
  <c r="H32" i="40"/>
  <c r="J32" i="40"/>
  <c r="F38" i="40"/>
  <c r="J38" i="40"/>
  <c r="S14" i="35"/>
  <c r="S16" i="35"/>
  <c r="S18" i="35"/>
  <c r="S20" i="35"/>
  <c r="U22" i="35"/>
  <c r="U27" i="35"/>
  <c r="W28" i="35"/>
  <c r="S30" i="35"/>
  <c r="U31" i="35"/>
  <c r="W32" i="35"/>
  <c r="U35" i="35"/>
  <c r="U9" i="36"/>
  <c r="W10" i="36"/>
  <c r="S12" i="36"/>
  <c r="U14" i="36"/>
  <c r="U16" i="36"/>
  <c r="U18" i="36"/>
  <c r="U20" i="36"/>
  <c r="W22" i="36"/>
  <c r="S24" i="36"/>
  <c r="W26" i="36"/>
  <c r="S28" i="36"/>
  <c r="U29" i="36"/>
  <c r="W30" i="36"/>
  <c r="S32" i="36"/>
  <c r="W34" i="36"/>
  <c r="AB13" i="39"/>
  <c r="U13" i="39"/>
  <c r="AA12" i="40"/>
  <c r="S12" i="40"/>
  <c r="AA31" i="40"/>
  <c r="S31" i="40"/>
  <c r="S11" i="37"/>
  <c r="W13" i="37"/>
  <c r="W27" i="37"/>
  <c r="S29" i="37"/>
  <c r="U30" i="37"/>
  <c r="W31" i="37"/>
  <c r="S33" i="37"/>
  <c r="U34" i="37"/>
  <c r="W35" i="37"/>
  <c r="S37" i="37"/>
  <c r="U38" i="37"/>
  <c r="W13" i="35"/>
  <c r="W14" i="35"/>
  <c r="W16" i="35"/>
  <c r="W18" i="35"/>
  <c r="W20" i="35"/>
  <c r="S28" i="35"/>
  <c r="U29" i="35"/>
  <c r="W30" i="35"/>
  <c r="S32" i="35"/>
  <c r="U33" i="35"/>
  <c r="S10" i="36"/>
  <c r="W12" i="36"/>
  <c r="S22" i="36"/>
  <c r="W24" i="36"/>
  <c r="S26" i="36"/>
  <c r="U27" i="36"/>
  <c r="W28" i="36"/>
  <c r="S30" i="36"/>
  <c r="U31" i="36"/>
  <c r="W32" i="36"/>
  <c r="AA9" i="39"/>
  <c r="S9" i="39"/>
  <c r="AC14" i="40"/>
  <c r="W14" i="40"/>
  <c r="AC33" i="40"/>
  <c r="W33" i="40"/>
  <c r="AA39" i="40"/>
  <c r="S39" i="40"/>
  <c r="S12" i="39"/>
  <c r="W15" i="39"/>
  <c r="W17" i="39"/>
  <c r="W19" i="39"/>
  <c r="W21" i="39"/>
  <c r="W23" i="39"/>
  <c r="W25" i="39"/>
  <c r="W27" i="39"/>
  <c r="W29" i="39"/>
  <c r="S32" i="39"/>
  <c r="U34" i="39"/>
  <c r="S37" i="39"/>
  <c r="U38" i="39"/>
  <c r="W39" i="39"/>
  <c r="S41" i="39"/>
  <c r="U42" i="39"/>
  <c r="W43" i="39"/>
  <c r="S9" i="40"/>
  <c r="U13" i="40"/>
  <c r="W15" i="40"/>
  <c r="W17" i="40"/>
  <c r="W19" i="40"/>
  <c r="W21" i="40"/>
  <c r="W23" i="40"/>
  <c r="W25" i="40"/>
  <c r="S35" i="40"/>
  <c r="U36" i="40"/>
  <c r="W37" i="40"/>
  <c r="E11" i="43"/>
  <c r="E8" i="43"/>
  <c r="E10" i="43"/>
  <c r="W15" i="79"/>
  <c r="AK15" i="79" s="1"/>
  <c r="AH15" i="79"/>
  <c r="AH9" i="79"/>
  <c r="W9" i="79"/>
  <c r="AK9" i="79" s="1"/>
  <c r="AH19" i="79"/>
  <c r="W19" i="79"/>
  <c r="AK19" i="79" s="1"/>
  <c r="N21" i="43"/>
  <c r="AH8" i="79"/>
  <c r="AH18" i="79"/>
  <c r="W23" i="79"/>
  <c r="AK23" i="79" s="1"/>
  <c r="AH35" i="79"/>
  <c r="W35" i="79"/>
  <c r="AK35" i="79" s="1"/>
  <c r="AH39" i="79"/>
  <c r="W39" i="79"/>
  <c r="AK39" i="79" s="1"/>
  <c r="C63" i="71"/>
  <c r="D62" i="71"/>
  <c r="N65" i="71"/>
  <c r="N66" i="71"/>
  <c r="M32" i="43"/>
  <c r="N3" i="79"/>
  <c r="S3" i="79"/>
  <c r="T5" i="79"/>
  <c r="S6" i="79"/>
  <c r="AG6" i="79" s="1"/>
  <c r="T7" i="79"/>
  <c r="U8" i="79"/>
  <c r="AI8" i="79" s="1"/>
  <c r="R9" i="79"/>
  <c r="AF9" i="79" s="1"/>
  <c r="V9" i="79"/>
  <c r="AJ9" i="79" s="1"/>
  <c r="S10" i="79"/>
  <c r="AG10" i="79" s="1"/>
  <c r="T11" i="79"/>
  <c r="U12" i="79"/>
  <c r="AI12" i="79" s="1"/>
  <c r="T13" i="79"/>
  <c r="S14" i="79"/>
  <c r="AG14" i="79" s="1"/>
  <c r="R15" i="79"/>
  <c r="AF15" i="79" s="1"/>
  <c r="V15" i="79"/>
  <c r="AJ15" i="79" s="1"/>
  <c r="U16" i="79"/>
  <c r="AI16" i="79" s="1"/>
  <c r="T17" i="79"/>
  <c r="U18" i="79"/>
  <c r="AI18" i="79" s="1"/>
  <c r="R19" i="79"/>
  <c r="AF19" i="79" s="1"/>
  <c r="V19" i="79"/>
  <c r="AJ19" i="79" s="1"/>
  <c r="V21" i="79"/>
  <c r="AJ21" i="79" s="1"/>
  <c r="T21" i="79"/>
  <c r="AB31" i="79"/>
  <c r="T34" i="79"/>
  <c r="AH43" i="79"/>
  <c r="W43" i="79"/>
  <c r="AK43" i="79" s="1"/>
  <c r="AD46" i="79"/>
  <c r="AH50" i="79"/>
  <c r="W50" i="79"/>
  <c r="AK50" i="79" s="1"/>
  <c r="Y16" i="71"/>
  <c r="Z16" i="71" s="1"/>
  <c r="D23" i="71"/>
  <c r="C22" i="71"/>
  <c r="AB23" i="71"/>
  <c r="AB15" i="71"/>
  <c r="AB26" i="71"/>
  <c r="F26" i="43"/>
  <c r="E17" i="43"/>
  <c r="C21" i="11"/>
  <c r="K3" i="79"/>
  <c r="O3" i="79"/>
  <c r="T3" i="79"/>
  <c r="W3" i="79" s="1"/>
  <c r="U5" i="79"/>
  <c r="AI5" i="79" s="1"/>
  <c r="T6" i="79"/>
  <c r="T10" i="79"/>
  <c r="AH12" i="79"/>
  <c r="T14" i="79"/>
  <c r="AH16" i="79"/>
  <c r="T20" i="79"/>
  <c r="M31" i="79"/>
  <c r="P31" i="79" s="1"/>
  <c r="U34" i="79"/>
  <c r="AI34" i="79" s="1"/>
  <c r="AD35" i="79"/>
  <c r="AD36" i="79"/>
  <c r="T36" i="79"/>
  <c r="AD39" i="79"/>
  <c r="S40" i="79"/>
  <c r="AG40" i="79" s="1"/>
  <c r="AH40" i="79"/>
  <c r="AD45" i="79"/>
  <c r="T46" i="79"/>
  <c r="T47" i="79"/>
  <c r="W49" i="79"/>
  <c r="AK49" i="79" s="1"/>
  <c r="AH51" i="79"/>
  <c r="W51" i="79"/>
  <c r="AK51" i="79" s="1"/>
  <c r="Y11" i="71"/>
  <c r="Z11" i="71" s="1"/>
  <c r="Y13" i="71"/>
  <c r="Z13" i="71" s="1"/>
  <c r="Y19" i="71"/>
  <c r="Z19" i="71" s="1"/>
  <c r="V20" i="71"/>
  <c r="E19" i="71"/>
  <c r="E18" i="71" s="1"/>
  <c r="E17" i="71" s="1"/>
  <c r="E16" i="71" s="1"/>
  <c r="AB25" i="71"/>
  <c r="L3" i="79"/>
  <c r="T22" i="79"/>
  <c r="P23" i="79"/>
  <c r="Z31" i="79"/>
  <c r="S35" i="79"/>
  <c r="AG35" i="79" s="1"/>
  <c r="S36" i="79"/>
  <c r="AG36" i="79" s="1"/>
  <c r="U37" i="79"/>
  <c r="AI37" i="79" s="1"/>
  <c r="S38" i="79"/>
  <c r="AG38" i="79" s="1"/>
  <c r="W38" i="79"/>
  <c r="AK38" i="79" s="1"/>
  <c r="S39" i="79"/>
  <c r="AG39" i="79" s="1"/>
  <c r="T44" i="79"/>
  <c r="T48" i="79"/>
  <c r="Y12" i="71"/>
  <c r="Z12" i="71" s="1"/>
  <c r="N31" i="79"/>
  <c r="U31" i="79"/>
  <c r="T33" i="79"/>
  <c r="T37" i="79"/>
  <c r="T41" i="79"/>
  <c r="T45" i="79"/>
  <c r="AD49" i="79"/>
  <c r="Y10" i="71"/>
  <c r="Z10" i="71" s="1"/>
  <c r="AA11" i="71"/>
  <c r="AA12" i="71"/>
  <c r="AA13" i="71"/>
  <c r="AB9" i="71"/>
  <c r="AB14" i="71"/>
  <c r="Y18" i="71"/>
  <c r="Z18" i="71" s="1"/>
  <c r="AA19" i="71"/>
  <c r="AA20" i="71"/>
  <c r="AA21" i="71"/>
  <c r="AB22" i="71"/>
  <c r="T32" i="71"/>
  <c r="D32" i="71"/>
  <c r="D31" i="71"/>
  <c r="AA31" i="71"/>
  <c r="AA28" i="71"/>
  <c r="AA9" i="71"/>
  <c r="AB12" i="71"/>
  <c r="AB13" i="71"/>
  <c r="X14" i="71"/>
  <c r="Y15" i="71"/>
  <c r="Z15" i="71" s="1"/>
  <c r="Y17" i="71"/>
  <c r="Z17" i="71" s="1"/>
  <c r="AB20" i="71"/>
  <c r="AB21" i="71"/>
  <c r="Y24" i="71"/>
  <c r="Z24" i="71" s="1"/>
  <c r="E32" i="71"/>
  <c r="U32" i="71" s="1"/>
  <c r="Y3" i="71"/>
  <c r="Z3" i="71" s="1"/>
  <c r="AB10" i="71"/>
  <c r="X12" i="71"/>
  <c r="X13" i="71"/>
  <c r="Y14" i="71"/>
  <c r="Z14" i="71" s="1"/>
  <c r="AA15" i="71"/>
  <c r="AA16" i="71"/>
  <c r="AA17" i="71"/>
  <c r="AB18" i="71"/>
  <c r="Y22" i="71"/>
  <c r="Z22" i="71" s="1"/>
  <c r="Y23" i="71"/>
  <c r="Z23" i="71" s="1"/>
  <c r="AB24" i="71"/>
  <c r="AA24" i="71"/>
  <c r="AA25" i="71"/>
  <c r="AA30" i="71"/>
  <c r="P51" i="79"/>
  <c r="S28" i="71"/>
  <c r="B27" i="71"/>
  <c r="B26" i="71" s="1"/>
  <c r="X28" i="71"/>
  <c r="X29" i="71"/>
  <c r="C43" i="71"/>
  <c r="D42" i="71"/>
  <c r="C47" i="71"/>
  <c r="D47" i="71" s="1"/>
  <c r="D46" i="71"/>
  <c r="C59" i="71"/>
  <c r="D58" i="71"/>
  <c r="B35" i="71"/>
  <c r="B36" i="71" s="1"/>
  <c r="S36" i="71" s="1"/>
  <c r="X33" i="71"/>
  <c r="C35" i="71"/>
  <c r="AA34" i="71"/>
  <c r="AA35" i="71"/>
  <c r="AB35" i="71"/>
  <c r="AB36" i="71"/>
  <c r="AB34" i="71"/>
  <c r="C40" i="71"/>
  <c r="D39" i="71"/>
  <c r="C55" i="71"/>
  <c r="D54" i="71"/>
  <c r="Q66" i="71"/>
  <c r="Q65" i="71"/>
  <c r="P67" i="71"/>
  <c r="E66" i="71"/>
  <c r="B23" i="71"/>
  <c r="B22" i="71" s="1"/>
  <c r="B21" i="71" s="1"/>
  <c r="B20" i="71" s="1"/>
  <c r="AA27" i="71"/>
  <c r="AA29" i="71"/>
  <c r="AB31" i="71"/>
  <c r="AB32" i="71"/>
  <c r="Y33" i="71"/>
  <c r="Z33" i="71" s="1"/>
  <c r="D34" i="71"/>
  <c r="X37" i="71"/>
  <c r="C51" i="71"/>
  <c r="D50" i="71"/>
  <c r="Q67" i="71"/>
  <c r="P68" i="71"/>
  <c r="U68" i="71"/>
  <c r="U72" i="71"/>
  <c r="U76" i="71"/>
  <c r="U80" i="71"/>
  <c r="AB37" i="71"/>
  <c r="D38" i="71"/>
  <c r="D66" i="71"/>
  <c r="N67" i="71"/>
  <c r="Q68" i="71"/>
  <c r="AA39" i="71"/>
  <c r="D67" i="71"/>
  <c r="N68" i="71"/>
  <c r="E9" i="43"/>
  <c r="C7" i="43" s="1"/>
  <c r="E21" i="43"/>
  <c r="J21" i="43"/>
  <c r="H76" i="43"/>
  <c r="M1" i="43"/>
  <c r="M2" i="43"/>
  <c r="N3" i="43"/>
  <c r="N5" i="43"/>
  <c r="M7" i="43"/>
  <c r="N8" i="43"/>
  <c r="N9" i="43"/>
  <c r="M12" i="43"/>
  <c r="H61" i="43"/>
  <c r="H67" i="43"/>
  <c r="H83" i="43"/>
  <c r="N1" i="43"/>
  <c r="N2" i="43"/>
  <c r="F50" i="43" s="1"/>
  <c r="M4" i="43"/>
  <c r="M6" i="43"/>
  <c r="N7" i="43"/>
  <c r="N12" i="43"/>
  <c r="H79" i="43"/>
  <c r="H87" i="43"/>
  <c r="N4" i="43"/>
  <c r="N6" i="43"/>
  <c r="M10" i="43"/>
  <c r="M11" i="43"/>
  <c r="H64" i="43"/>
  <c r="H72" i="43"/>
  <c r="M3" i="43"/>
  <c r="M5" i="43"/>
  <c r="M8" i="43"/>
  <c r="M9" i="43"/>
  <c r="N10" i="43"/>
  <c r="H90" i="43"/>
  <c r="C6" i="43"/>
  <c r="D21" i="43"/>
  <c r="I21" i="43"/>
  <c r="M21" i="43"/>
  <c r="F38" i="43"/>
  <c r="F40" i="43"/>
  <c r="F42" i="43"/>
  <c r="H62" i="43"/>
  <c r="H65" i="43"/>
  <c r="H68" i="43"/>
  <c r="H73" i="43"/>
  <c r="H77" i="43"/>
  <c r="H84" i="43"/>
  <c r="H88" i="43"/>
  <c r="H95" i="43"/>
  <c r="H101" i="43"/>
  <c r="H94" i="43"/>
  <c r="H97" i="43"/>
  <c r="H100" i="43"/>
  <c r="S4" i="43"/>
  <c r="K21" i="43"/>
  <c r="O21" i="43"/>
  <c r="F37" i="43"/>
  <c r="F39" i="43"/>
  <c r="F41" i="43"/>
  <c r="H66" i="43"/>
  <c r="H75" i="43"/>
  <c r="H78" i="43"/>
  <c r="H86" i="43"/>
  <c r="H89" i="43"/>
  <c r="H93" i="43"/>
  <c r="H96" i="43"/>
  <c r="H99" i="43"/>
  <c r="H116" i="43"/>
  <c r="S2" i="43"/>
  <c r="S3" i="43"/>
  <c r="S5" i="43"/>
  <c r="S6" i="43"/>
  <c r="X7" i="43"/>
  <c r="C21" i="43"/>
  <c r="H21" i="43"/>
  <c r="L21" i="43"/>
  <c r="H63" i="43"/>
  <c r="H74" i="43"/>
  <c r="F36" i="33"/>
  <c r="AA36" i="33" s="1"/>
  <c r="H36" i="33"/>
  <c r="AB36" i="33" s="1"/>
  <c r="T8" i="1"/>
  <c r="AQ8" i="1"/>
  <c r="T10" i="1"/>
  <c r="AQ10" i="1"/>
  <c r="F6" i="1"/>
  <c r="I24" i="43" s="1"/>
  <c r="C24" i="43" s="1"/>
  <c r="F27" i="33"/>
  <c r="AA27" i="33" s="1"/>
  <c r="E91" i="33"/>
  <c r="U43" i="33"/>
  <c r="W43" i="33"/>
  <c r="S43" i="33"/>
  <c r="J15" i="33"/>
  <c r="AC15" i="33" s="1"/>
  <c r="F77" i="33"/>
  <c r="G77" i="33" s="1"/>
  <c r="H15" i="33"/>
  <c r="AB15" i="33" s="1"/>
  <c r="F15" i="33"/>
  <c r="AA15" i="33" s="1"/>
  <c r="U23" i="33"/>
  <c r="W23" i="33"/>
  <c r="S23" i="33"/>
  <c r="U21" i="33"/>
  <c r="W21" i="33"/>
  <c r="S21" i="33"/>
  <c r="U19" i="33"/>
  <c r="W19" i="33"/>
  <c r="S19" i="33"/>
  <c r="U17" i="33"/>
  <c r="W17" i="33"/>
  <c r="S17" i="33"/>
  <c r="S42" i="33"/>
  <c r="U42" i="33"/>
  <c r="W42" i="33"/>
  <c r="AB39" i="33"/>
  <c r="W39" i="33"/>
  <c r="S39" i="33"/>
  <c r="U35" i="33"/>
  <c r="W35" i="33"/>
  <c r="S35" i="33"/>
  <c r="S34" i="33"/>
  <c r="U34" i="33"/>
  <c r="W34" i="33"/>
  <c r="S32" i="33"/>
  <c r="U32" i="33"/>
  <c r="W32" i="33"/>
  <c r="C18" i="9"/>
  <c r="D18" i="9" s="1"/>
  <c r="U11" i="33"/>
  <c r="W11" i="33"/>
  <c r="S11" i="33"/>
  <c r="W36" i="33"/>
  <c r="W38" i="33"/>
  <c r="S38" i="33"/>
  <c r="U38" i="33"/>
  <c r="U33" i="33"/>
  <c r="W33" i="33"/>
  <c r="S33" i="33"/>
  <c r="W30" i="33"/>
  <c r="S30" i="33"/>
  <c r="U30" i="33"/>
  <c r="U29" i="33"/>
  <c r="W29" i="33"/>
  <c r="S29" i="33"/>
  <c r="S28" i="33"/>
  <c r="U28" i="33"/>
  <c r="W28" i="33"/>
  <c r="S27" i="33"/>
  <c r="W27" i="33"/>
  <c r="S9" i="33"/>
  <c r="U9" i="33"/>
  <c r="W9" i="33"/>
  <c r="AB8" i="33"/>
  <c r="S8" i="33"/>
  <c r="AC8" i="33"/>
  <c r="D93" i="9"/>
  <c r="B41" i="1"/>
  <c r="C37" i="34"/>
  <c r="E37" i="34" s="1"/>
  <c r="Y6" i="1"/>
  <c r="G1" i="69"/>
  <c r="L27" i="6"/>
  <c r="B6" i="1"/>
  <c r="E6" i="1" s="1"/>
  <c r="O16" i="1"/>
  <c r="C36" i="69"/>
  <c r="T12" i="1"/>
  <c r="AQ12" i="1"/>
  <c r="K1" i="12"/>
  <c r="F3" i="35"/>
  <c r="G1" i="68"/>
  <c r="G1" i="15"/>
  <c r="G5" i="3"/>
  <c r="B3" i="3" s="1"/>
  <c r="E13" i="3" s="1"/>
  <c r="BA5" i="3"/>
  <c r="E27" i="6" s="1"/>
  <c r="AZ13" i="3"/>
  <c r="H5" i="3"/>
  <c r="E14" i="6"/>
  <c r="E12" i="6"/>
  <c r="E10" i="6"/>
  <c r="E13" i="6"/>
  <c r="E15" i="6"/>
  <c r="E11" i="6"/>
  <c r="E8" i="6"/>
  <c r="D3" i="33"/>
  <c r="D3" i="34"/>
  <c r="K6" i="1"/>
  <c r="D9" i="69"/>
  <c r="C9" i="69" s="1"/>
  <c r="D9" i="11"/>
  <c r="C9" i="11" s="1"/>
  <c r="D19" i="12"/>
  <c r="C19" i="12" s="1"/>
  <c r="D9" i="68"/>
  <c r="C34" i="34"/>
  <c r="B14" i="74"/>
  <c r="B1" i="74" s="1"/>
  <c r="P16" i="1"/>
  <c r="C11" i="12" s="1"/>
  <c r="C15" i="12" s="1"/>
  <c r="AQ7" i="1"/>
  <c r="T7" i="1"/>
  <c r="AR7" i="1"/>
  <c r="T11" i="1"/>
  <c r="AQ11" i="1"/>
  <c r="B3" i="35"/>
  <c r="B3" i="36"/>
  <c r="Z7" i="43"/>
  <c r="G26" i="43"/>
  <c r="N370" i="46"/>
  <c r="H26" i="43"/>
  <c r="B116" i="43"/>
  <c r="N94" i="46"/>
  <c r="T9" i="1"/>
  <c r="AQ9" i="1"/>
  <c r="T13" i="1"/>
  <c r="AQ13" i="1"/>
  <c r="E26" i="43"/>
  <c r="D26" i="43" s="1"/>
  <c r="C25" i="43" s="1"/>
  <c r="J26" i="43"/>
  <c r="G7" i="1"/>
  <c r="G11" i="1"/>
  <c r="G8" i="1"/>
  <c r="G12" i="1"/>
  <c r="G10" i="1"/>
  <c r="C6" i="78"/>
  <c r="D6" i="78" s="1"/>
  <c r="C7" i="78"/>
  <c r="D7" i="78" s="1"/>
  <c r="C5" i="78"/>
  <c r="D5" i="78" s="1"/>
  <c r="J1" i="73"/>
  <c r="L1" i="73"/>
  <c r="B2" i="1"/>
  <c r="B10" i="70"/>
  <c r="B9" i="70"/>
  <c r="B13" i="70"/>
  <c r="B8" i="70"/>
  <c r="B12" i="70"/>
  <c r="B7" i="70"/>
  <c r="B11" i="70"/>
  <c r="B20" i="31"/>
  <c r="B21" i="31" s="1"/>
  <c r="C27" i="67"/>
  <c r="F65" i="67"/>
  <c r="F51" i="67"/>
  <c r="F68" i="67"/>
  <c r="Q71" i="67"/>
  <c r="F64" i="67"/>
  <c r="F66" i="67"/>
  <c r="D18" i="53"/>
  <c r="B35" i="72" s="1"/>
  <c r="C7" i="74"/>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0" i="52"/>
  <c r="D125" i="9"/>
  <c r="D11" i="52" s="1"/>
  <c r="D127" i="9"/>
  <c r="D13" i="52" s="1"/>
  <c r="D3" i="73"/>
  <c r="M29" i="15"/>
  <c r="F42" i="15"/>
  <c r="C76" i="15"/>
  <c r="F8" i="15"/>
  <c r="J15" i="15"/>
  <c r="M6" i="15"/>
  <c r="F7" i="67"/>
  <c r="C14" i="15"/>
  <c r="M26" i="15"/>
  <c r="F36" i="15"/>
  <c r="D4" i="73"/>
  <c r="F41" i="15"/>
  <c r="F37" i="15"/>
  <c r="M28" i="15"/>
  <c r="M9" i="15"/>
  <c r="M27" i="15"/>
  <c r="D6" i="73"/>
  <c r="F6" i="73"/>
  <c r="M24" i="15"/>
  <c r="F43" i="15"/>
  <c r="F16" i="15"/>
  <c r="F7" i="73"/>
  <c r="F13" i="67"/>
  <c r="L48" i="15"/>
  <c r="L47" i="15"/>
  <c r="M8" i="15"/>
  <c r="F7" i="15"/>
  <c r="F13" i="15"/>
  <c r="F5" i="73"/>
  <c r="F38" i="15"/>
  <c r="F9" i="15"/>
  <c r="F43" i="67"/>
  <c r="F6" i="15"/>
  <c r="M21" i="15"/>
  <c r="L48" i="67"/>
  <c r="M22" i="15"/>
  <c r="M29" i="67"/>
  <c r="F26" i="15"/>
  <c r="F35" i="15"/>
  <c r="M23" i="15"/>
  <c r="F40" i="15"/>
  <c r="D5" i="73"/>
  <c r="D7" i="73"/>
  <c r="F3" i="73"/>
  <c r="AZ5" i="3" l="1"/>
  <c r="P66" i="71"/>
  <c r="P65" i="71"/>
  <c r="W33" i="79"/>
  <c r="AK33" i="79" s="1"/>
  <c r="AH33" i="79"/>
  <c r="W48" i="79"/>
  <c r="AK48" i="79" s="1"/>
  <c r="AH48" i="79"/>
  <c r="AH20" i="79"/>
  <c r="W20" i="79"/>
  <c r="AK20" i="79" s="1"/>
  <c r="AH10" i="79"/>
  <c r="W10" i="79"/>
  <c r="AK10" i="79" s="1"/>
  <c r="D22" i="71"/>
  <c r="C21" i="71"/>
  <c r="AH34" i="79"/>
  <c r="W34" i="79"/>
  <c r="AK34" i="79" s="1"/>
  <c r="AH13" i="79"/>
  <c r="W13" i="79"/>
  <c r="AK13" i="79" s="1"/>
  <c r="C64" i="71"/>
  <c r="D63" i="71"/>
  <c r="AB32" i="40"/>
  <c r="U32" i="40"/>
  <c r="AC36" i="35"/>
  <c r="W36" i="35"/>
  <c r="AB26" i="35"/>
  <c r="U26" i="35"/>
  <c r="AA40" i="40"/>
  <c r="S40" i="40"/>
  <c r="AC34" i="35"/>
  <c r="W34" i="35"/>
  <c r="S14" i="39"/>
  <c r="AA14" i="39"/>
  <c r="AC25" i="36"/>
  <c r="W25" i="36"/>
  <c r="AC39" i="37"/>
  <c r="W39" i="37"/>
  <c r="AB23" i="36"/>
  <c r="U23" i="36"/>
  <c r="S13" i="33"/>
  <c r="AA13" i="33"/>
  <c r="AB14" i="21"/>
  <c r="U14" i="21"/>
  <c r="AB44" i="34"/>
  <c r="U44" i="34"/>
  <c r="W14" i="21"/>
  <c r="AC14" i="21"/>
  <c r="U28" i="37"/>
  <c r="AB28" i="37"/>
  <c r="AA14" i="34"/>
  <c r="S14" i="34"/>
  <c r="S12" i="34"/>
  <c r="AA12" i="34"/>
  <c r="C56" i="71"/>
  <c r="D55" i="71"/>
  <c r="C36" i="71"/>
  <c r="D35" i="71"/>
  <c r="C60" i="71"/>
  <c r="D59" i="71"/>
  <c r="C44" i="71"/>
  <c r="D43" i="71"/>
  <c r="W45" i="79"/>
  <c r="AK45" i="79" s="1"/>
  <c r="AH45" i="79"/>
  <c r="W44" i="79"/>
  <c r="AK44" i="79" s="1"/>
  <c r="AH44" i="79"/>
  <c r="V16" i="71"/>
  <c r="E15" i="71"/>
  <c r="E14" i="71" s="1"/>
  <c r="E13" i="71" s="1"/>
  <c r="E12" i="71" s="1"/>
  <c r="AH47" i="79"/>
  <c r="W47" i="79"/>
  <c r="AK47" i="79" s="1"/>
  <c r="AH6" i="79"/>
  <c r="W6" i="79"/>
  <c r="AK6" i="79" s="1"/>
  <c r="AH5" i="79"/>
  <c r="W5" i="79"/>
  <c r="AK5" i="79" s="1"/>
  <c r="W38" i="40"/>
  <c r="AC38" i="40"/>
  <c r="AA36" i="35"/>
  <c r="S36" i="35"/>
  <c r="AB40" i="40"/>
  <c r="U40" i="40"/>
  <c r="AC23" i="35"/>
  <c r="W23" i="35"/>
  <c r="AB14" i="39"/>
  <c r="U14" i="39"/>
  <c r="AB25" i="36"/>
  <c r="U25" i="36"/>
  <c r="AC45" i="39"/>
  <c r="W45" i="39"/>
  <c r="W13" i="36"/>
  <c r="AC13" i="36"/>
  <c r="AA26" i="37"/>
  <c r="S26" i="37"/>
  <c r="AB13" i="33"/>
  <c r="U13" i="33"/>
  <c r="AB27" i="34"/>
  <c r="U27" i="34"/>
  <c r="S35" i="39"/>
  <c r="AA35" i="39"/>
  <c r="AC12" i="21"/>
  <c r="W12" i="21"/>
  <c r="AB12" i="34"/>
  <c r="U12" i="34"/>
  <c r="AB9" i="34"/>
  <c r="U9" i="34"/>
  <c r="E29" i="6"/>
  <c r="K15" i="1" s="1"/>
  <c r="S36" i="33"/>
  <c r="W41" i="79"/>
  <c r="AK41" i="79" s="1"/>
  <c r="AH41" i="79"/>
  <c r="W22" i="79"/>
  <c r="AK22" i="79" s="1"/>
  <c r="AH22" i="79"/>
  <c r="AH46" i="79"/>
  <c r="W46" i="79"/>
  <c r="AK46" i="79" s="1"/>
  <c r="W14" i="79"/>
  <c r="AK14" i="79" s="1"/>
  <c r="AH14" i="79"/>
  <c r="AH21" i="79"/>
  <c r="W21" i="79"/>
  <c r="AK21" i="79" s="1"/>
  <c r="AH11" i="79"/>
  <c r="W11" i="79"/>
  <c r="AK11" i="79" s="1"/>
  <c r="S38" i="40"/>
  <c r="AA38" i="40"/>
  <c r="AA25" i="35"/>
  <c r="S25" i="35"/>
  <c r="AA26" i="35"/>
  <c r="S26" i="35"/>
  <c r="AB25" i="37"/>
  <c r="U25" i="37"/>
  <c r="AA23" i="35"/>
  <c r="S23" i="35"/>
  <c r="AC14" i="39"/>
  <c r="W14" i="39"/>
  <c r="AC11" i="36"/>
  <c r="W11" i="36"/>
  <c r="AA45" i="39"/>
  <c r="S45" i="39"/>
  <c r="AB13" i="36"/>
  <c r="U13" i="36"/>
  <c r="AB26" i="37"/>
  <c r="U26" i="37"/>
  <c r="AA45" i="33"/>
  <c r="S45" i="33"/>
  <c r="AA44" i="34"/>
  <c r="S44" i="34"/>
  <c r="E38" i="77"/>
  <c r="E39" i="77" s="1"/>
  <c r="E32" i="77"/>
  <c r="E29" i="77"/>
  <c r="E26" i="77"/>
  <c r="AA46" i="34"/>
  <c r="S46" i="34"/>
  <c r="AB35" i="39"/>
  <c r="U35" i="39"/>
  <c r="AB12" i="21"/>
  <c r="U12" i="21"/>
  <c r="AC9" i="34"/>
  <c r="W9" i="34"/>
  <c r="F30" i="6"/>
  <c r="E28" i="6"/>
  <c r="BL5" i="3"/>
  <c r="C52" i="71"/>
  <c r="D51" i="71"/>
  <c r="S20" i="71"/>
  <c r="B19" i="71"/>
  <c r="B18" i="71" s="1"/>
  <c r="B17" i="71" s="1"/>
  <c r="B16" i="71" s="1"/>
  <c r="T40" i="71"/>
  <c r="D40" i="71"/>
  <c r="W37" i="79"/>
  <c r="AK37" i="79" s="1"/>
  <c r="AH37" i="79"/>
  <c r="W36" i="79"/>
  <c r="AK36" i="79" s="1"/>
  <c r="AH36" i="79"/>
  <c r="AH17" i="79"/>
  <c r="W17" i="79"/>
  <c r="AK17" i="79" s="1"/>
  <c r="AH7" i="79"/>
  <c r="W7" i="79"/>
  <c r="AK7" i="79" s="1"/>
  <c r="AC32" i="40"/>
  <c r="W32" i="40"/>
  <c r="AC25" i="35"/>
  <c r="W25" i="35"/>
  <c r="J26" i="35"/>
  <c r="AA34" i="35"/>
  <c r="S34" i="35"/>
  <c r="AB11" i="36"/>
  <c r="U11" i="36"/>
  <c r="AB39" i="37"/>
  <c r="U39" i="37"/>
  <c r="W23" i="36"/>
  <c r="AC23" i="36"/>
  <c r="AC45" i="33"/>
  <c r="W45" i="33"/>
  <c r="S14" i="21"/>
  <c r="AA14" i="21"/>
  <c r="AC46" i="34"/>
  <c r="W46" i="34"/>
  <c r="AC35" i="39"/>
  <c r="W35" i="39"/>
  <c r="AA28" i="37"/>
  <c r="S28" i="37"/>
  <c r="C40" i="77"/>
  <c r="AB17" i="34"/>
  <c r="U17" i="34"/>
  <c r="AA9" i="34"/>
  <c r="S9" i="34"/>
  <c r="D20" i="53"/>
  <c r="B40" i="72" s="1"/>
  <c r="B38" i="72"/>
  <c r="H58" i="43"/>
  <c r="G58" i="43" s="1"/>
  <c r="H57" i="43"/>
  <c r="G57" i="43" s="1"/>
  <c r="H53" i="43"/>
  <c r="G53" i="43" s="1"/>
  <c r="H50" i="43"/>
  <c r="G50" i="43" s="1"/>
  <c r="H52" i="43"/>
  <c r="G52" i="43" s="1"/>
  <c r="H56" i="43"/>
  <c r="G56" i="43" s="1"/>
  <c r="H51" i="43"/>
  <c r="G51" i="43" s="1"/>
  <c r="H54" i="43"/>
  <c r="G54" i="43" s="1"/>
  <c r="H55" i="43"/>
  <c r="G55" i="43" s="1"/>
  <c r="G21" i="43"/>
  <c r="C20" i="43" s="1"/>
  <c r="C5" i="43" s="1"/>
  <c r="S15" i="33"/>
  <c r="U15" i="33"/>
  <c r="F31" i="15"/>
  <c r="F31" i="67"/>
  <c r="U36" i="33"/>
  <c r="L58" i="67"/>
  <c r="Q73" i="67" s="1"/>
  <c r="G6" i="1"/>
  <c r="G16" i="1" s="1"/>
  <c r="F91" i="33"/>
  <c r="G91" i="33" s="1"/>
  <c r="H91" i="33" s="1"/>
  <c r="I91" i="33" s="1"/>
  <c r="J91" i="33" s="1"/>
  <c r="K91" i="33" s="1"/>
  <c r="L91" i="33" s="1"/>
  <c r="M91" i="33" s="1"/>
  <c r="H27" i="33"/>
  <c r="W15" i="33"/>
  <c r="C12" i="12"/>
  <c r="F28" i="15"/>
  <c r="F30" i="68"/>
  <c r="F48" i="68" s="1"/>
  <c r="D68" i="9"/>
  <c r="F48" i="9"/>
  <c r="O52" i="9" s="1"/>
  <c r="F32" i="67"/>
  <c r="F60" i="67" s="1"/>
  <c r="M18" i="15"/>
  <c r="F31" i="12"/>
  <c r="F30" i="11"/>
  <c r="F28" i="67"/>
  <c r="F53" i="9"/>
  <c r="F52" i="9"/>
  <c r="M18" i="67"/>
  <c r="F32" i="15"/>
  <c r="F60" i="15" s="1"/>
  <c r="F30" i="69"/>
  <c r="F48" i="69" s="1"/>
  <c r="F54" i="9"/>
  <c r="G37" i="34"/>
  <c r="F37" i="34"/>
  <c r="F71" i="15"/>
  <c r="C34" i="15"/>
  <c r="F63" i="15"/>
  <c r="C62" i="15" s="1"/>
  <c r="J20" i="15"/>
  <c r="F64" i="15"/>
  <c r="C6" i="15"/>
  <c r="F68" i="15"/>
  <c r="F51" i="15"/>
  <c r="J53" i="15"/>
  <c r="F1" i="15" s="1"/>
  <c r="I54" i="15"/>
  <c r="J57" i="15"/>
  <c r="J55" i="15" s="1"/>
  <c r="J58" i="15" s="1"/>
  <c r="Q50" i="15" s="1"/>
  <c r="C27" i="15"/>
  <c r="F69" i="15"/>
  <c r="M7" i="15"/>
  <c r="J6" i="15" s="1"/>
  <c r="F50" i="15"/>
  <c r="L58" i="15"/>
  <c r="Q60" i="15" s="1"/>
  <c r="M59" i="15"/>
  <c r="L59" i="15"/>
  <c r="Q61" i="15" s="1"/>
  <c r="N59" i="15"/>
  <c r="F65" i="15"/>
  <c r="Q71" i="15"/>
  <c r="F66" i="15"/>
  <c r="F71" i="67"/>
  <c r="F50" i="67"/>
  <c r="C49" i="67" s="1"/>
  <c r="C61" i="67" s="1"/>
  <c r="C6" i="67"/>
  <c r="M7" i="67"/>
  <c r="J6" i="67" s="1"/>
  <c r="C18" i="15"/>
  <c r="C15" i="15"/>
  <c r="E51" i="40"/>
  <c r="E56" i="39"/>
  <c r="F27" i="6"/>
  <c r="F31" i="6" s="1"/>
  <c r="E16" i="6"/>
  <c r="E3" i="6"/>
  <c r="AY6" i="3"/>
  <c r="C9" i="68"/>
  <c r="H16" i="1"/>
  <c r="Q16" i="1"/>
  <c r="M6" i="1"/>
  <c r="E56" i="40"/>
  <c r="E60" i="39"/>
  <c r="E57" i="40"/>
  <c r="E61" i="39"/>
  <c r="K26" i="6"/>
  <c r="M26" i="6" s="1"/>
  <c r="I26" i="6" s="1"/>
  <c r="S26" i="6" s="1"/>
  <c r="K24" i="6"/>
  <c r="M24" i="6" s="1"/>
  <c r="I24" i="6" s="1"/>
  <c r="S24" i="6" s="1"/>
  <c r="K22" i="6"/>
  <c r="M22" i="6" s="1"/>
  <c r="I22" i="6" s="1"/>
  <c r="S22" i="6" s="1"/>
  <c r="K20" i="6"/>
  <c r="M20" i="6" s="1"/>
  <c r="I20" i="6" s="1"/>
  <c r="S20" i="6" s="1"/>
  <c r="K21" i="6"/>
  <c r="M21" i="6" s="1"/>
  <c r="I21" i="6" s="1"/>
  <c r="S21" i="6" s="1"/>
  <c r="K23" i="6"/>
  <c r="M23" i="6" s="1"/>
  <c r="I23" i="6" s="1"/>
  <c r="S23" i="6" s="1"/>
  <c r="K25" i="6"/>
  <c r="M25" i="6" s="1"/>
  <c r="I25" i="6" s="1"/>
  <c r="S25" i="6" s="1"/>
  <c r="K19" i="6"/>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E60" i="40"/>
  <c r="E64" i="39"/>
  <c r="E59" i="40"/>
  <c r="E63" i="39"/>
  <c r="J34" i="34"/>
  <c r="H34" i="34"/>
  <c r="F34" i="34"/>
  <c r="E58" i="40"/>
  <c r="E62"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587" i="3"/>
  <c r="E579" i="3"/>
  <c r="E571" i="3"/>
  <c r="E563" i="3"/>
  <c r="E555" i="3"/>
  <c r="E547" i="3"/>
  <c r="E539" i="3"/>
  <c r="E531" i="3"/>
  <c r="E523" i="3"/>
  <c r="E515" i="3"/>
  <c r="E507" i="3"/>
  <c r="E499" i="3"/>
  <c r="E491" i="3"/>
  <c r="E456" i="3"/>
  <c r="E448" i="3"/>
  <c r="E440" i="3"/>
  <c r="E432" i="3"/>
  <c r="E424" i="3"/>
  <c r="E416" i="3"/>
  <c r="E412" i="3"/>
  <c r="E408" i="3"/>
  <c r="E404" i="3"/>
  <c r="E400" i="3"/>
  <c r="E396" i="3"/>
  <c r="E392" i="3"/>
  <c r="E388" i="3"/>
  <c r="E384" i="3"/>
  <c r="E380" i="3"/>
  <c r="E376" i="3"/>
  <c r="E372" i="3"/>
  <c r="E368" i="3"/>
  <c r="E364" i="3"/>
  <c r="E360" i="3"/>
  <c r="E356" i="3"/>
  <c r="E455" i="3"/>
  <c r="E454" i="3"/>
  <c r="E447" i="3"/>
  <c r="E446" i="3"/>
  <c r="E439" i="3"/>
  <c r="E438" i="3"/>
  <c r="E431" i="3"/>
  <c r="E430" i="3"/>
  <c r="E423" i="3"/>
  <c r="E422" i="3"/>
  <c r="E415" i="3"/>
  <c r="E411" i="3"/>
  <c r="E407" i="3"/>
  <c r="E403" i="3"/>
  <c r="E399" i="3"/>
  <c r="E395" i="3"/>
  <c r="E391" i="3"/>
  <c r="E387" i="3"/>
  <c r="E383" i="3"/>
  <c r="E379" i="3"/>
  <c r="E375" i="3"/>
  <c r="E371" i="3"/>
  <c r="E367" i="3"/>
  <c r="E363" i="3"/>
  <c r="E359" i="3"/>
  <c r="E583" i="3"/>
  <c r="E575" i="3"/>
  <c r="E567" i="3"/>
  <c r="E559" i="3"/>
  <c r="E551" i="3"/>
  <c r="E543" i="3"/>
  <c r="E535" i="3"/>
  <c r="E527" i="3"/>
  <c r="E519" i="3"/>
  <c r="E511" i="3"/>
  <c r="E503" i="3"/>
  <c r="E495" i="3"/>
  <c r="E487" i="3"/>
  <c r="E484" i="3"/>
  <c r="E483" i="3"/>
  <c r="E480" i="3"/>
  <c r="E479" i="3"/>
  <c r="E476" i="3"/>
  <c r="E475" i="3"/>
  <c r="E472" i="3"/>
  <c r="E471" i="3"/>
  <c r="E468" i="3"/>
  <c r="E467" i="3"/>
  <c r="E464" i="3"/>
  <c r="E463" i="3"/>
  <c r="E460" i="3"/>
  <c r="E452" i="3"/>
  <c r="E444" i="3"/>
  <c r="E436" i="3"/>
  <c r="E428"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409" i="3"/>
  <c r="E401" i="3"/>
  <c r="E393" i="3"/>
  <c r="E385" i="3"/>
  <c r="E377" i="3"/>
  <c r="E369" i="3"/>
  <c r="E361"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9" i="3"/>
  <c r="E458" i="3"/>
  <c r="E451" i="3"/>
  <c r="E450" i="3"/>
  <c r="E443" i="3"/>
  <c r="E442" i="3"/>
  <c r="E435" i="3"/>
  <c r="E434" i="3"/>
  <c r="E427" i="3"/>
  <c r="E426" i="3"/>
  <c r="E419" i="3"/>
  <c r="E418"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413" i="3"/>
  <c r="E397" i="3"/>
  <c r="E381" i="3"/>
  <c r="E365" i="3"/>
  <c r="E56" i="3"/>
  <c r="E48" i="3"/>
  <c r="E43" i="3"/>
  <c r="E39" i="3"/>
  <c r="E35" i="3"/>
  <c r="E31" i="3"/>
  <c r="E27" i="3"/>
  <c r="E23" i="3"/>
  <c r="E19" i="3"/>
  <c r="E15" i="3"/>
  <c r="AR6" i="3"/>
  <c r="AN6" i="3"/>
  <c r="AJ6" i="3"/>
  <c r="AF6" i="3"/>
  <c r="AB6" i="3"/>
  <c r="X6" i="3"/>
  <c r="T6" i="3"/>
  <c r="P6" i="3"/>
  <c r="L6" i="3"/>
  <c r="E231" i="3"/>
  <c r="E207" i="3"/>
  <c r="E191" i="3"/>
  <c r="E183" i="3"/>
  <c r="E167" i="3"/>
  <c r="E135" i="3"/>
  <c r="E87" i="3"/>
  <c r="E70" i="3"/>
  <c r="E66" i="3"/>
  <c r="E59" i="3"/>
  <c r="E51" i="3"/>
  <c r="E40" i="3"/>
  <c r="E28" i="3"/>
  <c r="E16" i="3"/>
  <c r="AO6" i="3"/>
  <c r="Y6" i="3"/>
  <c r="Q6" i="3"/>
  <c r="I6" i="3"/>
  <c r="E355" i="3"/>
  <c r="E347" i="3"/>
  <c r="E339" i="3"/>
  <c r="E331" i="3"/>
  <c r="E323" i="3"/>
  <c r="E315" i="3"/>
  <c r="E307" i="3"/>
  <c r="E299" i="3"/>
  <c r="E291" i="3"/>
  <c r="E283" i="3"/>
  <c r="E275" i="3"/>
  <c r="E267" i="3"/>
  <c r="E259" i="3"/>
  <c r="E251" i="3"/>
  <c r="E243" i="3"/>
  <c r="E235" i="3"/>
  <c r="E227" i="3"/>
  <c r="E219" i="3"/>
  <c r="E211" i="3"/>
  <c r="E203" i="3"/>
  <c r="E195" i="3"/>
  <c r="E187" i="3"/>
  <c r="E179" i="3"/>
  <c r="E171" i="3"/>
  <c r="E163" i="3"/>
  <c r="E155" i="3"/>
  <c r="E147" i="3"/>
  <c r="E139" i="3"/>
  <c r="E131" i="3"/>
  <c r="E123" i="3"/>
  <c r="E115" i="3"/>
  <c r="E107" i="3"/>
  <c r="E99" i="3"/>
  <c r="E91" i="3"/>
  <c r="E83" i="3"/>
  <c r="E75" i="3"/>
  <c r="E55" i="3"/>
  <c r="E54" i="3"/>
  <c r="E47" i="3"/>
  <c r="E46" i="3"/>
  <c r="E42" i="3"/>
  <c r="E38" i="3"/>
  <c r="E34" i="3"/>
  <c r="E30" i="3"/>
  <c r="E26" i="3"/>
  <c r="E22" i="3"/>
  <c r="E18" i="3"/>
  <c r="E14" i="3"/>
  <c r="AQ6" i="3"/>
  <c r="AM6" i="3"/>
  <c r="AI6" i="3"/>
  <c r="AE6" i="3"/>
  <c r="AA6" i="3"/>
  <c r="W6" i="3"/>
  <c r="S6" i="3"/>
  <c r="O6" i="3"/>
  <c r="K6" i="3"/>
  <c r="E33" i="3"/>
  <c r="E29" i="3"/>
  <c r="E21" i="3"/>
  <c r="E17" i="3"/>
  <c r="AH6" i="3"/>
  <c r="Z6" i="3"/>
  <c r="R6" i="3"/>
  <c r="N6" i="3"/>
  <c r="E343" i="3"/>
  <c r="E327" i="3"/>
  <c r="E303" i="3"/>
  <c r="E295" i="3"/>
  <c r="E287" i="3"/>
  <c r="E279" i="3"/>
  <c r="E255" i="3"/>
  <c r="E223" i="3"/>
  <c r="E199" i="3"/>
  <c r="E175" i="3"/>
  <c r="E103" i="3"/>
  <c r="E95" i="3"/>
  <c r="E79" i="3"/>
  <c r="E67" i="3"/>
  <c r="E63" i="3"/>
  <c r="E58" i="3"/>
  <c r="E44" i="3"/>
  <c r="E32" i="3"/>
  <c r="AS6" i="3"/>
  <c r="AG6" i="3"/>
  <c r="U6" i="3"/>
  <c r="M6" i="3"/>
  <c r="E405" i="3"/>
  <c r="E389" i="3"/>
  <c r="E373" i="3"/>
  <c r="E357" i="3"/>
  <c r="E52" i="3"/>
  <c r="E45" i="3"/>
  <c r="E41" i="3"/>
  <c r="E37" i="3"/>
  <c r="E25" i="3"/>
  <c r="AP6" i="3"/>
  <c r="AL6" i="3"/>
  <c r="AD6" i="3"/>
  <c r="V6" i="3"/>
  <c r="J6" i="3"/>
  <c r="E351" i="3"/>
  <c r="E335" i="3"/>
  <c r="E319" i="3"/>
  <c r="E311" i="3"/>
  <c r="E271" i="3"/>
  <c r="E263" i="3"/>
  <c r="E247" i="3"/>
  <c r="E239" i="3"/>
  <c r="E215" i="3"/>
  <c r="E159" i="3"/>
  <c r="E151" i="3"/>
  <c r="E143" i="3"/>
  <c r="E127" i="3"/>
  <c r="E119" i="3"/>
  <c r="E111" i="3"/>
  <c r="E71" i="3"/>
  <c r="E62" i="3"/>
  <c r="E50" i="3"/>
  <c r="E36" i="3"/>
  <c r="E24" i="3"/>
  <c r="E20" i="3"/>
  <c r="AK6" i="3"/>
  <c r="G1" i="73"/>
  <c r="B40" i="1" s="1"/>
  <c r="F22" i="11" s="1"/>
  <c r="C7" i="39"/>
  <c r="C67" i="39" s="1"/>
  <c r="G23" i="43"/>
  <c r="C23" i="43" s="1"/>
  <c r="C7" i="36"/>
  <c r="C46" i="36" s="1"/>
  <c r="C7" i="40"/>
  <c r="C63" i="40" s="1"/>
  <c r="C7" i="21"/>
  <c r="C58" i="21" s="1"/>
  <c r="C7" i="37"/>
  <c r="C52" i="37" s="1"/>
  <c r="M47" i="9"/>
  <c r="C42" i="1"/>
  <c r="C7" i="35"/>
  <c r="C48" i="35" s="1"/>
  <c r="C7" i="33"/>
  <c r="C58" i="33" s="1"/>
  <c r="J51" i="67"/>
  <c r="C7" i="34"/>
  <c r="C59" i="34" s="1"/>
  <c r="F59" i="67"/>
  <c r="C16" i="15"/>
  <c r="F4" i="73"/>
  <c r="C16" i="67"/>
  <c r="C17" i="15"/>
  <c r="I1" i="73" l="1"/>
  <c r="B39" i="1" s="1"/>
  <c r="F11" i="15" s="1"/>
  <c r="M55" i="43"/>
  <c r="N55" i="43" s="1"/>
  <c r="K55" i="43"/>
  <c r="M52" i="43"/>
  <c r="N52" i="43" s="1"/>
  <c r="K52" i="43"/>
  <c r="M58" i="43"/>
  <c r="N58" i="43" s="1"/>
  <c r="K58" i="43"/>
  <c r="T52" i="71"/>
  <c r="D52" i="71"/>
  <c r="T60" i="71"/>
  <c r="D60" i="71"/>
  <c r="T56" i="71"/>
  <c r="D56" i="71"/>
  <c r="M54" i="43"/>
  <c r="N54" i="43" s="1"/>
  <c r="K54" i="43"/>
  <c r="J54" i="43" s="1"/>
  <c r="M50" i="43"/>
  <c r="N50" i="43" s="1"/>
  <c r="K50" i="43"/>
  <c r="S16" i="71"/>
  <c r="B15" i="71"/>
  <c r="B14" i="71" s="1"/>
  <c r="B13" i="71" s="1"/>
  <c r="B12" i="71" s="1"/>
  <c r="M51" i="43"/>
  <c r="N51" i="43" s="1"/>
  <c r="K51" i="43"/>
  <c r="K53" i="43"/>
  <c r="M53" i="43"/>
  <c r="N53" i="43" s="1"/>
  <c r="AC26" i="35"/>
  <c r="W26" i="35"/>
  <c r="E30" i="6"/>
  <c r="E31" i="6" s="1"/>
  <c r="K14" i="1"/>
  <c r="T44" i="71"/>
  <c r="D44" i="71"/>
  <c r="T36" i="71"/>
  <c r="D36" i="71"/>
  <c r="T64" i="71"/>
  <c r="D64" i="71"/>
  <c r="K56" i="43"/>
  <c r="M56" i="43"/>
  <c r="N56" i="43" s="1"/>
  <c r="K57" i="43"/>
  <c r="J57" i="43" s="1"/>
  <c r="D57" i="43" s="1"/>
  <c r="M57" i="43"/>
  <c r="N57" i="43" s="1"/>
  <c r="C41" i="77"/>
  <c r="B2" i="77"/>
  <c r="B3" i="77" s="1"/>
  <c r="V12" i="71"/>
  <c r="E11" i="71"/>
  <c r="E10" i="71" s="1"/>
  <c r="E9" i="71" s="1"/>
  <c r="E8" i="71" s="1"/>
  <c r="E7" i="71" s="1"/>
  <c r="E6" i="71" s="1"/>
  <c r="E5" i="71" s="1"/>
  <c r="D21" i="71"/>
  <c r="C20" i="71"/>
  <c r="D5" i="43"/>
  <c r="M17" i="67"/>
  <c r="M17" i="15"/>
  <c r="F59" i="15"/>
  <c r="Q60" i="67"/>
  <c r="H10" i="39"/>
  <c r="F10" i="40"/>
  <c r="H10" i="40"/>
  <c r="J10" i="40"/>
  <c r="AC10" i="40" s="1"/>
  <c r="J10" i="39"/>
  <c r="F10" i="39"/>
  <c r="J18" i="67"/>
  <c r="C32" i="15"/>
  <c r="C33" i="67"/>
  <c r="AB27" i="33"/>
  <c r="U27" i="33"/>
  <c r="Q73" i="15"/>
  <c r="Q52" i="15"/>
  <c r="C48" i="11"/>
  <c r="C30" i="11"/>
  <c r="C32" i="67"/>
  <c r="L56" i="15"/>
  <c r="Q74" i="15"/>
  <c r="J19" i="15"/>
  <c r="C33" i="15"/>
  <c r="C49" i="15"/>
  <c r="C61" i="15" s="1"/>
  <c r="AA37" i="34"/>
  <c r="S37" i="34"/>
  <c r="H37" i="34"/>
  <c r="I37" i="34"/>
  <c r="J37" i="34" s="1"/>
  <c r="C19" i="15"/>
  <c r="C20" i="15" s="1"/>
  <c r="C26" i="15" s="1"/>
  <c r="AB34" i="34"/>
  <c r="U34" i="34"/>
  <c r="D19" i="11"/>
  <c r="C19" i="11" s="1"/>
  <c r="M18" i="9"/>
  <c r="B118" i="9" s="1"/>
  <c r="D3" i="21"/>
  <c r="B3" i="21" s="1"/>
  <c r="L18" i="9"/>
  <c r="D37" i="11"/>
  <c r="C37" i="11" s="1"/>
  <c r="D3" i="37"/>
  <c r="B3" i="37" s="1"/>
  <c r="D14" i="12"/>
  <c r="E6" i="6"/>
  <c r="C17" i="4"/>
  <c r="B4" i="52" s="1"/>
  <c r="B43" i="72" s="1"/>
  <c r="H6" i="3"/>
  <c r="AC34" i="34"/>
  <c r="W34" i="34"/>
  <c r="F27" i="69"/>
  <c r="F28" i="12"/>
  <c r="F27" i="68"/>
  <c r="F27" i="11"/>
  <c r="AC6" i="3"/>
  <c r="AA34" i="34"/>
  <c r="S34" i="34"/>
  <c r="C118" i="43"/>
  <c r="D116" i="43" s="1"/>
  <c r="S6" i="1"/>
  <c r="K27" i="6"/>
  <c r="M19"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68" i="3"/>
  <c r="AY560" i="3"/>
  <c r="AY552" i="3"/>
  <c r="AY544" i="3"/>
  <c r="AY536" i="3"/>
  <c r="AY528" i="3"/>
  <c r="AY520" i="3"/>
  <c r="AY512" i="3"/>
  <c r="AY504" i="3"/>
  <c r="AY496" i="3"/>
  <c r="AY488" i="3"/>
  <c r="AY459" i="3"/>
  <c r="AY451" i="3"/>
  <c r="AY443" i="3"/>
  <c r="AY435" i="3"/>
  <c r="AY427" i="3"/>
  <c r="AY419" i="3"/>
  <c r="AY413" i="3"/>
  <c r="AY409" i="3"/>
  <c r="AY405" i="3"/>
  <c r="AY401" i="3"/>
  <c r="AY397" i="3"/>
  <c r="AY393" i="3"/>
  <c r="AY389" i="3"/>
  <c r="AY385" i="3"/>
  <c r="AY381" i="3"/>
  <c r="AY377" i="3"/>
  <c r="AY373" i="3"/>
  <c r="AY369" i="3"/>
  <c r="AY365" i="3"/>
  <c r="AY361" i="3"/>
  <c r="AY357" i="3"/>
  <c r="AY457" i="3"/>
  <c r="AY456" i="3"/>
  <c r="AY449" i="3"/>
  <c r="AY448" i="3"/>
  <c r="AY441" i="3"/>
  <c r="AY440" i="3"/>
  <c r="AY433" i="3"/>
  <c r="AY432" i="3"/>
  <c r="AY425" i="3"/>
  <c r="AY424" i="3"/>
  <c r="AY417" i="3"/>
  <c r="AY416" i="3"/>
  <c r="AY412" i="3"/>
  <c r="AY408" i="3"/>
  <c r="AY404" i="3"/>
  <c r="AY400" i="3"/>
  <c r="AY396" i="3"/>
  <c r="AY392" i="3"/>
  <c r="AY388" i="3"/>
  <c r="AY384" i="3"/>
  <c r="AY380" i="3"/>
  <c r="AY376" i="3"/>
  <c r="AY372" i="3"/>
  <c r="AY368" i="3"/>
  <c r="AY364" i="3"/>
  <c r="AY360" i="3"/>
  <c r="AY356" i="3"/>
  <c r="AY580" i="3"/>
  <c r="AY572" i="3"/>
  <c r="AY564" i="3"/>
  <c r="AY556" i="3"/>
  <c r="AY548" i="3"/>
  <c r="AY540" i="3"/>
  <c r="AY532" i="3"/>
  <c r="AY524" i="3"/>
  <c r="AY516" i="3"/>
  <c r="AY508" i="3"/>
  <c r="AY500" i="3"/>
  <c r="AY492" i="3"/>
  <c r="AY455" i="3"/>
  <c r="AY447" i="3"/>
  <c r="AY439" i="3"/>
  <c r="AY431" i="3"/>
  <c r="AY423" i="3"/>
  <c r="AY415" i="3"/>
  <c r="AY411" i="3"/>
  <c r="AY407" i="3"/>
  <c r="AY403" i="3"/>
  <c r="AY399" i="3"/>
  <c r="AY395" i="3"/>
  <c r="AY391" i="3"/>
  <c r="AY387" i="3"/>
  <c r="AY383" i="3"/>
  <c r="AY379" i="3"/>
  <c r="AY375" i="3"/>
  <c r="AY371" i="3"/>
  <c r="AY367" i="3"/>
  <c r="AY363" i="3"/>
  <c r="AY359" i="3"/>
  <c r="AY485" i="3"/>
  <c r="AY484" i="3"/>
  <c r="AY477" i="3"/>
  <c r="AY476" i="3"/>
  <c r="AY469" i="3"/>
  <c r="AY468" i="3"/>
  <c r="AY461" i="3"/>
  <c r="AY460" i="3"/>
  <c r="AY453" i="3"/>
  <c r="AY452" i="3"/>
  <c r="AY445" i="3"/>
  <c r="AY444" i="3"/>
  <c r="AY437" i="3"/>
  <c r="AY436" i="3"/>
  <c r="AY429" i="3"/>
  <c r="AY428" i="3"/>
  <c r="AY421" i="3"/>
  <c r="AY420"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414" i="3"/>
  <c r="AY406" i="3"/>
  <c r="AY398" i="3"/>
  <c r="AY390" i="3"/>
  <c r="AY382" i="3"/>
  <c r="AY374" i="3"/>
  <c r="AY366"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81" i="3"/>
  <c r="AY480" i="3"/>
  <c r="AY473" i="3"/>
  <c r="AY472" i="3"/>
  <c r="AY465" i="3"/>
  <c r="AY464"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410" i="3"/>
  <c r="AY394" i="3"/>
  <c r="AY378" i="3"/>
  <c r="AY362" i="3"/>
  <c r="AY68" i="3"/>
  <c r="AY67" i="3"/>
  <c r="AY64" i="3"/>
  <c r="AY63" i="3"/>
  <c r="AY60" i="3"/>
  <c r="AY59" i="3"/>
  <c r="AY51" i="3"/>
  <c r="AY44" i="3"/>
  <c r="AY40" i="3"/>
  <c r="AY36" i="3"/>
  <c r="AY32" i="3"/>
  <c r="AY28" i="3"/>
  <c r="AY24" i="3"/>
  <c r="AY20" i="3"/>
  <c r="AY16" i="3"/>
  <c r="BQ6" i="3"/>
  <c r="BM6" i="3"/>
  <c r="BI6" i="3"/>
  <c r="BE6" i="3"/>
  <c r="BA6" i="3"/>
  <c r="AY196" i="3"/>
  <c r="AY148" i="3"/>
  <c r="AY140" i="3"/>
  <c r="AY124" i="3"/>
  <c r="AY116" i="3"/>
  <c r="AY92" i="3"/>
  <c r="AY52" i="3"/>
  <c r="AY37" i="3"/>
  <c r="AY21" i="3"/>
  <c r="AY17" i="3"/>
  <c r="BR6" i="3"/>
  <c r="BF6"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57" i="3"/>
  <c r="AY56" i="3"/>
  <c r="AY49" i="3"/>
  <c r="AY48" i="3"/>
  <c r="AY43" i="3"/>
  <c r="AY39" i="3"/>
  <c r="AY35" i="3"/>
  <c r="AY31" i="3"/>
  <c r="AY27" i="3"/>
  <c r="AY23" i="3"/>
  <c r="AY19" i="3"/>
  <c r="AY15" i="3"/>
  <c r="BT6" i="3"/>
  <c r="BP6" i="3"/>
  <c r="BL6" i="3"/>
  <c r="BH6" i="3"/>
  <c r="BD6" i="3"/>
  <c r="AY38" i="3"/>
  <c r="AY34" i="3"/>
  <c r="AY22" i="3"/>
  <c r="BS6" i="3"/>
  <c r="BO6" i="3"/>
  <c r="BK6" i="3"/>
  <c r="BC6" i="3"/>
  <c r="AY348" i="3"/>
  <c r="AY332" i="3"/>
  <c r="AY316" i="3"/>
  <c r="AY308" i="3"/>
  <c r="AY268" i="3"/>
  <c r="AY260" i="3"/>
  <c r="AY244" i="3"/>
  <c r="AY236" i="3"/>
  <c r="AY228" i="3"/>
  <c r="AY212" i="3"/>
  <c r="AY180" i="3"/>
  <c r="AY172" i="3"/>
  <c r="AY164" i="3"/>
  <c r="AY132" i="3"/>
  <c r="AY108" i="3"/>
  <c r="AY100" i="3"/>
  <c r="AY84" i="3"/>
  <c r="AY41" i="3"/>
  <c r="AY33" i="3"/>
  <c r="AY29" i="3"/>
  <c r="AY25" i="3"/>
  <c r="BJ6" i="3"/>
  <c r="AY402" i="3"/>
  <c r="AY386" i="3"/>
  <c r="AY370" i="3"/>
  <c r="AY55" i="3"/>
  <c r="AY47" i="3"/>
  <c r="AY42" i="3"/>
  <c r="AY30" i="3"/>
  <c r="AY26" i="3"/>
  <c r="AY18" i="3"/>
  <c r="AY14" i="3"/>
  <c r="BG6" i="3"/>
  <c r="AY340" i="3"/>
  <c r="AY324" i="3"/>
  <c r="AY300" i="3"/>
  <c r="AY292" i="3"/>
  <c r="AY284" i="3"/>
  <c r="AY276" i="3"/>
  <c r="AY252" i="3"/>
  <c r="AY220" i="3"/>
  <c r="AY204" i="3"/>
  <c r="AY188" i="3"/>
  <c r="AY156" i="3"/>
  <c r="AY76" i="3"/>
  <c r="AY53" i="3"/>
  <c r="AY45" i="3"/>
  <c r="AY13" i="3"/>
  <c r="BN6" i="3"/>
  <c r="BB6" i="3"/>
  <c r="E65" i="39"/>
  <c r="F11" i="67"/>
  <c r="C53" i="67" s="1"/>
  <c r="C48" i="67" s="1"/>
  <c r="C60" i="67" s="1"/>
  <c r="F22" i="69"/>
  <c r="M11" i="15"/>
  <c r="J10" i="15" s="1"/>
  <c r="J5" i="15" s="1"/>
  <c r="J26" i="15" s="1"/>
  <c r="J29" i="15" s="1"/>
  <c r="F24" i="15"/>
  <c r="C24" i="15" s="1"/>
  <c r="L36" i="43"/>
  <c r="N36" i="43" s="1"/>
  <c r="F24" i="67"/>
  <c r="C24" i="67" s="1"/>
  <c r="F25" i="12"/>
  <c r="F22" i="68"/>
  <c r="C65" i="40"/>
  <c r="D63" i="40"/>
  <c r="J18" i="15"/>
  <c r="I54" i="67"/>
  <c r="J53" i="67"/>
  <c r="L56" i="67"/>
  <c r="M59" i="67"/>
  <c r="L57" i="67"/>
  <c r="L59" i="67"/>
  <c r="N59" i="67"/>
  <c r="L60" i="67"/>
  <c r="J57" i="67"/>
  <c r="J55" i="67" s="1"/>
  <c r="J58" i="67" s="1"/>
  <c r="Q50" i="67" s="1"/>
  <c r="D46" i="36"/>
  <c r="E46" i="36" s="1"/>
  <c r="F46" i="36" s="1"/>
  <c r="G46" i="36" s="1"/>
  <c r="H46" i="36" s="1"/>
  <c r="I46" i="36" s="1"/>
  <c r="J46" i="36" s="1"/>
  <c r="K46" i="36" s="1"/>
  <c r="L46" i="36" s="1"/>
  <c r="M46" i="36" s="1"/>
  <c r="N46" i="36" s="1"/>
  <c r="O46" i="36" s="1"/>
  <c r="AA10" i="40"/>
  <c r="S10" i="40"/>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P27" i="43"/>
  <c r="B70" i="39" s="1"/>
  <c r="A1" i="79"/>
  <c r="P29" i="43"/>
  <c r="P25" i="43"/>
  <c r="O23" i="43"/>
  <c r="P28" i="43"/>
  <c r="B66" i="40" s="1"/>
  <c r="P26" i="43"/>
  <c r="S10" i="39"/>
  <c r="AA10" i="39"/>
  <c r="AC10" i="39"/>
  <c r="W10" i="39"/>
  <c r="D59" i="34"/>
  <c r="E59" i="34" s="1"/>
  <c r="F59" i="34" s="1"/>
  <c r="G59" i="34" s="1"/>
  <c r="H59" i="34" s="1"/>
  <c r="I59" i="34" s="1"/>
  <c r="J59" i="34" s="1"/>
  <c r="K59" i="34" s="1"/>
  <c r="L59" i="34" s="1"/>
  <c r="M59" i="34" s="1"/>
  <c r="N59" i="34" s="1"/>
  <c r="O59" i="34" s="1"/>
  <c r="C36" i="11"/>
  <c r="C24" i="12"/>
  <c r="C13" i="12"/>
  <c r="C48" i="69"/>
  <c r="C30" i="69"/>
  <c r="C30" i="68"/>
  <c r="C31" i="12"/>
  <c r="C48" i="68"/>
  <c r="C28" i="15"/>
  <c r="C77" i="9"/>
  <c r="C74" i="9" s="1"/>
  <c r="C28" i="67"/>
  <c r="C36" i="68"/>
  <c r="AB10" i="39"/>
  <c r="U10" i="39"/>
  <c r="J19" i="67"/>
  <c r="D48" i="35"/>
  <c r="E48" i="35" s="1"/>
  <c r="F48" i="35" s="1"/>
  <c r="G48" i="35" s="1"/>
  <c r="H48" i="35" s="1"/>
  <c r="I48" i="35" s="1"/>
  <c r="J48" i="35" s="1"/>
  <c r="K48" i="35" s="1"/>
  <c r="L48" i="35" s="1"/>
  <c r="M48" i="35" s="1"/>
  <c r="N48" i="35" s="1"/>
  <c r="O48" i="35" s="1"/>
  <c r="D58" i="21"/>
  <c r="E58" i="21" s="1"/>
  <c r="F58" i="21" s="1"/>
  <c r="G58" i="21" s="1"/>
  <c r="H58" i="21" s="1"/>
  <c r="I58" i="21" s="1"/>
  <c r="J58" i="21" s="1"/>
  <c r="K58" i="21" s="1"/>
  <c r="L58" i="21" s="1"/>
  <c r="M58" i="21" s="1"/>
  <c r="N58" i="21" s="1"/>
  <c r="O58" i="21" s="1"/>
  <c r="C69" i="39"/>
  <c r="D67" i="39"/>
  <c r="AB10" i="40"/>
  <c r="U10" i="40"/>
  <c r="C53" i="15"/>
  <c r="C10" i="15"/>
  <c r="C5" i="15" s="1"/>
  <c r="C24" i="11"/>
  <c r="C23" i="11"/>
  <c r="C44" i="11"/>
  <c r="D41" i="11" s="1"/>
  <c r="C26" i="11"/>
  <c r="D22" i="11" s="1"/>
  <c r="C14" i="67"/>
  <c r="C17" i="67"/>
  <c r="M11" i="67" l="1"/>
  <c r="J10" i="67" s="1"/>
  <c r="J5" i="67" s="1"/>
  <c r="J26" i="67" s="1"/>
  <c r="T20" i="71"/>
  <c r="D20" i="71"/>
  <c r="U20" i="71" s="1"/>
  <c r="C19" i="71"/>
  <c r="M14" i="1"/>
  <c r="M16" i="1" s="1"/>
  <c r="K16" i="1"/>
  <c r="C34" i="69"/>
  <c r="S12" i="71"/>
  <c r="B11" i="71"/>
  <c r="B10" i="71" s="1"/>
  <c r="B9" i="71" s="1"/>
  <c r="B8" i="71" s="1"/>
  <c r="B7" i="71" s="1"/>
  <c r="B6" i="71" s="1"/>
  <c r="B5" i="71" s="1"/>
  <c r="J58" i="43"/>
  <c r="D58" i="43"/>
  <c r="J55" i="43"/>
  <c r="D55" i="43"/>
  <c r="J56" i="43"/>
  <c r="D56" i="43"/>
  <c r="J53" i="43"/>
  <c r="D53" i="43"/>
  <c r="J51" i="43"/>
  <c r="D51" i="43"/>
  <c r="J50" i="43"/>
  <c r="D50" i="43"/>
  <c r="E50" i="43" s="1"/>
  <c r="B48" i="43" s="1"/>
  <c r="C28" i="43" s="1"/>
  <c r="J52" i="43"/>
  <c r="D52" i="43"/>
  <c r="C39" i="43"/>
  <c r="E6" i="3"/>
  <c r="C31" i="15"/>
  <c r="W10" i="40"/>
  <c r="J7" i="35"/>
  <c r="H7" i="36"/>
  <c r="AB7" i="36" s="1"/>
  <c r="T36" i="36" s="1"/>
  <c r="G36" i="36" s="1"/>
  <c r="C26" i="12"/>
  <c r="D25" i="12" s="1"/>
  <c r="C48" i="15"/>
  <c r="C60" i="15" s="1"/>
  <c r="C59" i="15" s="1"/>
  <c r="J24" i="15"/>
  <c r="AB37" i="34"/>
  <c r="U37" i="34"/>
  <c r="C29" i="12"/>
  <c r="D28" i="12" s="1"/>
  <c r="J17" i="15"/>
  <c r="AC37" i="34"/>
  <c r="W37" i="34"/>
  <c r="C10" i="67"/>
  <c r="C5" i="67" s="1"/>
  <c r="C38" i="67" s="1"/>
  <c r="C15" i="67"/>
  <c r="C18" i="67"/>
  <c r="F45" i="68"/>
  <c r="C29" i="68"/>
  <c r="D27" i="68" s="1"/>
  <c r="C47" i="68"/>
  <c r="D45" i="68" s="1"/>
  <c r="D20" i="12"/>
  <c r="C20" i="12" s="1"/>
  <c r="C18" i="12" s="1"/>
  <c r="D10" i="68"/>
  <c r="D10" i="11"/>
  <c r="C10" i="11" s="1"/>
  <c r="D10" i="69"/>
  <c r="L16" i="1"/>
  <c r="C34" i="68"/>
  <c r="M27" i="6"/>
  <c r="I19" i="6"/>
  <c r="C14" i="12"/>
  <c r="C16" i="12" s="1"/>
  <c r="D17" i="12"/>
  <c r="C17" i="12" s="1"/>
  <c r="N16" i="1"/>
  <c r="C34" i="11"/>
  <c r="C38" i="11" s="1"/>
  <c r="C47" i="69"/>
  <c r="D45" i="69" s="1"/>
  <c r="F45" i="69"/>
  <c r="C29" i="69"/>
  <c r="D27" i="69" s="1"/>
  <c r="D29" i="6"/>
  <c r="D28" i="6"/>
  <c r="D26" i="6"/>
  <c r="H25" i="6"/>
  <c r="D24" i="6"/>
  <c r="H23" i="6"/>
  <c r="D22" i="6"/>
  <c r="H21" i="6"/>
  <c r="D20" i="6"/>
  <c r="E61" i="40"/>
  <c r="M19" i="9"/>
  <c r="C118" i="9" s="1"/>
  <c r="L19" i="9"/>
  <c r="H26" i="6"/>
  <c r="D23" i="6"/>
  <c r="D11" i="6"/>
  <c r="D8" i="6"/>
  <c r="D25" i="6"/>
  <c r="H20" i="6"/>
  <c r="D13" i="6"/>
  <c r="D10" i="6"/>
  <c r="H22" i="6"/>
  <c r="D15" i="6"/>
  <c r="D12" i="6"/>
  <c r="D9" i="6"/>
  <c r="D5" i="6"/>
  <c r="H24" i="6"/>
  <c r="D21" i="6"/>
  <c r="D19" i="6"/>
  <c r="D6" i="6"/>
  <c r="C18" i="4"/>
  <c r="D14" i="6"/>
  <c r="S16" i="1"/>
  <c r="AR6" i="1"/>
  <c r="AQ6" i="1"/>
  <c r="T6" i="1"/>
  <c r="T16" i="1" s="1"/>
  <c r="E6" i="70"/>
  <c r="E2" i="70" s="1"/>
  <c r="C47" i="11"/>
  <c r="D45" i="11" s="1"/>
  <c r="C29" i="11"/>
  <c r="D27" i="11" s="1"/>
  <c r="C28" i="11"/>
  <c r="C27" i="11" s="1"/>
  <c r="C20" i="11"/>
  <c r="C25" i="11" s="1"/>
  <c r="C22" i="11" s="1"/>
  <c r="L37" i="43"/>
  <c r="P37" i="43" s="1"/>
  <c r="C66" i="67"/>
  <c r="C44" i="69"/>
  <c r="D41" i="69" s="1"/>
  <c r="C26" i="68"/>
  <c r="D22" i="68" s="1"/>
  <c r="M36" i="43"/>
  <c r="C26" i="69"/>
  <c r="D22" i="69" s="1"/>
  <c r="C23" i="68"/>
  <c r="F41" i="69"/>
  <c r="O36" i="43"/>
  <c r="Q36" i="43"/>
  <c r="J24" i="67"/>
  <c r="F41" i="68"/>
  <c r="C44" i="68"/>
  <c r="D41" i="68" s="1"/>
  <c r="P36" i="43"/>
  <c r="E67" i="39"/>
  <c r="D69" i="39"/>
  <c r="U7" i="36"/>
  <c r="Q66" i="67"/>
  <c r="Q57" i="67"/>
  <c r="J7" i="21"/>
  <c r="F7" i="37"/>
  <c r="F7" i="21"/>
  <c r="F7" i="35"/>
  <c r="H7" i="34"/>
  <c r="H7" i="37"/>
  <c r="F7" i="33"/>
  <c r="F7" i="36"/>
  <c r="Q61" i="67"/>
  <c r="Q74" i="67"/>
  <c r="F1" i="67"/>
  <c r="Q52" i="67"/>
  <c r="E63" i="40"/>
  <c r="D65" i="40"/>
  <c r="W7" i="35"/>
  <c r="AC7" i="35"/>
  <c r="V38" i="35" s="1"/>
  <c r="I38" i="35" s="1"/>
  <c r="F7" i="34"/>
  <c r="J7" i="33"/>
  <c r="H7" i="21"/>
  <c r="H7" i="35"/>
  <c r="J7" i="34"/>
  <c r="J7" i="37"/>
  <c r="H7" i="33"/>
  <c r="J7" i="36"/>
  <c r="C23" i="15"/>
  <c r="C29" i="15" s="1"/>
  <c r="C57" i="15" s="1"/>
  <c r="C64" i="15" s="1"/>
  <c r="C38" i="15"/>
  <c r="AE6" i="1"/>
  <c r="T3" i="43" l="1"/>
  <c r="V3" i="43" s="1"/>
  <c r="T4" i="43"/>
  <c r="V4" i="43" s="1"/>
  <c r="T2" i="43"/>
  <c r="V2" i="43" s="1"/>
  <c r="T14" i="43"/>
  <c r="V14" i="43" s="1"/>
  <c r="T16" i="43"/>
  <c r="V16" i="43" s="1"/>
  <c r="T5" i="43"/>
  <c r="V5" i="43" s="1"/>
  <c r="T9" i="43"/>
  <c r="V9" i="43" s="1"/>
  <c r="T15" i="43"/>
  <c r="V15" i="43" s="1"/>
  <c r="T6" i="43"/>
  <c r="V6" i="43" s="1"/>
  <c r="T8" i="43"/>
  <c r="V8" i="43" s="1"/>
  <c r="T13" i="43"/>
  <c r="V13" i="43" s="1"/>
  <c r="C33" i="43"/>
  <c r="T10" i="43"/>
  <c r="V10" i="43" s="1"/>
  <c r="T7" i="43"/>
  <c r="V7" i="43" s="1"/>
  <c r="T11" i="43"/>
  <c r="V11" i="43" s="1"/>
  <c r="T12" i="43"/>
  <c r="V12" i="43" s="1"/>
  <c r="C37" i="43"/>
  <c r="D19" i="71"/>
  <c r="C18" i="71"/>
  <c r="C38" i="43"/>
  <c r="G38" i="43" s="1"/>
  <c r="I38" i="43" s="1"/>
  <c r="C40" i="43"/>
  <c r="C35" i="69"/>
  <c r="C38" i="69"/>
  <c r="C41" i="43"/>
  <c r="E41" i="43" s="1"/>
  <c r="C42" i="43"/>
  <c r="G40" i="43"/>
  <c r="I40" i="43" s="1"/>
  <c r="E40" i="43"/>
  <c r="G42" i="43"/>
  <c r="I42" i="43" s="1"/>
  <c r="E42" i="43"/>
  <c r="G39" i="43"/>
  <c r="I39" i="43" s="1"/>
  <c r="E39" i="43"/>
  <c r="E37" i="43"/>
  <c r="G37" i="43"/>
  <c r="I37" i="43" s="1"/>
  <c r="C66" i="15"/>
  <c r="C19" i="67"/>
  <c r="C20" i="67" s="1"/>
  <c r="C21" i="12"/>
  <c r="C22" i="12" s="1"/>
  <c r="C30" i="12" s="1"/>
  <c r="C28" i="12" s="1"/>
  <c r="Q37" i="43"/>
  <c r="N37" i="43"/>
  <c r="O37" i="43"/>
  <c r="M37" i="43"/>
  <c r="R23" i="6"/>
  <c r="R20" i="6"/>
  <c r="R24" i="6"/>
  <c r="R21" i="6"/>
  <c r="C31" i="11"/>
  <c r="A7" i="51"/>
  <c r="B7" i="72" s="1"/>
  <c r="C4" i="52"/>
  <c r="B45" i="72" s="1"/>
  <c r="A10" i="51"/>
  <c r="B9" i="72" s="1"/>
  <c r="C10" i="69"/>
  <c r="C8" i="69" s="1"/>
  <c r="D19" i="69"/>
  <c r="R25" i="6"/>
  <c r="R22" i="6"/>
  <c r="R26" i="6"/>
  <c r="F50" i="11"/>
  <c r="F50" i="68"/>
  <c r="F50" i="69"/>
  <c r="C35" i="11"/>
  <c r="C33" i="11" s="1"/>
  <c r="C42" i="11" s="1"/>
  <c r="I27" i="6"/>
  <c r="S19" i="6"/>
  <c r="S27" i="6" s="1"/>
  <c r="R19" i="6"/>
  <c r="D27" i="6"/>
  <c r="D16" i="6"/>
  <c r="H19" i="6"/>
  <c r="H27" i="6" s="1"/>
  <c r="D30" i="6"/>
  <c r="C35" i="68"/>
  <c r="C38" i="68"/>
  <c r="C10" i="68"/>
  <c r="D19" i="68"/>
  <c r="U7" i="33"/>
  <c r="AB7" i="33"/>
  <c r="T48" i="33" s="1"/>
  <c r="G48" i="33" s="1"/>
  <c r="E65" i="40"/>
  <c r="F63" i="40"/>
  <c r="S7" i="37"/>
  <c r="AA7" i="37"/>
  <c r="R42" i="37" s="1"/>
  <c r="G40" i="36"/>
  <c r="H40" i="36" s="1"/>
  <c r="AC7" i="37"/>
  <c r="V42" i="37" s="1"/>
  <c r="I42" i="37" s="1"/>
  <c r="W7" i="37"/>
  <c r="S7" i="36"/>
  <c r="AA7" i="36"/>
  <c r="R36" i="36" s="1"/>
  <c r="W7" i="21"/>
  <c r="AC7" i="21"/>
  <c r="V48" i="21" s="1"/>
  <c r="I48" i="21" s="1"/>
  <c r="W7" i="34"/>
  <c r="AC7" i="34"/>
  <c r="V49" i="34" s="1"/>
  <c r="I49" i="34" s="1"/>
  <c r="U7" i="35"/>
  <c r="AB7" i="35"/>
  <c r="T38" i="35" s="1"/>
  <c r="G38" i="35" s="1"/>
  <c r="AA7" i="33"/>
  <c r="R48" i="33" s="1"/>
  <c r="S7" i="33"/>
  <c r="S7" i="21"/>
  <c r="AA7" i="21"/>
  <c r="R48" i="21" s="1"/>
  <c r="W7" i="33"/>
  <c r="AC7" i="33"/>
  <c r="V48" i="33" s="1"/>
  <c r="I48" i="33" s="1"/>
  <c r="U7" i="34"/>
  <c r="AB7" i="34"/>
  <c r="T49" i="34" s="1"/>
  <c r="G49" i="34" s="1"/>
  <c r="AA7" i="34"/>
  <c r="R49" i="34" s="1"/>
  <c r="S7" i="34"/>
  <c r="I42" i="35"/>
  <c r="J42" i="35" s="1"/>
  <c r="AA7" i="35"/>
  <c r="R38" i="35" s="1"/>
  <c r="S7" i="35"/>
  <c r="AC7" i="36"/>
  <c r="V36" i="36" s="1"/>
  <c r="I36" i="36" s="1"/>
  <c r="G41" i="36" s="1"/>
  <c r="H41" i="36" s="1"/>
  <c r="W7" i="36"/>
  <c r="AB7" i="21"/>
  <c r="T48" i="21" s="1"/>
  <c r="G48" i="21" s="1"/>
  <c r="U7" i="21"/>
  <c r="U7" i="37"/>
  <c r="AB7" i="37"/>
  <c r="T42" i="37" s="1"/>
  <c r="G42" i="37" s="1"/>
  <c r="E69" i="39"/>
  <c r="F67" i="39"/>
  <c r="C13" i="15"/>
  <c r="Q70" i="15" s="1"/>
  <c r="J59" i="15"/>
  <c r="J60" i="15" s="1"/>
  <c r="Q48" i="15" s="1"/>
  <c r="J14" i="15"/>
  <c r="J22" i="15" s="1"/>
  <c r="C36" i="15"/>
  <c r="Q49" i="15"/>
  <c r="F41" i="67"/>
  <c r="G41" i="43" l="1"/>
  <c r="I41" i="43" s="1"/>
  <c r="E38" i="43"/>
  <c r="D18" i="71"/>
  <c r="C17" i="71"/>
  <c r="C6" i="69"/>
  <c r="C7" i="69" s="1"/>
  <c r="E33" i="43"/>
  <c r="C34" i="43"/>
  <c r="E34" i="43" s="1"/>
  <c r="C31" i="43" s="1"/>
  <c r="C5" i="69"/>
  <c r="C30" i="43"/>
  <c r="D31" i="6"/>
  <c r="I5" i="6" s="1"/>
  <c r="F69" i="67"/>
  <c r="J29" i="67"/>
  <c r="C23" i="67"/>
  <c r="C26" i="67"/>
  <c r="C27" i="12"/>
  <c r="C25" i="12" s="1"/>
  <c r="C32" i="12" s="1"/>
  <c r="B2" i="12" s="1"/>
  <c r="B3" i="12" s="1"/>
  <c r="C39" i="11"/>
  <c r="C43" i="11" s="1"/>
  <c r="C41" i="11" s="1"/>
  <c r="I6" i="6"/>
  <c r="D37" i="69"/>
  <c r="C37" i="69" s="1"/>
  <c r="C33" i="69" s="1"/>
  <c r="C19" i="69"/>
  <c r="C19" i="68"/>
  <c r="D37" i="68"/>
  <c r="C37" i="68" s="1"/>
  <c r="C33" i="68" s="1"/>
  <c r="R6" i="1"/>
  <c r="R27" i="6"/>
  <c r="C23" i="69"/>
  <c r="C37" i="15"/>
  <c r="C30" i="15" s="1"/>
  <c r="C39" i="15" s="1"/>
  <c r="C40" i="15" s="1"/>
  <c r="C56" i="15"/>
  <c r="C65" i="15" s="1"/>
  <c r="C58" i="15" s="1"/>
  <c r="C67" i="15" s="1"/>
  <c r="C68" i="15" s="1"/>
  <c r="C71" i="15" s="1"/>
  <c r="C75" i="15"/>
  <c r="J13" i="15"/>
  <c r="J23" i="15" s="1"/>
  <c r="J16" i="15" s="1"/>
  <c r="J25" i="15" s="1"/>
  <c r="G47" i="37"/>
  <c r="H47" i="37" s="1"/>
  <c r="G46" i="37"/>
  <c r="H46" i="37" s="1"/>
  <c r="G53" i="34"/>
  <c r="H53" i="34" s="1"/>
  <c r="G54" i="34"/>
  <c r="H54" i="34" s="1"/>
  <c r="E48" i="21"/>
  <c r="I53" i="21" s="1"/>
  <c r="J53" i="21" s="1"/>
  <c r="R49" i="21"/>
  <c r="G43" i="35"/>
  <c r="H43" i="35" s="1"/>
  <c r="G42" i="35"/>
  <c r="H42" i="35" s="1"/>
  <c r="I52" i="21"/>
  <c r="J52" i="21" s="1"/>
  <c r="L46" i="15"/>
  <c r="I40" i="36"/>
  <c r="J40" i="36" s="1"/>
  <c r="I46" i="37"/>
  <c r="J46" i="37" s="1"/>
  <c r="R43" i="37"/>
  <c r="E42" i="37"/>
  <c r="I47" i="37" s="1"/>
  <c r="J47" i="37" s="1"/>
  <c r="G53" i="33"/>
  <c r="H53" i="33" s="1"/>
  <c r="G52" i="33"/>
  <c r="H52" i="33" s="1"/>
  <c r="C46" i="11"/>
  <c r="C45" i="11" s="1"/>
  <c r="F69" i="39"/>
  <c r="G67" i="39"/>
  <c r="I52" i="33"/>
  <c r="J52" i="33" s="1"/>
  <c r="I53" i="34"/>
  <c r="J53" i="34" s="1"/>
  <c r="R37" i="36"/>
  <c r="E36" i="36"/>
  <c r="G53" i="21"/>
  <c r="H53" i="21" s="1"/>
  <c r="G52" i="21"/>
  <c r="H52" i="21" s="1"/>
  <c r="R39" i="35"/>
  <c r="E38" i="35"/>
  <c r="R50" i="34"/>
  <c r="E49" i="34"/>
  <c r="I54" i="34" s="1"/>
  <c r="J54" i="34" s="1"/>
  <c r="R49" i="33"/>
  <c r="E48" i="33"/>
  <c r="F65" i="40"/>
  <c r="G63" i="40"/>
  <c r="F35" i="67"/>
  <c r="L51" i="15"/>
  <c r="E6" i="76"/>
  <c r="M21" i="67"/>
  <c r="C20" i="69" l="1"/>
  <c r="C25" i="69" s="1"/>
  <c r="D17" i="71"/>
  <c r="C16" i="71"/>
  <c r="E2" i="76"/>
  <c r="B2" i="43"/>
  <c r="B3" i="43" s="1"/>
  <c r="C29" i="67"/>
  <c r="Q49" i="67" s="1"/>
  <c r="C28" i="69"/>
  <c r="C27" i="69" s="1"/>
  <c r="F63" i="67"/>
  <c r="C62" i="67" s="1"/>
  <c r="C59" i="67" s="1"/>
  <c r="C34" i="67"/>
  <c r="C31" i="67" s="1"/>
  <c r="J20" i="67"/>
  <c r="J17" i="67" s="1"/>
  <c r="R16" i="1"/>
  <c r="C39" i="69"/>
  <c r="C43" i="69" s="1"/>
  <c r="C42" i="69"/>
  <c r="C49" i="11"/>
  <c r="C51" i="11" s="1"/>
  <c r="C52" i="11" s="1"/>
  <c r="B2" i="11" s="1"/>
  <c r="B3" i="11" s="1"/>
  <c r="C20" i="68"/>
  <c r="C25" i="68" s="1"/>
  <c r="C24" i="68"/>
  <c r="C24" i="69"/>
  <c r="C22" i="69" s="1"/>
  <c r="C42" i="68"/>
  <c r="C39" i="68"/>
  <c r="C80" i="15"/>
  <c r="C79" i="15" s="1"/>
  <c r="Q69" i="15"/>
  <c r="Q68" i="15" s="1"/>
  <c r="G69" i="39"/>
  <c r="H67" i="39"/>
  <c r="C49" i="21"/>
  <c r="C48" i="21"/>
  <c r="E52" i="33"/>
  <c r="F52" i="33" s="1"/>
  <c r="E53" i="33"/>
  <c r="F53" i="33" s="1"/>
  <c r="E42" i="35"/>
  <c r="F42" i="35" s="1"/>
  <c r="E43" i="35"/>
  <c r="F43" i="35" s="1"/>
  <c r="I43" i="35"/>
  <c r="J43" i="35" s="1"/>
  <c r="C36" i="36"/>
  <c r="C37" i="36"/>
  <c r="C42" i="37"/>
  <c r="C43" i="37"/>
  <c r="C48" i="33"/>
  <c r="C49" i="33"/>
  <c r="C39" i="35"/>
  <c r="M3" i="35" s="1"/>
  <c r="C38" i="35"/>
  <c r="G65" i="40"/>
  <c r="H63" i="40"/>
  <c r="E54" i="34"/>
  <c r="F54" i="34" s="1"/>
  <c r="E53" i="34"/>
  <c r="F53" i="34" s="1"/>
  <c r="E52" i="21"/>
  <c r="F52" i="21" s="1"/>
  <c r="E53" i="21"/>
  <c r="F53" i="21" s="1"/>
  <c r="C50" i="34"/>
  <c r="C49" i="34"/>
  <c r="E40" i="36"/>
  <c r="F40" i="36" s="1"/>
  <c r="E41" i="36"/>
  <c r="F41" i="36" s="1"/>
  <c r="I53" i="33"/>
  <c r="J53" i="33" s="1"/>
  <c r="E46" i="37"/>
  <c r="F46" i="37" s="1"/>
  <c r="E47" i="37"/>
  <c r="F47" i="37" s="1"/>
  <c r="I41" i="36"/>
  <c r="J41" i="36" s="1"/>
  <c r="Q67" i="15"/>
  <c r="L57" i="15"/>
  <c r="L60" i="15" s="1"/>
  <c r="Q56" i="15"/>
  <c r="C43" i="15"/>
  <c r="Q47" i="15"/>
  <c r="Q53" i="15" s="1"/>
  <c r="Q65" i="15"/>
  <c r="B2" i="15"/>
  <c r="B3" i="15" s="1"/>
  <c r="C83" i="15"/>
  <c r="C82" i="15" s="1"/>
  <c r="C46" i="15"/>
  <c r="B6" i="76"/>
  <c r="T16" i="71" l="1"/>
  <c r="D16" i="71"/>
  <c r="U16" i="71" s="1"/>
  <c r="C15" i="71"/>
  <c r="M23" i="43"/>
  <c r="B2" i="76"/>
  <c r="B3" i="76" s="1"/>
  <c r="B3" i="33"/>
  <c r="B2" i="33"/>
  <c r="C13" i="67"/>
  <c r="C37" i="67" s="1"/>
  <c r="J59" i="67"/>
  <c r="J60" i="67" s="1"/>
  <c r="Q48" i="67" s="1"/>
  <c r="C36" i="67"/>
  <c r="J14" i="67"/>
  <c r="C57" i="67"/>
  <c r="C64" i="67" s="1"/>
  <c r="C31" i="69"/>
  <c r="C56" i="11"/>
  <c r="C57" i="11" s="1"/>
  <c r="C22" i="68"/>
  <c r="C43" i="68"/>
  <c r="C41" i="68" s="1"/>
  <c r="C28" i="68"/>
  <c r="C27" i="68" s="1"/>
  <c r="C41" i="69"/>
  <c r="C46" i="68"/>
  <c r="C45" i="68" s="1"/>
  <c r="C46" i="69"/>
  <c r="C45" i="69" s="1"/>
  <c r="H69" i="39"/>
  <c r="I67" i="39"/>
  <c r="H65" i="40"/>
  <c r="I63" i="40"/>
  <c r="B3" i="34"/>
  <c r="B2" i="34"/>
  <c r="Q66" i="15"/>
  <c r="Q75" i="15" s="1"/>
  <c r="Q57" i="15"/>
  <c r="Q62" i="15" s="1"/>
  <c r="C19" i="9"/>
  <c r="C20" i="9"/>
  <c r="D15" i="71" l="1"/>
  <c r="C14" i="71"/>
  <c r="C75" i="67"/>
  <c r="C30" i="67"/>
  <c r="C39" i="67" s="1"/>
  <c r="C56" i="67"/>
  <c r="C65" i="67" s="1"/>
  <c r="C58" i="67" s="1"/>
  <c r="C67" i="67" s="1"/>
  <c r="C68" i="67" s="1"/>
  <c r="C71" i="67" s="1"/>
  <c r="Q70" i="67"/>
  <c r="L46" i="67"/>
  <c r="J13" i="67"/>
  <c r="J23" i="67" s="1"/>
  <c r="J22" i="67"/>
  <c r="C31" i="68"/>
  <c r="C49" i="68"/>
  <c r="C51" i="68" s="1"/>
  <c r="C49" i="69"/>
  <c r="C51" i="69" s="1"/>
  <c r="C52" i="69" s="1"/>
  <c r="B2" i="69" s="1"/>
  <c r="B3" i="69" s="1"/>
  <c r="C103" i="9"/>
  <c r="C21" i="9"/>
  <c r="C102" i="9"/>
  <c r="I65" i="40"/>
  <c r="J63" i="40"/>
  <c r="I69" i="39"/>
  <c r="J67" i="39"/>
  <c r="L51" i="67"/>
  <c r="D14" i="71" l="1"/>
  <c r="C13" i="71"/>
  <c r="C80" i="67"/>
  <c r="C79" i="67" s="1"/>
  <c r="Q67" i="67"/>
  <c r="C40" i="67"/>
  <c r="C45" i="67" s="1"/>
  <c r="C46" i="67" s="1"/>
  <c r="Q69" i="67"/>
  <c r="Q68" i="67" s="1"/>
  <c r="J16" i="67"/>
  <c r="J25" i="67" s="1"/>
  <c r="C52" i="68"/>
  <c r="C57" i="68" s="1"/>
  <c r="C56" i="68" s="1"/>
  <c r="C57" i="69"/>
  <c r="C56" i="69" s="1"/>
  <c r="J69" i="39"/>
  <c r="K67" i="39"/>
  <c r="J65" i="40"/>
  <c r="K63" i="40"/>
  <c r="D13" i="71" l="1"/>
  <c r="C12" i="71"/>
  <c r="C43" i="67"/>
  <c r="Q65" i="67"/>
  <c r="Q75" i="67" s="1"/>
  <c r="C83" i="67"/>
  <c r="C82" i="67" s="1"/>
  <c r="Q56" i="67"/>
  <c r="Q62" i="67" s="1"/>
  <c r="Q47" i="67"/>
  <c r="Q53" i="67" s="1"/>
  <c r="D2" i="67"/>
  <c r="B2" i="68"/>
  <c r="B3" i="68" s="1"/>
  <c r="K65" i="40"/>
  <c r="L63" i="40"/>
  <c r="K69" i="39"/>
  <c r="L67" i="39"/>
  <c r="T12" i="71" l="1"/>
  <c r="D12" i="71"/>
  <c r="U12" i="71" s="1"/>
  <c r="C11" i="71"/>
  <c r="B2" i="67"/>
  <c r="B3" i="67"/>
  <c r="M67" i="39"/>
  <c r="L69" i="39"/>
  <c r="M63" i="40"/>
  <c r="L65" i="40"/>
  <c r="D19" i="9"/>
  <c r="D20" i="9"/>
  <c r="AO6" i="1"/>
  <c r="C10" i="71" l="1"/>
  <c r="D11" i="71"/>
  <c r="D103" i="9"/>
  <c r="G20" i="9"/>
  <c r="C32" i="9" s="1"/>
  <c r="C35" i="9" s="1"/>
  <c r="C34" i="9" s="1"/>
  <c r="D102" i="9"/>
  <c r="G19" i="9"/>
  <c r="D22" i="9"/>
  <c r="D21" i="9"/>
  <c r="B6" i="70"/>
  <c r="B2" i="70" s="1"/>
  <c r="B3" i="70" s="1"/>
  <c r="M65" i="40"/>
  <c r="N63" i="40"/>
  <c r="M69" i="39"/>
  <c r="N67" i="39"/>
  <c r="D10" i="71" l="1"/>
  <c r="C9" i="71"/>
  <c r="G21" i="9"/>
  <c r="D14" i="74"/>
  <c r="N65" i="40"/>
  <c r="O63" i="40"/>
  <c r="O65" i="40" s="1"/>
  <c r="N69" i="39"/>
  <c r="O67" i="39"/>
  <c r="O69" i="39" s="1"/>
  <c r="C8" i="71" l="1"/>
  <c r="D9" i="71"/>
  <c r="F14" i="74"/>
  <c r="B5" i="74"/>
  <c r="D5" i="74" s="1"/>
  <c r="E14" i="74"/>
  <c r="G14" i="74"/>
  <c r="B6" i="74" s="1"/>
  <c r="D6" i="74" s="1"/>
  <c r="H7" i="40"/>
  <c r="F7" i="40"/>
  <c r="J7" i="40"/>
  <c r="J7" i="39"/>
  <c r="H7" i="39"/>
  <c r="F7" i="39"/>
  <c r="D8" i="71" l="1"/>
  <c r="C7" i="71"/>
  <c r="AC7" i="39"/>
  <c r="V47" i="39" s="1"/>
  <c r="I47" i="39" s="1"/>
  <c r="W7" i="39"/>
  <c r="S7" i="39"/>
  <c r="AA7" i="39"/>
  <c r="R47" i="39" s="1"/>
  <c r="AA7" i="40"/>
  <c r="R42" i="40" s="1"/>
  <c r="S7" i="40"/>
  <c r="W7" i="40"/>
  <c r="AC7" i="40"/>
  <c r="V42" i="40" s="1"/>
  <c r="I42" i="40" s="1"/>
  <c r="AB7" i="39"/>
  <c r="T47" i="39" s="1"/>
  <c r="G47" i="39" s="1"/>
  <c r="U7" i="39"/>
  <c r="AB7" i="40"/>
  <c r="T42" i="40" s="1"/>
  <c r="G42" i="40" s="1"/>
  <c r="U7" i="40"/>
  <c r="D7" i="71" l="1"/>
  <c r="C6" i="71"/>
  <c r="E42" i="40"/>
  <c r="I47" i="40" s="1"/>
  <c r="J47" i="40" s="1"/>
  <c r="R43" i="40"/>
  <c r="I46" i="40"/>
  <c r="J46" i="40" s="1"/>
  <c r="G47" i="40"/>
  <c r="H47" i="40" s="1"/>
  <c r="G46" i="40"/>
  <c r="H46" i="40" s="1"/>
  <c r="G52" i="39"/>
  <c r="H52" i="39" s="1"/>
  <c r="G51" i="39"/>
  <c r="H51" i="39" s="1"/>
  <c r="E47" i="39"/>
  <c r="I52" i="39" s="1"/>
  <c r="J52" i="39" s="1"/>
  <c r="R48" i="39"/>
  <c r="I51" i="39"/>
  <c r="J51" i="39" s="1"/>
  <c r="D6" i="71" l="1"/>
  <c r="C5" i="71"/>
  <c r="C48" i="39"/>
  <c r="C47" i="39"/>
  <c r="C43" i="40"/>
  <c r="C42" i="40"/>
  <c r="E51" i="39"/>
  <c r="F51" i="39" s="1"/>
  <c r="E52" i="39"/>
  <c r="F52" i="39" s="1"/>
  <c r="E46" i="40"/>
  <c r="F46" i="40" s="1"/>
  <c r="E47" i="40"/>
  <c r="F47" i="40" s="1"/>
  <c r="D5" i="71" l="1"/>
  <c r="M24" i="43"/>
  <c r="B60" i="40"/>
  <c r="F60" i="40" s="1"/>
  <c r="B58" i="40"/>
  <c r="F58" i="40" s="1"/>
  <c r="B56" i="40"/>
  <c r="F56" i="40" s="1"/>
  <c r="F61" i="40"/>
  <c r="B2" i="40" s="1"/>
  <c r="B3" i="40" s="1"/>
  <c r="B54" i="40"/>
  <c r="F54" i="40" s="1"/>
  <c r="B52" i="40"/>
  <c r="F52" i="40" s="1"/>
  <c r="B59" i="40"/>
  <c r="F59" i="40" s="1"/>
  <c r="B53" i="40"/>
  <c r="F53" i="40" s="1"/>
  <c r="B57" i="40"/>
  <c r="F57" i="40" s="1"/>
  <c r="B51" i="40"/>
  <c r="F51" i="40" s="1"/>
  <c r="B64" i="39"/>
  <c r="F64" i="39" s="1"/>
  <c r="B62" i="39"/>
  <c r="F62" i="39" s="1"/>
  <c r="B60" i="39"/>
  <c r="F60" i="39" s="1"/>
  <c r="B59" i="39"/>
  <c r="F59" i="39" s="1"/>
  <c r="B57" i="39"/>
  <c r="F57" i="39" s="1"/>
  <c r="B63" i="39"/>
  <c r="F63" i="39" s="1"/>
  <c r="B58" i="39"/>
  <c r="F58" i="39" s="1"/>
  <c r="B56" i="39"/>
  <c r="F56" i="39" s="1"/>
  <c r="F65" i="39" s="1"/>
  <c r="B2" i="39" s="1"/>
  <c r="B3" i="39" s="1"/>
  <c r="B61" i="39"/>
  <c r="F61" i="39" s="1"/>
  <c r="G118" i="9" l="1"/>
  <c r="F118" i="9" s="1"/>
  <c r="I118" i="9"/>
  <c r="H118" i="9" s="1"/>
  <c r="C104" i="9" l="1"/>
  <c r="H101" i="9"/>
  <c r="H4" i="52"/>
  <c r="H119" i="9"/>
  <c r="H5" i="52" s="1"/>
  <c r="F4" i="52"/>
  <c r="B51" i="72" s="1"/>
  <c r="F119" i="9"/>
  <c r="F5" i="52" s="1"/>
  <c r="B53" i="72" s="1"/>
  <c r="I4" i="52"/>
  <c r="G4" i="52"/>
  <c r="B52" i="72" s="1"/>
  <c r="C105" i="9"/>
  <c r="E118" i="9"/>
  <c r="H102" i="9"/>
  <c r="D7" i="53" l="1"/>
  <c r="B21" i="72" s="1"/>
  <c r="C5" i="74"/>
  <c r="D45" i="9"/>
  <c r="M48" i="9"/>
  <c r="D5" i="53"/>
  <c r="H107" i="9"/>
  <c r="E4" i="52"/>
  <c r="B48" i="72" s="1"/>
  <c r="D118" i="9"/>
  <c r="D4" i="52" l="1"/>
  <c r="B47" i="72" s="1"/>
  <c r="D119" i="9"/>
  <c r="D5" i="52" s="1"/>
  <c r="B49" i="72" s="1"/>
  <c r="D53" i="9"/>
  <c r="C93" i="9"/>
  <c r="C86" i="9" s="1"/>
  <c r="C64" i="9"/>
  <c r="C63" i="9" s="1"/>
  <c r="C67" i="9" s="1"/>
  <c r="C72" i="9"/>
  <c r="C78" i="9"/>
  <c r="C73" i="9" s="1"/>
  <c r="C85" i="9"/>
  <c r="D52" i="9"/>
  <c r="D55" i="9"/>
  <c r="M53" i="9" s="1"/>
  <c r="M49" i="9"/>
  <c r="D122" i="9"/>
  <c r="D13" i="53"/>
  <c r="H108" i="9"/>
  <c r="B20" i="72"/>
  <c r="D6" i="53"/>
  <c r="B22" i="72" s="1"/>
  <c r="C95" i="9" l="1"/>
  <c r="C96" i="9" s="1"/>
  <c r="E96" i="9" s="1"/>
  <c r="E97" i="9" s="1"/>
  <c r="D8" i="52"/>
  <c r="D123" i="9"/>
  <c r="D9" i="52" s="1"/>
  <c r="L65" i="9"/>
  <c r="M65" i="9" s="1"/>
  <c r="L68" i="9"/>
  <c r="M68" i="9" s="1"/>
  <c r="L66" i="9"/>
  <c r="M66" i="9" s="1"/>
  <c r="L63" i="9"/>
  <c r="M63" i="9" s="1"/>
  <c r="L64" i="9"/>
  <c r="M64" i="9" s="1"/>
  <c r="L67" i="9"/>
  <c r="M67" i="9" s="1"/>
  <c r="C79" i="9"/>
  <c r="D15" i="53"/>
  <c r="B31" i="72" s="1"/>
  <c r="C6" i="74"/>
  <c r="B30" i="72"/>
  <c r="D14" i="53"/>
  <c r="B32" i="72" s="1"/>
  <c r="C68" i="9"/>
  <c r="D54" i="9" s="1"/>
  <c r="D59" i="9"/>
  <c r="M55" i="9" s="1"/>
  <c r="C97" i="9" l="1"/>
  <c r="D58" i="9" s="1"/>
  <c r="D56" i="9" s="1"/>
  <c r="M54" i="9" s="1"/>
  <c r="N57" i="9" s="1"/>
  <c r="P57" i="9" s="1"/>
  <c r="M69" i="9"/>
  <c r="N69" i="9" s="1"/>
  <c r="C80" i="9"/>
  <c r="E80" i="9" s="1"/>
  <c r="E81" i="9" s="1"/>
  <c r="C81" i="9" l="1"/>
  <c r="N59" i="9"/>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rFont val="宋体"/>
            <family val="3"/>
            <charset val="134"/>
          </rPr>
          <t>权重验证</t>
        </r>
        <r>
          <rPr>
            <sz val="9"/>
            <rFont val="宋体"/>
            <family val="3"/>
            <charset val="134"/>
          </rPr>
          <t xml:space="preserve">
</t>
        </r>
      </text>
    </comment>
    <comment ref="C58" authorId="1" shapeId="0" xr:uid="{00000000-0006-0000-1700-000002000000}">
      <text>
        <r>
          <rPr>
            <b/>
            <sz val="12"/>
            <rFont val="宋体"/>
            <family val="3"/>
            <charset val="134"/>
          </rPr>
          <t>价值时点所在月度</t>
        </r>
        <r>
          <rPr>
            <sz val="12"/>
            <rFont val="宋体"/>
            <family val="3"/>
            <charset val="134"/>
          </rPr>
          <t xml:space="preserve">
</t>
        </r>
      </text>
    </comment>
    <comment ref="B102"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<sst xmlns="http://schemas.openxmlformats.org/spreadsheetml/2006/main" count="8057" uniqueCount="2800">
  <si>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</si>
  <si>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</si>
  <si>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</si>
  <si>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</si>
  <si>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</si>
  <si>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</si>
  <si>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</si>
  <si>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</si>
  <si>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</si>
  <si>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</si>
  <si>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</si>
  <si>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</si>
  <si>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</si>
  <si>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</si>
  <si>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</si>
  <si>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</si>
  <si>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</si>
  <si>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</si>
  <si>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</si>
  <si>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</si>
  <si>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</si>
  <si>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</si>
  <si>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</si>
  <si>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</si>
  <si>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</si>
  <si>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</si>
  <si>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</si>
  <si>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</si>
  <si>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</si>
  <si>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</si>
  <si>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</si>
  <si>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</si>
  <si>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</si>
  <si>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</si>
  <si>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</si>
  <si>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</si>
  <si>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</si>
  <si>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</si>
  <si>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</si>
  <si>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</si>
  <si>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</si>
  <si>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</si>
  <si>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</si>
  <si>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</si>
  <si>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</si>
  <si>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</si>
  <si>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</si>
  <si>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</si>
  <si>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</si>
  <si>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</si>
  <si>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</si>
  <si>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</si>
  <si>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</si>
  <si>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</si>
  <si>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</si>
  <si>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</si>
  <si>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</si>
  <si>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</si>
  <si>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</si>
  <si>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</si>
  <si>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</si>
  <si>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</si>
  <si>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</si>
  <si>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</si>
  <si>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</si>
  <si>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</si>
  <si>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</si>
  <si>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</si>
  <si>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</si>
  <si>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</si>
  <si>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</si>
  <si>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</si>
  <si>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</si>
  <si>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</si>
  <si>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</si>
  <si>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</si>
  <si>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</si>
  <si>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</si>
  <si>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</si>
  <si>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</si>
  <si>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</si>
  <si>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</si>
  <si>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</si>
  <si>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</si>
  <si>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</si>
  <si>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</si>
  <si>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</si>
  <si>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</si>
  <si>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</si>
  <si>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</si>
  <si>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</si>
  <si>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</si>
  <si>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</si>
  <si>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</si>
  <si>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</si>
  <si>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</si>
  <si>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</si>
  <si>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</si>
  <si>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</si>
  <si>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</si>
  <si>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</si>
  <si>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</si>
  <si>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</si>
  <si>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</si>
  <si>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</si>
  <si>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</si>
  <si>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</si>
  <si>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</si>
  <si>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</si>
  <si>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</si>
  <si>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</si>
  <si>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</si>
  <si>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</si>
  <si>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</si>
  <si>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</si>
  <si>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</si>
  <si>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</si>
  <si>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</si>
  <si>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</si>
  <si>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</si>
  <si>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</si>
  <si>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</si>
  <si>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</si>
  <si>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</si>
  <si>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</si>
  <si>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</si>
  <si>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</si>
  <si>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</si>
  <si>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</si>
  <si>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</si>
  <si>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</si>
  <si>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</si>
  <si>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</si>
  <si>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</si>
  <si>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</si>
  <si>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</si>
  <si>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</si>
  <si>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</si>
  <si>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</si>
  <si>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</si>
  <si>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</si>
  <si>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</si>
  <si>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</si>
  <si>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</si>
  <si>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</si>
  <si>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</si>
  <si>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</si>
  <si>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</si>
  <si>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</si>
  <si>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</si>
  <si>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</si>
  <si>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</si>
  <si>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</si>
  <si>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</si>
  <si>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</si>
  <si>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</si>
  <si>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</si>
  <si>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</si>
  <si>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</si>
  <si>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</si>
  <si>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</si>
  <si>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</si>
  <si>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</si>
  <si>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</si>
  <si>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</si>
  <si>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</si>
  <si>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</si>
  <si>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</si>
  <si>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</si>
  <si>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</si>
  <si>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</si>
  <si>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</si>
  <si>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</si>
  <si>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</si>
  <si>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</si>
  <si>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</si>
  <si>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</si>
  <si>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</si>
  <si>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</si>
  <si>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</si>
  <si>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</si>
  <si>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</si>
  <si>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</si>
  <si>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</si>
  <si>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</si>
  <si>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</si>
  <si>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</si>
  <si>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</si>
  <si>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</si>
  <si>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</si>
  <si>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</si>
  <si>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</si>
  <si>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</si>
  <si>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</si>
  <si>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</si>
  <si>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</si>
  <si>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</si>
  <si>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</si>
  <si>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</si>
  <si>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</si>
  <si>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</si>
  <si>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</si>
  <si>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</si>
  <si>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</si>
  <si>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</si>
  <si>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</si>
  <si>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</si>
  <si>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</si>
  <si>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</si>
  <si>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</si>
  <si>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</si>
  <si>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</si>
  <si>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</si>
  <si>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</si>
  <si>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</si>
  <si>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</si>
  <si>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</si>
  <si>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</si>
  <si>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</si>
  <si>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</si>
  <si>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</si>
  <si>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</si>
  <si>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</si>
  <si>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</si>
  <si>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</si>
  <si>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</si>
  <si>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</si>
  <si>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</si>
  <si>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</si>
  <si>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</si>
  <si>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</si>
  <si>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</si>
  <si>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</si>
  <si>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</si>
  <si>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</si>
  <si>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</si>
  <si>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</si>
  <si>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</si>
  <si>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</si>
  <si>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</si>
  <si>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</si>
  <si>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</si>
  <si>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</si>
  <si>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</si>
  <si>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</si>
  <si>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</si>
  <si>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</si>
  <si>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</si>
  <si>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</si>
  <si>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</si>
  <si>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</si>
  <si>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</si>
  <si>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</si>
  <si>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</si>
  <si>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</si>
  <si>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</si>
  <si>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</si>
  <si>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</si>
  <si>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</si>
  <si>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</si>
  <si>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</si>
  <si>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</si>
  <si>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</si>
  <si>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</si>
  <si>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</si>
  <si>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</si>
  <si>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</si>
  <si>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</si>
  <si>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</si>
  <si>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</si>
  <si>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</si>
  <si>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</si>
  <si>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</si>
  <si>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</si>
  <si>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</si>
  <si>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</si>
  <si>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</si>
  <si>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</si>
  <si>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</si>
  <si>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</si>
  <si>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</si>
  <si>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</si>
  <si>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</si>
  <si>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</si>
  <si>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</si>
  <si>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</si>
  <si>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</si>
  <si>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</si>
  <si>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</si>
  <si>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</si>
  <si>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</si>
  <si>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</si>
  <si>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</si>
  <si>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</si>
  <si>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</si>
  <si>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</si>
  <si>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</si>
  <si>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</si>
  <si>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</si>
  <si>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</si>
  <si>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</si>
  <si>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</si>
  <si>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</si>
  <si>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</si>
  <si>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</si>
  <si>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</si>
  <si>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</si>
  <si>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</si>
  <si>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</si>
  <si>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</si>
  <si>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</si>
  <si>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</si>
  <si>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</si>
  <si>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</si>
  <si>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</si>
  <si>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</si>
  <si>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</si>
  <si>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</si>
  <si>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</si>
  <si>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</si>
  <si>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</si>
  <si>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</si>
  <si>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</si>
  <si>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</si>
  <si>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</si>
  <si>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</si>
  <si>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</si>
  <si>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</si>
  <si>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</si>
  <si>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</si>
  <si>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</si>
  <si>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</si>
  <si>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</si>
  <si>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</si>
  <si>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</si>
  <si>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</si>
  <si>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</si>
  <si>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</si>
  <si>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</si>
  <si>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</si>
  <si>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</si>
  <si>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</si>
  <si>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</si>
  <si>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</si>
  <si>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</si>
  <si>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</si>
  <si>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</si>
  <si>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</si>
  <si>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</si>
  <si>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</si>
  <si>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</si>
  <si>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</si>
  <si>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</si>
  <si>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</si>
  <si>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</si>
  <si>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</si>
  <si>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</si>
  <si>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</si>
  <si>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</si>
  <si>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</si>
  <si>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</si>
  <si>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</si>
  <si>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</si>
  <si>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</si>
  <si>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</si>
  <si>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</si>
  <si>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</si>
  <si>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</si>
  <si>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</si>
  <si>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</si>
  <si>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</si>
  <si>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</si>
  <si>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</si>
  <si>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</si>
  <si>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</si>
  <si>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</si>
  <si>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</si>
  <si>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</si>
  <si>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</si>
  <si>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</si>
  <si>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</si>
  <si>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</si>
  <si>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</si>
  <si>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</si>
  <si>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</si>
  <si>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</si>
  <si>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</si>
  <si>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</si>
  <si>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</si>
  <si>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</si>
  <si>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</si>
  <si>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</si>
  <si>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</si>
  <si>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</si>
  <si>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</si>
  <si>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</si>
  <si>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</si>
  <si>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</si>
  <si>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</si>
  <si>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</si>
  <si>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</si>
  <si>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</si>
  <si>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</si>
  <si>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</si>
  <si>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</si>
  <si>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</si>
  <si>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</si>
  <si>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</si>
  <si>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</si>
  <si>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</si>
  <si>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</si>
  <si>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</si>
  <si>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</si>
  <si>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</si>
  <si>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</si>
  <si>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</si>
  <si>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</si>
  <si>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</si>
  <si>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</si>
  <si>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</si>
  <si>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</si>
  <si>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</si>
  <si>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</si>
  <si>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</si>
  <si>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</si>
  <si>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</si>
  <si>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</si>
  <si>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</si>
  <si>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</si>
  <si>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</si>
  <si>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</si>
  <si>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</si>
  <si>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</si>
  <si>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</si>
  <si>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</si>
  <si>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</si>
  <si>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</si>
  <si>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</si>
  <si>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</si>
  <si>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</si>
  <si>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</si>
  <si>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</si>
  <si>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</si>
  <si>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</si>
  <si>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</si>
  <si>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</si>
  <si>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</si>
  <si>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</si>
  <si>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</si>
  <si>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</si>
  <si>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</si>
  <si>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</si>
  <si>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</si>
  <si>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</si>
  <si>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</si>
  <si>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</si>
  <si>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</si>
  <si>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</si>
  <si>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</si>
  <si>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</si>
  <si>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</si>
  <si>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</si>
  <si>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</si>
  <si>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</si>
  <si>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</si>
  <si>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</si>
  <si>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</si>
  <si>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</si>
  <si>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</si>
  <si>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</si>
  <si>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</si>
  <si>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</si>
  <si>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</si>
  <si>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</si>
  <si>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</si>
  <si>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</si>
  <si>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</si>
  <si>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</si>
  <si>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</si>
  <si>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</si>
  <si>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</si>
  <si>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</si>
  <si>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</si>
  <si>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</si>
  <si>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</si>
  <si>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</si>
  <si>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</si>
  <si>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</si>
  <si>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</si>
  <si>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</si>
  <si>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</si>
  <si>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</si>
  <si>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</si>
  <si>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</si>
  <si>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</si>
  <si>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</si>
  <si>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</si>
  <si>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</si>
  <si>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</si>
  <si>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</si>
  <si>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</si>
  <si>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</si>
  <si>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</si>
  <si>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</si>
  <si>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</si>
  <si>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</si>
  <si>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</si>
  <si>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</si>
  <si>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</si>
  <si>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</si>
  <si>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</si>
  <si>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</si>
  <si>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</si>
  <si>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</si>
  <si>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</si>
  <si>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</si>
  <si>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</si>
  <si>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</si>
  <si>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</si>
  <si>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</si>
  <si>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</si>
  <si>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</si>
  <si>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</si>
  <si>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</si>
  <si>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</si>
  <si>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</si>
  <si>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</si>
  <si>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</si>
  <si>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</si>
  <si>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</si>
  <si>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</si>
  <si>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</si>
  <si>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</si>
  <si>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</si>
  <si>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</si>
  <si>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</si>
  <si>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</si>
  <si>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</si>
  <si>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</si>
  <si>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</si>
  <si>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</si>
  <si>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</si>
  <si>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</si>
  <si>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</si>
  <si>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</si>
  <si>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</si>
  <si>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</si>
  <si>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</si>
  <si>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</si>
  <si>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</si>
  <si>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</si>
  <si>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</si>
  <si>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</si>
  <si>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</si>
  <si>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</si>
  <si>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</si>
  <si>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</si>
  <si>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</si>
  <si>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</si>
  <si>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</si>
  <si>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</si>
  <si>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</si>
  <si>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</si>
  <si>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</si>
  <si>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</si>
  <si>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</si>
  <si>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</si>
  <si>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</si>
  <si>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</si>
  <si>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</si>
  <si>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</si>
  <si>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</si>
  <si>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</si>
  <si>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</si>
  <si>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</si>
  <si>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</si>
  <si>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</si>
  <si>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</si>
  <si>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</si>
  <si>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</si>
  <si>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</si>
  <si>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</si>
  <si>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</si>
  <si>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</si>
  <si>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</si>
  <si>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</si>
  <si>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</si>
  <si>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</si>
  <si>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</si>
  <si>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</si>
  <si>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</si>
  <si>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</si>
  <si>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</si>
  <si>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</si>
  <si>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</si>
  <si>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</si>
  <si>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</si>
  <si>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</si>
  <si>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</si>
  <si>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</si>
  <si>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</si>
  <si>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</si>
  <si>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</si>
  <si>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</si>
  <si>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</si>
  <si>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</si>
  <si>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</si>
  <si>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</si>
  <si>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</si>
  <si>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</si>
  <si>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</si>
  <si>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</si>
  <si>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</si>
  <si>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</si>
  <si>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</si>
  <si>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</si>
  <si>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</si>
  <si>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</si>
  <si>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</si>
  <si>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</si>
  <si>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</si>
  <si>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</si>
  <si>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</si>
  <si>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</si>
  <si>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</si>
  <si>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</si>
  <si>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</si>
  <si>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</si>
  <si>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</si>
  <si>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</si>
  <si>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</si>
  <si>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</si>
  <si>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</si>
  <si>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</si>
  <si>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</si>
  <si>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</si>
  <si>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</si>
  <si>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</si>
  <si>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</si>
  <si>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</si>
  <si>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</si>
  <si>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</si>
  <si>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</si>
  <si>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</si>
  <si>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</si>
  <si>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</si>
  <si>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</si>
  <si>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</si>
  <si>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</si>
  <si>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</si>
  <si>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</si>
  <si>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</si>
  <si>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</si>
  <si>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</si>
  <si>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</si>
  <si>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</si>
  <si>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</si>
  <si>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</si>
  <si>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</si>
  <si>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</si>
  <si>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</si>
  <si>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</si>
  <si>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</si>
  <si>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</si>
  <si>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</si>
  <si>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</si>
  <si>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</si>
  <si>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</si>
  <si>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</si>
  <si>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</si>
  <si>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</si>
  <si>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</si>
  <si>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</si>
  <si>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</si>
  <si>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</si>
  <si>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</si>
  <si>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</si>
  <si>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</si>
  <si>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</si>
  <si>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</si>
  <si>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</si>
  <si>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</si>
  <si>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</si>
  <si>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</si>
  <si>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</si>
  <si>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</si>
  <si>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</si>
  <si>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</si>
  <si>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</si>
  <si>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</si>
  <si>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</si>
  <si>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</si>
  <si>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</si>
  <si>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</si>
  <si>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</si>
  <si>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</si>
  <si>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</si>
  <si>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</si>
  <si>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</si>
  <si>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</si>
  <si>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</si>
  <si>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</si>
  <si>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</si>
  <si>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</si>
  <si>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</si>
  <si>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</si>
  <si>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</si>
  <si>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</si>
  <si>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</si>
  <si>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</si>
  <si>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</si>
  <si>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</si>
  <si>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</si>
  <si>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</si>
  <si>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</si>
  <si>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</si>
  <si>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</si>
  <si>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</si>
  <si>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</si>
  <si>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</si>
  <si>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</si>
  <si>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</si>
  <si>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</si>
  <si>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</si>
  <si>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</si>
  <si>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</si>
  <si>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</si>
  <si>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</si>
  <si>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</si>
  <si>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</si>
  <si>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</si>
  <si>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</si>
  <si>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</si>
  <si>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</si>
  <si>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</si>
  <si>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</si>
  <si>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</si>
  <si>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</si>
  <si>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</si>
  <si>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</si>
  <si>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</si>
  <si>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</si>
  <si>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</si>
  <si>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</si>
  <si>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</si>
  <si>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</si>
  <si>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</si>
  <si>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</si>
  <si>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</si>
  <si>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</si>
  <si>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</si>
  <si>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</si>
  <si>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</si>
  <si>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</si>
  <si>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</si>
  <si>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</si>
  <si>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</si>
  <si>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</si>
  <si>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</si>
  <si>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</si>
  <si>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</si>
  <si>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</si>
  <si>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</si>
  <si>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</si>
  <si>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</si>
  <si>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</si>
  <si>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</si>
  <si>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</si>
  <si>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</si>
  <si>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</si>
  <si>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</si>
  <si>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</si>
  <si>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</si>
  <si>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</si>
  <si>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</si>
  <si>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</si>
  <si>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</si>
  <si>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</si>
  <si>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</si>
  <si>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</si>
  <si>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</si>
  <si>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</si>
  <si>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</si>
  <si>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</si>
  <si>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</si>
  <si>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</si>
  <si>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</si>
  <si>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</si>
  <si>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</si>
  <si>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</si>
  <si>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</si>
  <si>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</si>
  <si>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</si>
  <si>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</si>
  <si>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</si>
  <si>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</si>
  <si>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</si>
  <si>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</si>
  <si>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</si>
  <si>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</si>
  <si>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</si>
  <si>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</si>
  <si>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</si>
  <si>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</si>
  <si>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</si>
  <si>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</si>
  <si>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</si>
  <si>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</si>
  <si>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</si>
  <si>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</si>
  <si>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</si>
  <si>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</si>
  <si>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</si>
  <si>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</si>
  <si>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</si>
  <si>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</si>
  <si>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</si>
  <si>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</si>
  <si>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</si>
  <si>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</si>
  <si>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</si>
  <si>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</si>
  <si>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</si>
  <si>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</si>
  <si>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</si>
  <si>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</si>
  <si>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</si>
  <si>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</si>
  <si>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</si>
  <si>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</si>
  <si>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</si>
  <si>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</si>
  <si>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</si>
  <si>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</si>
  <si>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</si>
  <si>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</si>
  <si>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</si>
  <si>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</si>
  <si>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</si>
  <si>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</si>
  <si>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</si>
  <si>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</si>
  <si>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</si>
  <si>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</si>
  <si>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</si>
  <si>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</si>
  <si>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</si>
  <si>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</si>
  <si>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</si>
  <si>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</si>
  <si>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</si>
  <si>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</si>
  <si>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</si>
  <si>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</si>
  <si>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</si>
  <si>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</si>
  <si>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</si>
  <si>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</si>
  <si>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</si>
  <si>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</si>
  <si>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</si>
  <si>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</si>
  <si>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</si>
  <si>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</si>
  <si>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</si>
  <si>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</si>
  <si>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</si>
  <si>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</si>
  <si>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</si>
  <si>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</si>
  <si>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</si>
  <si>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</si>
  <si>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</si>
  <si>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</si>
  <si>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</si>
  <si>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</si>
  <si>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</si>
  <si>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</si>
  <si>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</si>
  <si>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</si>
  <si>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</si>
  <si>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</si>
  <si>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</si>
  <si>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</si>
  <si>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</si>
  <si>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</si>
  <si>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</si>
  <si>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</si>
  <si>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</si>
  <si>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</si>
  <si>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</si>
  <si>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</si>
  <si>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</si>
  <si>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</si>
  <si>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</si>
  <si>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</si>
  <si>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</si>
  <si>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</si>
  <si>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</si>
  <si>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</si>
  <si>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</si>
  <si>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</si>
  <si>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</si>
  <si>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</si>
  <si>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</si>
  <si>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</si>
  <si>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</si>
  <si>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</si>
  <si>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</si>
  <si>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</si>
  <si>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</si>
  <si>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</si>
  <si>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</si>
  <si>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</si>
  <si>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</si>
  <si>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</si>
  <si>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</si>
  <si>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</si>
  <si>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</si>
  <si>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</si>
  <si>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</si>
  <si>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</si>
  <si>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</si>
  <si>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</si>
  <si>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</si>
  <si>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</si>
  <si>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</si>
  <si>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</si>
  <si>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</si>
  <si>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</si>
  <si>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</si>
  <si>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</si>
  <si>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</si>
  <si>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</si>
  <si>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</si>
  <si>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</si>
  <si>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</si>
  <si>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</si>
  <si>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</si>
  <si>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</si>
  <si>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</si>
  <si>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</si>
  <si>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</si>
  <si>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</si>
  <si>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</si>
  <si>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</si>
  <si>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</si>
  <si>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</si>
  <si>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</si>
  <si>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</si>
  <si>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</si>
  <si>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</si>
  <si>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</si>
  <si>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</si>
  <si>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</si>
  <si>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</si>
  <si>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</si>
  <si>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</si>
  <si>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</si>
  <si>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</si>
  <si>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</si>
  <si>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</si>
  <si>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</si>
  <si>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</si>
  <si>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</si>
  <si>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</si>
  <si>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</si>
  <si>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</si>
  <si>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</si>
  <si>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</si>
  <si>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</si>
  <si>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</si>
  <si>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</si>
  <si>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</si>
  <si>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</si>
  <si>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</si>
  <si>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</si>
  <si>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</si>
  <si>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</si>
  <si>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</si>
  <si>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</si>
  <si>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</si>
  <si>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</si>
  <si>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</si>
  <si>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</si>
  <si>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</si>
  <si>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</si>
  <si>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</si>
  <si>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</si>
  <si>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</si>
  <si>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</si>
  <si>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</si>
  <si>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</si>
  <si>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</si>
  <si>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</si>
  <si>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</si>
  <si>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</si>
  <si>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</si>
  <si>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</si>
  <si>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</si>
  <si>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</si>
  <si>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</si>
  <si>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</si>
  <si>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</si>
  <si>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</si>
  <si>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</si>
  <si>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</si>
  <si>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</si>
  <si>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</si>
  <si>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</si>
  <si>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</si>
  <si>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</si>
  <si>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</si>
  <si>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</si>
  <si>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</si>
  <si>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</si>
  <si>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</si>
  <si>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</si>
  <si>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</si>
  <si>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</si>
  <si>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</si>
  <si>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</si>
  <si>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</si>
  <si>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</si>
  <si>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</si>
  <si>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</si>
  <si>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</si>
  <si>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</si>
  <si>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</si>
  <si>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</si>
  <si>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</si>
  <si>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</si>
  <si>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</si>
  <si>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</si>
  <si>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</si>
  <si>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</si>
  <si>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</si>
  <si>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</si>
  <si>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</si>
  <si>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</si>
  <si>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</si>
  <si>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</si>
  <si>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</si>
  <si>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</si>
  <si>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</si>
  <si>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</si>
  <si>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</si>
  <si>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</si>
  <si>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</si>
  <si>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</si>
  <si>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</si>
  <si>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</si>
  <si>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</si>
  <si>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</si>
  <si>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</si>
  <si>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</si>
  <si>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</si>
  <si>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</si>
  <si>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</si>
  <si>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</si>
  <si>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</si>
  <si>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</si>
  <si>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</si>
  <si>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</si>
  <si>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</si>
  <si>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</si>
  <si>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</si>
  <si>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</si>
  <si>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</si>
  <si>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</si>
  <si>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</si>
  <si>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</si>
  <si>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</si>
  <si>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</si>
  <si>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</si>
  <si>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</si>
  <si>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</si>
  <si>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</si>
  <si>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</si>
  <si>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</si>
  <si>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</si>
  <si>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</si>
  <si>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</si>
  <si>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</si>
  <si>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</si>
  <si>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</si>
  <si>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</si>
  <si>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</si>
  <si>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</si>
  <si>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</si>
  <si>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</si>
  <si>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</si>
  <si>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</si>
  <si>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</si>
  <si>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</si>
  <si>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</si>
  <si>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</si>
  <si>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</si>
  <si>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</si>
  <si>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</si>
  <si>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</si>
  <si>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</si>
  <si>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</si>
  <si>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</si>
  <si>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</si>
  <si>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</si>
  <si>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</si>
  <si>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</si>
  <si>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</si>
  <si>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</si>
  <si>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</si>
  <si>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</si>
  <si>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</si>
  <si>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</si>
  <si>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</si>
  <si>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</si>
  <si>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</si>
  <si>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</si>
  <si>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</si>
  <si>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</si>
  <si>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</si>
  <si>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</si>
  <si>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</si>
  <si>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</si>
  <si>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</si>
  <si>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</si>
  <si>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</si>
  <si>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</si>
  <si>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</si>
  <si>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</si>
  <si>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</si>
  <si>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</si>
  <si>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</si>
  <si>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</si>
  <si>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</si>
  <si>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</si>
  <si>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</si>
  <si>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</si>
  <si>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</si>
  <si>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</si>
  <si>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</si>
  <si>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</si>
  <si>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</si>
  <si>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</si>
  <si>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</si>
  <si>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</si>
  <si>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</si>
  <si>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</si>
  <si>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</si>
  <si>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</si>
  <si>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</si>
  <si>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</si>
  <si>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</si>
  <si>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</si>
  <si>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</si>
  <si>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</si>
  <si>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</si>
  <si>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</si>
  <si>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</si>
  <si>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</si>
  <si>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</si>
  <si>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</si>
  <si>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</si>
  <si>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</si>
  <si>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</si>
  <si>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</si>
  <si>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</si>
  <si>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</si>
  <si>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</si>
  <si>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</si>
  <si>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</si>
  <si>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</si>
  <si>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</si>
  <si>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</si>
  <si>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</si>
  <si>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</si>
  <si>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</si>
  <si>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</si>
  <si>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</si>
  <si>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</si>
  <si>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</si>
  <si>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</si>
  <si>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</si>
  <si>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</si>
  <si>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</si>
  <si>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</si>
  <si>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</si>
  <si>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</si>
  <si>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</si>
  <si>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</si>
  <si>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</si>
  <si>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</si>
  <si>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</si>
  <si>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</si>
  <si>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</si>
  <si>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</si>
  <si>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</si>
  <si>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</si>
  <si>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</si>
  <si>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</si>
  <si>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</si>
  <si>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</si>
  <si>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</si>
  <si>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</si>
  <si>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</si>
  <si>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</si>
  <si>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</si>
  <si>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</si>
  <si>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</si>
  <si>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</si>
  <si>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</si>
  <si>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</si>
  <si>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</si>
  <si>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</si>
  <si>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</si>
  <si>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</si>
  <si>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</si>
  <si>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</si>
  <si>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</si>
  <si>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</si>
  <si>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</si>
  <si>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</si>
  <si>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</si>
  <si>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</si>
  <si>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</si>
  <si>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</si>
  <si>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</si>
  <si>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</si>
  <si>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</si>
  <si>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</si>
  <si>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</si>
  <si>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</si>
  <si>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</si>
  <si>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</si>
  <si>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</si>
  <si>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</si>
  <si>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</si>
  <si>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</si>
  <si>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</si>
  <si>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</si>
  <si>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</si>
  <si>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</si>
  <si>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</si>
  <si>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</si>
  <si>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</si>
  <si>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</si>
  <si>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</si>
  <si>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</si>
  <si>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</si>
  <si>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</si>
  <si>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</si>
  <si>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</si>
  <si>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</si>
  <si>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</si>
  <si>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</si>
  <si>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</si>
  <si>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</si>
  <si>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</si>
  <si>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</si>
  <si>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</si>
  <si>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</si>
  <si>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</si>
  <si>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</si>
  <si>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</si>
  <si>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</si>
  <si>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</si>
  <si>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</si>
  <si>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</si>
  <si>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</si>
  <si>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</si>
  <si>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</si>
  <si>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</si>
  <si>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</si>
  <si>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</si>
  <si>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</si>
  <si>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</si>
  <si>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</si>
  <si>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</si>
  <si>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</si>
  <si>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</si>
  <si>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</si>
  <si>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</si>
  <si>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</si>
  <si>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</si>
  <si>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</si>
  <si>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</si>
  <si>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</si>
  <si>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</si>
  <si>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</si>
  <si>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</si>
  <si>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</si>
  <si>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</si>
  <si>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</si>
  <si>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</si>
  <si>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</si>
  <si>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</si>
  <si>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</si>
  <si>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</si>
  <si>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</si>
  <si>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</si>
  <si>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</si>
  <si>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</si>
  <si>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</si>
  <si>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</si>
  <si>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</si>
  <si>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</si>
  <si>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</si>
  <si>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</si>
  <si>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</si>
  <si>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</si>
  <si>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</si>
  <si>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</si>
  <si>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</si>
  <si>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</si>
  <si>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</si>
  <si>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</si>
  <si>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</si>
  <si>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</si>
  <si>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</si>
  <si>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</si>
  <si>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</si>
  <si>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</si>
  <si>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</si>
  <si>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</si>
  <si>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</si>
  <si>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</si>
  <si>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</si>
  <si>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</si>
  <si>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</si>
  <si>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</si>
  <si>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</si>
  <si>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</si>
  <si>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</si>
  <si>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</si>
  <si>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</si>
  <si>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</si>
  <si>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</si>
  <si>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</si>
  <si>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</si>
  <si>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</si>
  <si>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</si>
  <si>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</si>
  <si>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</si>
  <si>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</si>
  <si>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</si>
  <si>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</si>
  <si>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</si>
  <si>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</si>
  <si>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</si>
  <si>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</si>
  <si>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</si>
  <si>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</si>
  <si>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</si>
  <si>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</si>
  <si>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</si>
  <si>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</si>
  <si>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</si>
  <si>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</si>
  <si>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</si>
  <si>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</si>
  <si>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</si>
  <si>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</si>
  <si>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</si>
  <si>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</si>
  <si>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</si>
  <si>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</si>
  <si>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</si>
  <si>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</si>
  <si>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</si>
  <si>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</si>
  <si>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</si>
  <si>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</si>
  <si>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</si>
  <si>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</si>
  <si>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</si>
  <si>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</si>
  <si>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</si>
  <si>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</si>
  <si>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</si>
  <si>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</si>
  <si>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</si>
  <si>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</si>
  <si>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</si>
  <si>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</si>
  <si>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</si>
  <si>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</si>
  <si>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</si>
  <si>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</si>
  <si>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</si>
  <si>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</si>
  <si>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</si>
  <si>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</si>
  <si>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</si>
  <si>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</si>
  <si>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</si>
  <si>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</si>
  <si>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</si>
  <si>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</si>
  <si>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</si>
  <si>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</si>
  <si>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</si>
  <si>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</si>
  <si>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</si>
  <si>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</si>
  <si>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</si>
  <si>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</si>
  <si>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</si>
  <si>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</si>
  <si>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</si>
  <si>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</si>
  <si>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</si>
  <si>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</si>
  <si>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</si>
  <si>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</si>
  <si>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</si>
  <si>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</si>
  <si>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</si>
  <si>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</si>
  <si>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</si>
  <si>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</si>
  <si>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</si>
  <si>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</si>
  <si>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</si>
  <si>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</si>
  <si>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</si>
  <si>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</si>
  <si>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</si>
  <si>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</si>
  <si>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</si>
  <si>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</si>
  <si>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</si>
  <si>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</si>
  <si>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</si>
  <si>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</si>
  <si>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</si>
  <si>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</si>
  <si>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</si>
  <si>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</si>
  <si>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</si>
  <si>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</si>
  <si>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</si>
  <si>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</si>
  <si>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</si>
  <si>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</si>
  <si>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</si>
  <si>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</si>
  <si>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</si>
  <si>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</si>
  <si>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</si>
  <si>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</si>
  <si>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</si>
  <si>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</si>
  <si>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</si>
  <si>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</si>
  <si>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</si>
  <si>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</si>
  <si>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</si>
  <si>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</si>
  <si>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</si>
  <si>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</si>
  <si>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</si>
  <si>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</si>
  <si>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</si>
  <si>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</si>
  <si>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</si>
  <si>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</si>
  <si>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</si>
  <si>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</si>
  <si>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</si>
  <si>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</si>
  <si>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</si>
  <si>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</si>
  <si>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</si>
  <si>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</si>
  <si>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</si>
  <si>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</si>
  <si>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</si>
  <si>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</si>
  <si>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</si>
  <si>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</si>
  <si>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</si>
  <si>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</si>
  <si>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</si>
  <si>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</si>
  <si>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</si>
  <si>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</si>
  <si>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</si>
  <si>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</si>
  <si>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</si>
  <si>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</si>
  <si>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</si>
  <si>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</si>
  <si>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</si>
  <si>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</si>
  <si>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</si>
  <si>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</si>
  <si>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</si>
  <si>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</si>
  <si>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</si>
  <si>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</si>
  <si>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</si>
  <si>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</si>
  <si>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</si>
  <si>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</si>
  <si>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</si>
  <si>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</si>
  <si>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</si>
  <si>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</si>
  <si>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</si>
  <si>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</si>
  <si>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</si>
  <si>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</si>
  <si>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</si>
  <si>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</si>
  <si>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</si>
  <si>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</si>
  <si>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</si>
  <si>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</si>
  <si>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</si>
  <si>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</si>
  <si>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</si>
  <si>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</si>
  <si>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</si>
  <si>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</si>
  <si>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</si>
  <si>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</si>
  <si>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</si>
  <si>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</si>
  <si>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</si>
  <si>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</si>
  <si>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</si>
  <si>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</si>
  <si>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</si>
  <si>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</si>
  <si>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</si>
  <si>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</si>
  <si>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</si>
  <si>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</si>
  <si>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</si>
  <si>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</si>
  <si>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</si>
  <si>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</si>
  <si>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</si>
  <si>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</si>
  <si>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</si>
  <si>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</si>
  <si>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</si>
  <si>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</si>
  <si>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</si>
  <si>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</si>
  <si>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</si>
  <si>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</si>
  <si>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</si>
  <si>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</si>
  <si>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</si>
  <si>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</si>
  <si>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</si>
  <si>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</si>
  <si>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</si>
  <si>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</si>
  <si>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</si>
  <si>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</si>
  <si>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</si>
  <si>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</si>
  <si>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</si>
  <si>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</si>
  <si>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</si>
  <si>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</si>
  <si>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</si>
  <si>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</si>
  <si>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</si>
  <si>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</si>
  <si>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</si>
  <si>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</si>
  <si>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</si>
  <si>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</si>
  <si>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</si>
  <si>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</si>
  <si>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</si>
  <si>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</si>
  <si>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</si>
  <si>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</si>
  <si>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</si>
  <si>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</si>
  <si>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</si>
  <si>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</si>
  <si>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</si>
  <si>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</si>
  <si>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</si>
  <si>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</si>
  <si>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</si>
  <si>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</si>
  <si>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</si>
  <si>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</si>
  <si>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</si>
  <si>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</si>
  <si>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</si>
  <si>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</si>
  <si>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</si>
  <si>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</si>
  <si>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</si>
  <si>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</si>
  <si>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</si>
  <si>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</si>
  <si>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</si>
  <si>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</si>
  <si>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</si>
  <si>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</si>
  <si>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</si>
  <si>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</si>
  <si>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</si>
  <si>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</si>
  <si>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</si>
  <si>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</si>
  <si>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</si>
  <si>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</si>
  <si>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</si>
  <si>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</si>
  <si>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</si>
  <si>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</si>
  <si>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</si>
  <si>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</si>
  <si>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</si>
  <si>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</si>
  <si>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</si>
  <si>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</si>
  <si>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</si>
  <si>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</si>
  <si>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</si>
  <si>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</si>
  <si>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</si>
  <si>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</si>
  <si>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</si>
  <si>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</si>
  <si>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</si>
  <si>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</si>
  <si>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</si>
  <si>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</si>
  <si>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</si>
  <si>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</si>
  <si>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</si>
  <si>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</si>
  <si>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</si>
  <si>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</si>
  <si>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</si>
  <si>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</si>
  <si>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</si>
  <si>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</si>
  <si>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</si>
  <si>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</si>
  <si>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</si>
  <si>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</si>
  <si>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</si>
  <si>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</si>
  <si>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</si>
  <si>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</si>
  <si>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</si>
  <si>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</si>
  <si>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</si>
  <si>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</si>
  <si>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</si>
  <si>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</si>
  <si>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</si>
  <si>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</si>
  <si>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</si>
  <si>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</si>
  <si>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</si>
  <si>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</si>
  <si>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</si>
  <si>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</si>
  <si>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</si>
  <si>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</si>
  <si>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</si>
  <si>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</si>
  <si>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</si>
  <si>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</si>
  <si>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</si>
  <si>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</si>
  <si>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</si>
  <si>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</si>
  <si>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</si>
  <si>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</si>
  <si>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</si>
  <si>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</si>
  <si>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</si>
  <si>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</si>
  <si>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</si>
  <si>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</si>
  <si>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</si>
  <si>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</si>
  <si>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</si>
  <si>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</si>
  <si>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</si>
  <si>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</si>
  <si>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</si>
  <si>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</si>
  <si>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</si>
  <si>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</si>
  <si>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</si>
  <si>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</si>
  <si>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</si>
  <si>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</si>
  <si>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</si>
  <si>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</si>
  <si>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</si>
  <si>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</si>
  <si>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</si>
  <si>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</si>
  <si>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</si>
  <si>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</si>
  <si>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</si>
  <si>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</si>
  <si>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</si>
  <si>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</si>
  <si>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</si>
  <si>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</si>
  <si>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</si>
  <si>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</si>
  <si>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</si>
  <si>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</si>
  <si>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</si>
  <si>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</si>
  <si>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</si>
  <si>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</si>
  <si>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</si>
  <si>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</si>
  <si>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</si>
  <si>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</si>
  <si>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</si>
  <si>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</si>
  <si>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</si>
  <si>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</si>
  <si>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</si>
  <si>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</si>
  <si>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</si>
  <si>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</si>
  <si>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</si>
  <si>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</si>
  <si>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</si>
  <si>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</si>
  <si>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</si>
  <si>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</si>
  <si>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</si>
  <si>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</si>
  <si>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</si>
  <si>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</si>
  <si>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</si>
  <si>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</si>
  <si>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</si>
  <si>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</si>
  <si>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</si>
  <si>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</si>
  <si>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</si>
  <si>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</si>
  <si>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</si>
  <si>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</si>
  <si>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</si>
  <si>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</si>
  <si>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</si>
  <si>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</si>
  <si>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</si>
  <si>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</si>
  <si>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</si>
  <si>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</si>
  <si>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</si>
  <si>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</si>
  <si>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</si>
  <si>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</si>
  <si>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</si>
  <si>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</si>
  <si>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</si>
  <si>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</si>
  <si>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</si>
  <si>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</si>
  <si>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</si>
  <si>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</si>
  <si>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</si>
  <si>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</si>
  <si>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</si>
  <si>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</si>
  <si>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</si>
  <si>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</si>
  <si>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</si>
  <si>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</si>
  <si>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</si>
  <si>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</si>
  <si>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</si>
  <si>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</si>
  <si>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</si>
  <si>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</si>
  <si>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</si>
  <si>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</si>
  <si>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</si>
  <si>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</si>
  <si>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</si>
  <si>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</si>
  <si>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</si>
  <si>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</si>
  <si>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</si>
  <si>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</si>
  <si>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</si>
  <si>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</si>
  <si>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</si>
  <si>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</si>
  <si>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</si>
  <si>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</si>
  <si>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</si>
  <si>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</si>
  <si>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</si>
  <si>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</si>
  <si>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</si>
  <si>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</si>
  <si>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</si>
  <si>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</si>
  <si>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</si>
  <si>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</si>
  <si>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</si>
  <si>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</si>
  <si>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</si>
  <si>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</si>
  <si>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</si>
  <si>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</si>
  <si>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</si>
  <si>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</si>
  <si>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</si>
  <si>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</si>
  <si>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</si>
  <si>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</si>
  <si>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</si>
  <si>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</si>
  <si>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</si>
  <si>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</si>
  <si>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</si>
  <si>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</si>
  <si>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</si>
  <si>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</si>
  <si>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</si>
  <si>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</si>
  <si>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</si>
  <si>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</si>
  <si>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</si>
  <si>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</si>
  <si>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</si>
  <si>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</si>
  <si>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</si>
  <si>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</si>
  <si>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</si>
  <si>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</si>
  <si>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</si>
  <si>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</si>
  <si>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</si>
  <si>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</si>
  <si>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</si>
  <si>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</si>
  <si>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</si>
  <si>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</si>
  <si>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</si>
  <si>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</si>
  <si>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</si>
  <si>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</si>
  <si>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</si>
  <si>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</si>
  <si>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</si>
  <si>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</si>
  <si>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</si>
  <si>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</si>
  <si>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</si>
  <si>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</si>
  <si>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</si>
  <si>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</si>
  <si>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</si>
  <si>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</si>
  <si>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</si>
  <si>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</si>
  <si>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</si>
  <si>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</si>
  <si>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</si>
  <si>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</si>
  <si>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</si>
  <si>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</si>
  <si>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</si>
  <si>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</si>
  <si>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</si>
  <si>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</si>
  <si>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</si>
  <si>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</si>
  <si>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</si>
  <si>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</si>
  <si>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</si>
  <si>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</si>
  <si>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</si>
  <si>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</si>
  <si>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</si>
  <si>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</si>
  <si>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</si>
  <si>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</si>
  <si>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</si>
  <si>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</si>
  <si>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</si>
  <si>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</si>
  <si>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</si>
  <si>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</si>
  <si>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</si>
  <si>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</si>
  <si>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</si>
  <si>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</si>
  <si>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</si>
  <si>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</si>
  <si>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</si>
  <si>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</si>
  <si>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</si>
  <si>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</si>
  <si>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</si>
  <si>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</si>
  <si>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</si>
  <si>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</si>
  <si>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</si>
  <si>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</si>
  <si>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</si>
  <si>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</si>
  <si>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</si>
  <si>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</si>
  <si>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</si>
  <si>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</si>
  <si>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</si>
  <si>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</si>
  <si>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</si>
  <si>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</si>
  <si>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</si>
  <si>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</si>
  <si>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</si>
  <si>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</si>
  <si>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</si>
  <si>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</si>
  <si>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</si>
  <si>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</si>
  <si>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</si>
  <si>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</si>
  <si>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</si>
  <si>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</si>
  <si>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</si>
  <si>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</si>
  <si>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</si>
  <si>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</si>
  <si>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</si>
  <si>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</si>
  <si>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</si>
  <si>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</si>
  <si>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</si>
  <si>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</si>
  <si>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</si>
  <si>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</si>
  <si>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</si>
  <si>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</si>
  <si>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</si>
  <si>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</si>
  <si>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</si>
  <si>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</si>
  <si>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</si>
  <si>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</si>
  <si>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</si>
  <si>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</si>
  <si>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</si>
  <si>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</si>
  <si>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</si>
  <si>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</si>
  <si>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</si>
  <si>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</si>
  <si>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</si>
  <si>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</si>
  <si>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</si>
  <si>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</si>
  <si>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</si>
  <si>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</si>
  <si>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</si>
  <si>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</si>
  <si>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</si>
  <si>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</si>
  <si>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</si>
  <si>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</si>
  <si>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</si>
  <si>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</si>
  <si>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</si>
  <si>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</si>
  <si>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</si>
  <si>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</si>
  <si>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</si>
  <si>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</si>
  <si>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</si>
  <si>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</si>
  <si>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</si>
  <si>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</si>
  <si>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</si>
  <si>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</si>
  <si>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</si>
  <si>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</si>
  <si>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</si>
  <si>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</si>
  <si>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</si>
  <si>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</si>
  <si>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</si>
  <si>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</si>
  <si>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</si>
  <si>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</si>
  <si>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</si>
  <si>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</si>
  <si>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</si>
  <si>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</si>
  <si>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</si>
  <si>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</si>
  <si>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</si>
  <si>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</si>
  <si>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</si>
  <si>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</si>
  <si>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</si>
  <si>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</si>
  <si>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</si>
  <si>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</si>
  <si>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</si>
  <si>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</si>
  <si>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</si>
  <si>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</si>
  <si>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</si>
  <si>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</si>
  <si>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</si>
  <si>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</si>
  <si>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</si>
  <si>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</si>
  <si>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</si>
  <si>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</si>
  <si>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</si>
  <si>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</si>
  <si>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</si>
  <si>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</si>
  <si>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</si>
  <si>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</si>
  <si>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</si>
  <si>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</si>
  <si>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</si>
  <si>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</si>
  <si>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</si>
  <si>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</si>
  <si>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</si>
  <si>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</si>
  <si>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</si>
  <si>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</si>
  <si>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</si>
  <si>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</si>
  <si>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</si>
  <si>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</si>
  <si>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</si>
  <si>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</si>
  <si>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</si>
  <si>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</si>
  <si>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</si>
  <si>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</si>
  <si>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</si>
  <si>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</si>
  <si>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</si>
  <si>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</si>
  <si>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</si>
  <si>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</si>
  <si>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</si>
  <si>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</si>
  <si>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</si>
  <si>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</si>
  <si>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</si>
  <si>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</si>
  <si>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</si>
  <si>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</si>
  <si>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</si>
  <si>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</si>
  <si>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</si>
  <si>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</si>
  <si>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</si>
  <si>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</si>
  <si>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</si>
  <si>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</si>
  <si>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</si>
  <si>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</si>
  <si>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</si>
  <si>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</si>
  <si>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</si>
  <si>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</si>
  <si>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</si>
  <si>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</si>
  <si>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</si>
  <si>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</si>
  <si>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</si>
  <si>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</si>
  <si>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</si>
  <si>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</si>
  <si>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</si>
  <si>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</si>
  <si>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</si>
  <si>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</si>
  <si>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</si>
  <si>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</si>
  <si>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</si>
  <si>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</si>
  <si>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</si>
  <si>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</si>
  <si>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</si>
  <si>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</si>
  <si>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</si>
  <si>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</si>
  <si>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</si>
  <si>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</si>
  <si>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</si>
  <si>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</si>
  <si>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</si>
  <si>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</si>
  <si>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</si>
  <si>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</si>
  <si>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</si>
  <si>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</si>
  <si>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</si>
  <si>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</si>
  <si>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</si>
  <si>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</si>
  <si>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</si>
  <si>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</si>
  <si>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</si>
  <si>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</si>
  <si>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</si>
  <si>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</si>
  <si>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</si>
  <si>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</si>
  <si>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</si>
  <si>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</si>
  <si>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</si>
  <si>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</si>
  <si>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</si>
  <si>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</si>
  <si>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</si>
  <si>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</si>
  <si>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</si>
  <si>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</si>
  <si>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</si>
  <si>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</si>
  <si>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</si>
  <si>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</si>
  <si>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</si>
  <si>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</si>
  <si>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</si>
  <si>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</si>
  <si>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</si>
  <si>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</si>
  <si>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</si>
  <si>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</si>
  <si>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</si>
  <si>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</si>
  <si>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</si>
  <si>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</si>
  <si>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</si>
  <si>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</si>
  <si>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</si>
  <si>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</si>
  <si>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</si>
  <si>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</si>
  <si>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</si>
  <si>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</si>
  <si>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</si>
  <si>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</si>
  <si>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</si>
  <si>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</si>
  <si>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</si>
  <si>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</si>
  <si>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</si>
  <si>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</si>
  <si>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</si>
  <si>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</si>
  <si>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</si>
  <si>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</si>
  <si>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</si>
  <si>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</si>
  <si>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</si>
  <si>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</si>
  <si>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</si>
  <si>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</si>
  <si>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</si>
  <si>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</si>
  <si>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</si>
  <si>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</si>
  <si>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</si>
  <si>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</si>
  <si>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</si>
  <si>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</si>
  <si>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</si>
  <si>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</si>
  <si>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</si>
  <si>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</si>
  <si>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</si>
  <si>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</si>
  <si>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</si>
  <si>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</si>
  <si>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</si>
  <si>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</si>
  <si>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</si>
  <si>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</si>
  <si>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</si>
  <si>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</si>
  <si>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</si>
  <si>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</si>
  <si>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</si>
  <si>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</si>
  <si>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</si>
  <si>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</si>
  <si>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</si>
  <si>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</si>
  <si>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</si>
  <si>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</si>
  <si>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</si>
  <si>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</si>
  <si>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</si>
  <si>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</si>
  <si>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</si>
  <si>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</si>
  <si>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</si>
  <si>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</si>
  <si>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</si>
  <si>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</si>
  <si>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</si>
  <si>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</si>
  <si>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</si>
  <si>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</si>
  <si>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</si>
  <si>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</si>
  <si>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</si>
  <si>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</si>
  <si>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</si>
  <si>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</si>
  <si>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</si>
  <si>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</si>
  <si>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</si>
  <si>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</si>
  <si>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</si>
  <si>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</si>
  <si>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</si>
  <si>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</si>
  <si>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</si>
  <si>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</si>
  <si>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</si>
  <si>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</si>
  <si>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</si>
  <si>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</si>
  <si>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</si>
  <si>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</si>
  <si>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</si>
  <si>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</si>
  <si>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</si>
  <si>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</si>
  <si>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</si>
  <si>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</si>
  <si>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</si>
  <si>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</si>
  <si>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</si>
  <si>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</si>
  <si>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</si>
  <si>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</si>
  <si>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</si>
  <si>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</si>
  <si>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</si>
  <si>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</si>
  <si>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</si>
  <si>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</si>
  <si>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</si>
  <si>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</si>
  <si>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</si>
  <si>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</si>
  <si>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</si>
  <si>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</si>
  <si>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</si>
  <si>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</si>
  <si>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</si>
  <si>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</si>
  <si>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</si>
  <si>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</si>
  <si>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</si>
  <si>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</si>
  <si>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</si>
  <si>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</si>
  <si>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</si>
  <si>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</si>
  <si>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</si>
  <si>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</si>
  <si>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</si>
  <si>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</si>
  <si>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</si>
  <si>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</si>
  <si>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</si>
  <si>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</si>
  <si>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</si>
  <si>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</si>
  <si>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</si>
  <si>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</si>
  <si>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</si>
  <si>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</si>
  <si>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</si>
  <si>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</si>
  <si>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</si>
  <si>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</si>
  <si>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</si>
  <si>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</si>
  <si>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</si>
  <si>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</si>
  <si>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</si>
  <si>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</si>
  <si>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</si>
  <si>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</si>
  <si>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</si>
  <si>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</si>
  <si>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</si>
  <si>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</si>
  <si>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</si>
  <si>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</si>
  <si>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</si>
  <si>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</si>
  <si>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</si>
  <si>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</si>
  <si>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</si>
  <si>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</si>
  <si>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</si>
  <si>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</si>
  <si>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</si>
  <si>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</si>
  <si>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</si>
  <si>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</si>
  <si>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</si>
  <si>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</si>
  <si>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</si>
  <si>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</si>
  <si>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</si>
  <si>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</si>
  <si>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</si>
  <si>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</si>
  <si>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</si>
  <si>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</si>
  <si>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</si>
  <si>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</si>
  <si>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</si>
  <si>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</si>
  <si>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</si>
  <si>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</si>
  <si>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</si>
  <si>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</si>
  <si>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</si>
  <si>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</si>
  <si>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</si>
  <si>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</si>
  <si>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</si>
  <si>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</si>
  <si>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</si>
  <si>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</si>
  <si>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</si>
  <si>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</si>
  <si>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</si>
  <si>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</si>
  <si>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</si>
  <si>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</si>
  <si>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</si>
  <si>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</si>
  <si>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</si>
  <si>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</si>
  <si>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</si>
  <si>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</si>
  <si>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</si>
  <si>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</si>
  <si>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</si>
  <si>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</si>
  <si>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</si>
  <si>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</si>
  <si>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</si>
  <si>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</si>
  <si>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</si>
  <si>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</si>
  <si>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</si>
  <si>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</si>
  <si>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</si>
  <si>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</si>
  <si>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</si>
  <si>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</si>
  <si>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</si>
  <si>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</si>
  <si>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</si>
  <si>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</si>
  <si>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</si>
  <si>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</si>
  <si>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</si>
  <si>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</si>
  <si>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</si>
  <si>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</si>
  <si>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</si>
  <si>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</si>
  <si>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</si>
  <si>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</si>
  <si>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</si>
  <si>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</si>
  <si>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</si>
  <si>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</si>
  <si>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</si>
  <si>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</si>
  <si>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</si>
  <si>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</si>
  <si>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</si>
  <si>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</si>
  <si>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</si>
  <si>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</si>
  <si>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</si>
  <si>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</si>
  <si>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</si>
  <si>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</si>
  <si>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</si>
  <si>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</si>
  <si>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</si>
  <si>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</si>
  <si>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</si>
  <si>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</si>
  <si>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</si>
  <si>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</si>
  <si>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</si>
  <si>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</si>
  <si>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</si>
  <si>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</si>
  <si>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</si>
  <si>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</si>
  <si>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</si>
  <si>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</si>
  <si>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</si>
  <si>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</si>
  <si>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</si>
  <si>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</si>
  <si>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</si>
  <si>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</si>
  <si>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</si>
  <si>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</si>
  <si>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</si>
  <si>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</si>
  <si>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</si>
  <si>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</si>
  <si>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</si>
  <si>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</si>
  <si>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</si>
  <si>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</si>
  <si>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</si>
  <si>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</si>
  <si>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</si>
  <si>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</si>
  <si>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</si>
  <si>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</si>
  <si>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</si>
  <si>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</si>
  <si>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</si>
  <si>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</si>
  <si>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</si>
  <si>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</si>
  <si>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</si>
  <si>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</si>
  <si>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</si>
  <si>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</si>
  <si>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</si>
  <si>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</si>
  <si>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</si>
  <si>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</si>
  <si>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</si>
  <si>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</si>
  <si>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</si>
  <si>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</si>
  <si>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</si>
  <si>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</si>
  <si>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</si>
  <si>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</si>
  <si>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</si>
  <si>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</si>
  <si>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</si>
  <si>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</si>
  <si>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</si>
  <si>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</si>
  <si>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</si>
  <si>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</si>
  <si>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</si>
  <si>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</si>
  <si>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</si>
  <si>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</si>
  <si>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</si>
  <si>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</si>
  <si>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</si>
  <si>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</si>
  <si>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</si>
  <si>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</si>
  <si>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</si>
  <si>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</si>
  <si>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</si>
  <si>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</si>
  <si>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</si>
  <si>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</si>
  <si>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</si>
  <si>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</si>
  <si>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</si>
  <si>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</si>
  <si>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</si>
  <si>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</si>
  <si>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</si>
  <si>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</si>
  <si>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</si>
  <si>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</si>
  <si>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</si>
  <si>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</si>
  <si>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</si>
  <si>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</si>
  <si>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</si>
  <si>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</si>
  <si>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</si>
  <si>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</si>
  <si>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</si>
  <si>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</si>
  <si>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</si>
  <si>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</si>
  <si>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</si>
  <si>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</si>
  <si>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</si>
  <si>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</si>
  <si>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</si>
  <si>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</si>
  <si>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</si>
  <si>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</si>
  <si>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</si>
  <si>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</si>
  <si>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</si>
  <si>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</si>
  <si>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</si>
  <si>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</si>
  <si>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</si>
  <si>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</si>
  <si>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</si>
  <si>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</si>
  <si>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</si>
  <si>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</si>
  <si>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</si>
  <si>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</si>
  <si>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</si>
  <si>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</si>
  <si>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</si>
  <si>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</si>
  <si>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</si>
  <si>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</si>
  <si>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</si>
  <si>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</si>
  <si>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</si>
  <si>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</si>
  <si>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</si>
  <si>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</si>
  <si>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</si>
  <si>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</si>
  <si>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</si>
  <si>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</si>
  <si>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</si>
  <si>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</si>
  <si>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</si>
  <si>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</si>
  <si>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</si>
  <si>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</si>
  <si>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</si>
  <si>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</si>
  <si>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</si>
  <si>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</si>
  <si>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</si>
  <si>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</si>
  <si>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</si>
  <si>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</si>
  <si>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</si>
  <si>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</si>
  <si>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</si>
  <si>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</si>
  <si>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</si>
  <si>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</si>
  <si>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</si>
  <si>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</si>
  <si>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</si>
  <si>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</si>
  <si>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</si>
  <si>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</si>
  <si>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</si>
  <si>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</si>
  <si>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</si>
  <si>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</si>
  <si>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</si>
  <si>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</si>
  <si>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</si>
  <si>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</si>
  <si>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</si>
  <si>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</si>
  <si>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</si>
  <si>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</si>
  <si>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</si>
  <si>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</si>
  <si>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</si>
  <si>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</si>
  <si>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</si>
  <si>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</si>
  <si>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</si>
  <si>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</si>
  <si>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</si>
  <si>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</si>
  <si>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</si>
  <si>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</si>
  <si>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</si>
  <si>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</si>
  <si>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</si>
  <si>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</si>
  <si>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</si>
  <si>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</si>
  <si>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</si>
  <si>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</si>
  <si>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</si>
  <si>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</si>
  <si>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</si>
  <si>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</si>
  <si>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</si>
  <si>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</si>
  <si>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</si>
  <si>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</si>
  <si>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</si>
  <si>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</si>
  <si>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</si>
  <si>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</si>
  <si>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</si>
  <si>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</si>
  <si>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</si>
  <si>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</si>
  <si>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</si>
  <si>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</si>
  <si>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</si>
  <si>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</si>
  <si>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</si>
  <si>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</si>
  <si>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</si>
  <si>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</si>
  <si>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</si>
  <si>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</si>
  <si>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</si>
  <si>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</si>
  <si>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</si>
  <si>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</si>
  <si>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</si>
  <si>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</si>
  <si>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</si>
  <si>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</si>
  <si>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</si>
  <si>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</si>
  <si>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</si>
  <si>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</si>
  <si>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</si>
  <si>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</si>
  <si>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</si>
  <si>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</si>
  <si>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</si>
  <si>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</si>
  <si>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</si>
  <si>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</si>
  <si>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</si>
  <si>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</si>
  <si>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</si>
  <si>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</si>
  <si>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</si>
  <si>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</si>
  <si>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</si>
  <si>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</si>
  <si>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</si>
  <si>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</si>
  <si>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</si>
  <si>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</si>
  <si>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</si>
  <si>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</si>
  <si>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</si>
  <si>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</si>
  <si>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</si>
  <si>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</si>
  <si>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</si>
  <si>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</si>
  <si>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</si>
  <si>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</si>
  <si>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</si>
  <si>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</si>
  <si>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</si>
  <si>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</si>
  <si>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</si>
  <si>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</si>
  <si>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</si>
  <si>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</si>
  <si>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</si>
  <si>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</si>
  <si>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</si>
  <si>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</si>
  <si>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</si>
  <si>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</si>
  <si>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</si>
  <si>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</si>
  <si>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</si>
  <si>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</si>
  <si>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</si>
  <si>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</si>
  <si>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</si>
  <si>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</si>
  <si>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</si>
  <si>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</si>
  <si>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</si>
  <si>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</si>
  <si>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</si>
  <si>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</si>
  <si>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</si>
  <si>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</si>
  <si>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</si>
  <si>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</si>
  <si>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</si>
  <si>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</si>
  <si>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</si>
  <si>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</si>
  <si>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</si>
  <si>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</si>
  <si>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</si>
  <si>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</si>
  <si>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</si>
  <si>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</si>
  <si>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</si>
  <si>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</si>
  <si>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</si>
  <si>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</si>
  <si>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</si>
  <si>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</si>
  <si>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</si>
  <si>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</si>
  <si>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</si>
  <si>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</si>
  <si>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</si>
  <si>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</si>
  <si>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</si>
  <si>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</si>
  <si>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</si>
  <si>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</si>
  <si>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</si>
  <si>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</si>
  <si>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</si>
  <si>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</si>
  <si>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</si>
  <si>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</si>
  <si>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</si>
  <si>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</si>
  <si>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</si>
  <si>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</si>
  <si>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</si>
  <si>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</si>
  <si>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</si>
  <si>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</si>
  <si>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</si>
  <si>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</si>
  <si>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</si>
  <si>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</si>
  <si>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</si>
  <si>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</si>
  <si>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</si>
  <si>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</si>
  <si>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</si>
  <si>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</si>
  <si>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商业</t>
    <phoneticPr fontId="224" type="noConversion"/>
  </si>
  <si>
    <t>挂牌</t>
    <phoneticPr fontId="224" type="noConversion"/>
  </si>
  <si>
    <t>好</t>
  </si>
  <si>
    <t>一般</t>
  </si>
  <si>
    <t>较差</t>
  </si>
  <si>
    <t>差</t>
  </si>
  <si>
    <r>
      <t>1-4</t>
    </r>
    <r>
      <rPr>
        <sz val="11"/>
        <color indexed="8"/>
        <rFont val="宋体"/>
        <family val="3"/>
        <charset val="134"/>
      </rPr>
      <t>层</t>
    </r>
    <phoneticPr fontId="224" type="noConversion"/>
  </si>
  <si>
    <r>
      <t>1-2</t>
    </r>
    <r>
      <rPr>
        <sz val="11"/>
        <color indexed="8"/>
        <rFont val="宋体"/>
        <family val="3"/>
        <charset val="134"/>
      </rPr>
      <t>层</t>
    </r>
    <phoneticPr fontId="224" type="noConversion"/>
  </si>
  <si>
    <r>
      <t>1</t>
    </r>
    <r>
      <rPr>
        <sz val="11"/>
        <color indexed="8"/>
        <rFont val="宋体"/>
        <family val="3"/>
        <charset val="134"/>
      </rPr>
      <t>层</t>
    </r>
    <phoneticPr fontId="224" type="noConversion"/>
  </si>
  <si>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</si>
  <si>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</si>
  <si>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</si>
  <si>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</si>
  <si>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</si>
  <si>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</si>
  <si>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</si>
  <si>
    <t>不可餐饮</t>
    <phoneticPr fontId="224" type="noConversion"/>
  </si>
  <si>
    <r>
      <t>1-3</t>
    </r>
    <r>
      <rPr>
        <sz val="11"/>
        <rFont val="宋体"/>
        <family val="3"/>
        <charset val="134"/>
      </rPr>
      <t>层</t>
    </r>
    <phoneticPr fontId="224" type="noConversion"/>
  </si>
  <si>
    <t>比较法-商业</t>
  </si>
  <si>
    <t>配套商业</t>
  </si>
  <si>
    <t>配套商业</t>
    <phoneticPr fontId="224" type="noConversion"/>
  </si>
  <si>
    <t>钢混</t>
    <phoneticPr fontId="224" type="noConversion"/>
  </si>
  <si>
    <t>精装</t>
    <phoneticPr fontId="224" type="noConversion"/>
  </si>
  <si>
    <t>标准</t>
    <phoneticPr fontId="224" type="noConversion"/>
  </si>
  <si>
    <t>简装</t>
    <phoneticPr fontId="224" type="noConversion"/>
  </si>
  <si>
    <t>毛坯</t>
    <phoneticPr fontId="224" type="noConversion"/>
  </si>
  <si>
    <t>楼面单价</t>
  </si>
  <si>
    <t>自然人</t>
  </si>
  <si>
    <t>1层</t>
  </si>
  <si>
    <t>自定义容积率</t>
  </si>
  <si>
    <t>楼层修正</t>
  </si>
  <si>
    <t>与级别开发程度不一致</t>
  </si>
  <si>
    <t>按公示增长率计算</t>
  </si>
  <si>
    <t>中心城区</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</si>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</sst>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04">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6" fillId="0" borderId="0" xfId="0" applyFont="1" applyAlignment="1">
      <alignment horizontal="center" vertical="center"/>
    </xf>
    <xf numFmtId="0" fontId="89"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332905</xdr:colOff>
      <xdr:row>33</xdr:row>
      <xdr:rowOff>142150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3761905" cy="5800000"/>
        </a:xfrm>
        <a:prstGeom prst="rect">
          <a:avLst/>
        </a:prstGeom>
      </xdr:spPr>
    </xdr:pic>
    <xdr:clientData/>
  </xdr:twoCellAnchor>
  <xdr:twoCellAnchor editAs="oneCell">
    <xdr:from>
      <xdr:col>6</xdr:col>
      <xdr:colOff>0</xdr:colOff>
      <xdr:row>0</xdr:row>
      <xdr:rowOff>0</xdr:rowOff>
    </xdr:from>
    <xdr:to>
      <xdr:col>11</xdr:col>
      <xdr:colOff>142429</xdr:colOff>
      <xdr:row>33</xdr:row>
      <xdr:rowOff>18340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4114800" y="0"/>
          <a:ext cx="3571429" cy="5676190"/>
        </a:xfrm>
        <a:prstGeom prst="rect">
          <a:avLst/>
        </a:prstGeom>
      </xdr:spPr>
    </xdr:pic>
    <xdr:clientData/>
  </xdr:twoCellAnchor>
  <xdr:twoCellAnchor editAs="oneCell">
    <xdr:from>
      <xdr:col>11</xdr:col>
      <xdr:colOff>0</xdr:colOff>
      <xdr:row>0</xdr:row>
      <xdr:rowOff>0</xdr:rowOff>
    </xdr:from>
    <xdr:to>
      <xdr:col>16</xdr:col>
      <xdr:colOff>171000</xdr:colOff>
      <xdr:row>12</xdr:row>
      <xdr:rowOff>152124</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7543800" y="0"/>
          <a:ext cx="3600000" cy="2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1" customWidth="1"/>
    <col min="2" max="2" width="81" style="3152" customWidth="1"/>
    <col min="3" max="16384" width="9" style="3150"/>
  </cols>
  <sheetData>
    <row r="1" spans="1:2" s="3148" customFormat="1">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估价对象为北京市房地产，为所有。根据《国有土地使用证》[]，估价对象（分摊）出让国有建设用地使用权面积为0平方米，建筑面积为240.83平方米。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估价对象为北京市房地产,属开发建设的办公项目，该项目尚在开发建设中。根据《国有土地使用证》[]，估价对象（分摊）出让国有建设用地使用权面积为0平方米，规划建筑面积为240.83平方米。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2025年9月24日（评估专业人员实地查勘之日）</v>
      </c>
    </row>
    <row r="13" spans="1:2">
      <c r="A13" s="3157" t="s">
        <v>13</v>
      </c>
      <c r="B13" s="3158"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1259</v>
      </c>
    </row>
    <row r="21" spans="1:2">
      <c r="A21" s="3157" t="s">
        <v>21</v>
      </c>
      <c r="B21" s="3158">
        <f ca="1">'预评函-2'!D7</f>
        <v>52277</v>
      </c>
    </row>
    <row r="22" spans="1:2">
      <c r="A22" s="3157" t="s">
        <v>22</v>
      </c>
      <c r="B22" s="3158" t="str">
        <f ca="1">'预评函-2'!D6</f>
        <v>壹仟贰佰伍拾玖万元整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1259</v>
      </c>
    </row>
    <row r="31" spans="1:2">
      <c r="A31" s="3157" t="s">
        <v>31</v>
      </c>
      <c r="B31" s="3158">
        <f ca="1">'预评函-2'!D15</f>
        <v>52277</v>
      </c>
    </row>
    <row r="32" spans="1:2">
      <c r="A32" s="3157" t="s">
        <v>32</v>
      </c>
      <c r="B32" s="3158" t="str">
        <f ca="1">'预评函-2'!D14</f>
        <v>壹仟贰佰伍拾玖万元整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ht="31.2">
      <c r="A42" s="3157" t="s">
        <v>42</v>
      </c>
      <c r="B42" s="3158" t="str">
        <f>'预评函-3'!B2</f>
        <v>建筑面积</v>
      </c>
    </row>
    <row r="43" spans="1:2">
      <c r="A43" s="3157" t="s">
        <v>43</v>
      </c>
      <c r="B43" s="3158">
        <f>'预评函-3'!B4</f>
        <v>240.83</v>
      </c>
    </row>
    <row r="44" spans="1:2" ht="3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D26" sqref="D26"/>
    </sheetView>
  </sheetViews>
  <sheetFormatPr defaultColWidth="9" defaultRowHeight="14.4"/>
  <cols>
    <col min="1" max="1" width="13.44140625" style="3044" customWidth="1"/>
    <col min="2" max="2" width="23.21875" customWidth="1"/>
    <col min="3" max="3" width="13" style="3045" customWidth="1"/>
    <col min="4" max="4" width="5.77734375" style="3046" customWidth="1"/>
    <col min="5" max="5" width="7.109375" style="3046" customWidth="1"/>
    <col min="6" max="6" width="10.6640625" style="3046" customWidth="1"/>
    <col min="7" max="7" width="7.44140625" style="3046" customWidth="1"/>
    <col min="8" max="8" width="11.88671875" style="3045" customWidth="1"/>
    <col min="9" max="9" width="11.6640625" style="3045" customWidth="1"/>
    <col min="10" max="10" width="9" style="3045" customWidth="1"/>
    <col min="11" max="19" width="9" style="3046" customWidth="1"/>
    <col min="20" max="23" width="9" style="3045" customWidth="1"/>
    <col min="24" max="28" width="15.109375" style="3045" customWidth="1"/>
  </cols>
  <sheetData>
    <row r="1" spans="1:28" s="3043" customFormat="1" ht="43.2">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07"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296" t="s">
        <v>368</v>
      </c>
      <c r="C54" s="3045" t="s">
        <v>369</v>
      </c>
    </row>
    <row r="55" spans="1:4">
      <c r="A55" s="3207"/>
      <c r="B55" s="296" t="s">
        <v>370</v>
      </c>
      <c r="C55" s="3045" t="s">
        <v>371</v>
      </c>
    </row>
    <row r="56" spans="1:4">
      <c r="A56" s="3207"/>
      <c r="B56" s="296" t="s">
        <v>372</v>
      </c>
      <c r="C56" s="3045" t="s">
        <v>373</v>
      </c>
    </row>
    <row r="57" spans="1:4">
      <c r="A57" s="3207"/>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1875" defaultRowHeight="14.4"/>
  <cols>
    <col min="1" max="7" width="15.21875" style="2993"/>
    <col min="8" max="8" width="5.44140625" style="2993" customWidth="1"/>
    <col min="9" max="13" width="9.44140625" style="2994" customWidth="1"/>
    <col min="14" max="18" width="9.44140625" style="2993" customWidth="1"/>
    <col min="19" max="16384" width="15.2187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08" t="s">
        <v>378</v>
      </c>
      <c r="J2" s="3208"/>
      <c r="K2" s="3208"/>
      <c r="L2" s="3208"/>
      <c r="M2" s="3208"/>
      <c r="N2" s="3208"/>
      <c r="O2" s="3208"/>
      <c r="P2" s="3208"/>
      <c r="Q2" s="3208"/>
      <c r="R2" s="3208"/>
    </row>
    <row r="3" spans="1:18">
      <c r="A3" s="444" t="s">
        <v>379</v>
      </c>
      <c r="B3" s="3001">
        <f>项目基本情况!D3</f>
        <v>45924</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1.23</v>
      </c>
      <c r="D5" s="3003">
        <f>IF(ISERROR(ROUND(POWER(1+E5,A5-C5)*(POWER(1+E5,C5)-1)/(POWER(1+E5,A5)-1),3)),0,ROUND(POWER(1+E5,A5-C5)*(POWER(1+E5,C5)-1)/(POWER(1+E5,A5)-1),4))</f>
        <v>5.9499999999999997E-2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11.24</v>
      </c>
      <c r="D6" s="3003">
        <f>IF(ISERROR(ROUND(POWER(1+E6,A6-C6)*(POWER(1+E6,C6)-1)/(POWER(1+E6,A6)-1),3)),0,ROUND(POWER(1+E6,A6-C6)*(POWER(1+E6,C6)-1)/(POWER(1+E6,A6)-1),4))</f>
        <v>0.41489999999999999</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31.25</v>
      </c>
      <c r="D7" s="3003">
        <f>IF(ISERROR(ROUND(POWER(1+E7,A7-C7)*(POWER(1+E7,C7)-1)/(POWER(1+E7,A7)-1),3)),0,ROUND(POWER(1+E7,A7-C7)*(POWER(1+E7,C7)-1)/(POWER(1+E7,A7)-1),4))</f>
        <v>0.75490000000000002</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3.2"/>
  <cols>
    <col min="1" max="1" width="16.88671875" style="2556" customWidth="1"/>
    <col min="2" max="2" width="10" style="2556" customWidth="1"/>
    <col min="3" max="3" width="11.44140625" style="2556" customWidth="1"/>
    <col min="4" max="4" width="10" style="2556" customWidth="1"/>
    <col min="5" max="5" width="12.6640625" style="2556" customWidth="1"/>
    <col min="6" max="6" width="10" style="2556" customWidth="1"/>
    <col min="7" max="7" width="10.77734375" style="2556" customWidth="1"/>
    <col min="8" max="8" width="10" style="2556" customWidth="1"/>
    <col min="9" max="9" width="11.10937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1" t="str">
        <f>IF(B10="北京市","北京市",C10)&amp;F10&amp;IF(结果表!G1="在建","出让国有建设用地使用权及在建建筑物",IF(结果表!G1="土地","出让国有建设用地使用权",))&amp;B9&amp;"预评估"</f>
        <v>北京市房地产抵押价值预评估</v>
      </c>
      <c r="C1" s="3222"/>
      <c r="D1" s="3222"/>
      <c r="E1" s="3222"/>
      <c r="F1" s="3222"/>
      <c r="G1" s="3222"/>
      <c r="H1" s="3222"/>
      <c r="I1" s="3223"/>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45924</v>
      </c>
      <c r="C3" s="2884" t="s">
        <v>477</v>
      </c>
      <c r="D3" s="2883">
        <f>B3</f>
        <v>45924</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36" t="s">
        <v>483</v>
      </c>
      <c r="E8" s="2899" t="s">
        <v>368</v>
      </c>
      <c r="F8" s="2900"/>
      <c r="G8" s="2655"/>
      <c r="H8" s="2655"/>
      <c r="I8" s="2655"/>
      <c r="J8" s="2517"/>
      <c r="K8" s="2973"/>
      <c r="L8" s="2971"/>
      <c r="M8" s="2971"/>
      <c r="N8" s="2517"/>
      <c r="O8" s="2341"/>
      <c r="P8" s="2517"/>
      <c r="Q8" s="2517"/>
      <c r="R8" s="2517"/>
    </row>
    <row r="9" spans="1:30">
      <c r="A9" s="2901" t="s">
        <v>484</v>
      </c>
      <c r="B9" s="2902" t="s">
        <v>368</v>
      </c>
      <c r="C9" s="2903"/>
      <c r="D9" s="3237"/>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2791</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v>51764</v>
      </c>
      <c r="E13" s="2921"/>
      <c r="F13" s="2921"/>
      <c r="G13" s="2921"/>
      <c r="H13" s="2921"/>
      <c r="I13" s="2921"/>
      <c r="J13" s="2976"/>
      <c r="K13" s="2971"/>
      <c r="L13" s="2971"/>
      <c r="M13" s="2517"/>
      <c r="N13" s="2341"/>
      <c r="O13" s="2517"/>
      <c r="P13" s="2517"/>
      <c r="Q13" s="2517"/>
      <c r="AD13" s="2556"/>
    </row>
    <row r="14" spans="1:30">
      <c r="A14" s="1875"/>
      <c r="B14" s="2920" t="s">
        <v>499</v>
      </c>
      <c r="C14" s="2922"/>
      <c r="D14" s="2922">
        <v>40</v>
      </c>
      <c r="E14" s="2922"/>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f>IF(A13="出让",IF(D13="","",ROUNDDOWN(MIN((D13-$D$3)/365,D14),2)),D14)</f>
        <v>16</v>
      </c>
      <c r="E15" s="2924" t="str">
        <f>IF(A13="出让",IF(E13="","",ROUNDDOWN(MIN((E13-$D$3)/365,E14),2)),E14)</f>
        <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24"/>
      <c r="C16" s="3225"/>
      <c r="D16" s="3226"/>
      <c r="E16" s="2925" t="s">
        <v>502</v>
      </c>
      <c r="F16" s="3227"/>
      <c r="G16" s="3228"/>
      <c r="H16" s="3228"/>
      <c r="I16" s="3229"/>
      <c r="J16" s="2517"/>
      <c r="K16" s="2979"/>
      <c r="L16" s="2341"/>
      <c r="M16" s="2341"/>
      <c r="N16" s="2517"/>
      <c r="O16" s="2341"/>
      <c r="P16" s="2517"/>
      <c r="Q16" s="2517"/>
      <c r="R16" s="2517"/>
    </row>
    <row r="17" spans="1:28">
      <c r="A17" s="1859" t="s">
        <v>503</v>
      </c>
      <c r="B17" s="1848" t="s">
        <v>504</v>
      </c>
      <c r="C17" s="953">
        <f>'数据-汇总表'!E3</f>
        <v>240.83</v>
      </c>
      <c r="D17" s="1901" t="s">
        <v>505</v>
      </c>
      <c r="E17" s="3230" t="s">
        <v>506</v>
      </c>
      <c r="F17" s="3231"/>
      <c r="G17" s="3231"/>
      <c r="H17" s="3231"/>
      <c r="I17" s="3232"/>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3" t="s">
        <v>509</v>
      </c>
      <c r="F18" s="3234"/>
      <c r="G18" s="3234"/>
      <c r="H18" s="3234"/>
      <c r="I18" s="3235"/>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11" t="s">
        <v>514</v>
      </c>
      <c r="C20" s="3212"/>
      <c r="D20" s="3213" t="s">
        <v>515</v>
      </c>
      <c r="E20" s="3214"/>
      <c r="F20" s="2934" t="s">
        <v>516</v>
      </c>
      <c r="G20" s="2655"/>
      <c r="H20" s="2655"/>
      <c r="I20" s="2655"/>
      <c r="J20" s="2517"/>
      <c r="K20" s="3209"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36">
      <c r="A21" s="2933"/>
      <c r="B21" s="2935" t="s">
        <v>518</v>
      </c>
      <c r="C21" s="2543" t="s">
        <v>519</v>
      </c>
      <c r="D21" s="2936" t="s">
        <v>520</v>
      </c>
      <c r="E21" s="2937" t="s">
        <v>519</v>
      </c>
      <c r="F21" s="2938"/>
      <c r="G21" s="2655"/>
      <c r="H21" s="2655"/>
      <c r="I21" s="2655"/>
      <c r="J21" s="2517"/>
      <c r="K21" s="3209"/>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36">
      <c r="A22" s="2933"/>
      <c r="B22" s="2939" t="s">
        <v>521</v>
      </c>
      <c r="C22" s="2543" t="s">
        <v>522</v>
      </c>
      <c r="D22" s="2655"/>
      <c r="E22" s="2655"/>
      <c r="F22" s="2655"/>
      <c r="G22" s="2655">
        <v>2003</v>
      </c>
      <c r="H22" s="2655"/>
      <c r="I22" s="2655"/>
      <c r="J22" s="2517"/>
      <c r="K22" s="3209"/>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22</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16</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7"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7"/>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7"/>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8"/>
      <c r="B30" s="1848" t="s">
        <v>535</v>
      </c>
      <c r="C30" s="3215"/>
      <c r="D30" s="3216"/>
      <c r="E30" s="2655"/>
      <c r="F30" s="2655"/>
      <c r="G30" s="2655"/>
      <c r="H30" s="2655"/>
      <c r="I30" s="2655"/>
      <c r="J30" s="2517"/>
      <c r="K30" s="2972"/>
      <c r="L30" s="2971"/>
      <c r="M30" s="2971"/>
      <c r="N30" s="2517"/>
      <c r="O30" s="2341"/>
      <c r="P30" s="2517"/>
      <c r="Q30" s="2517"/>
      <c r="R30" s="2517"/>
      <c r="S30" s="2517"/>
      <c r="T30" s="2517"/>
      <c r="U30" s="2517"/>
      <c r="V30" s="2517"/>
    </row>
    <row r="31" spans="1:28">
      <c r="A31" s="3219"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20"/>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20"/>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10" t="s">
        <v>546</v>
      </c>
      <c r="T34" s="1889" t="str">
        <f>NUMBERSTRING(7-K34,1)&amp;"通"</f>
        <v>七通</v>
      </c>
      <c r="U34" s="2517"/>
      <c r="V34" s="2517"/>
    </row>
    <row r="35" spans="1:30">
      <c r="A35" s="2959"/>
      <c r="B35" s="3210" t="s">
        <v>547</v>
      </c>
      <c r="C35" s="3210"/>
      <c r="D35" s="3210"/>
      <c r="E35" s="3210"/>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0"/>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251</v>
      </c>
      <c r="C37" s="2963"/>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2232</v>
      </c>
      <c r="C38" s="2965"/>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2">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26" sqref="C26"/>
    </sheetView>
  </sheetViews>
  <sheetFormatPr defaultColWidth="8.88671875" defaultRowHeight="13.8"/>
  <cols>
    <col min="1" max="1" width="10.6640625" style="2798" customWidth="1"/>
    <col min="2" max="2" width="11" style="2798" customWidth="1"/>
    <col min="3" max="3" width="10.33203125" style="2798" customWidth="1"/>
    <col min="4" max="4" width="9.109375" style="2798" customWidth="1"/>
    <col min="5" max="8" width="10" style="2798" customWidth="1"/>
    <col min="9" max="9" width="10.6640625" style="2798" customWidth="1"/>
    <col min="10" max="10" width="9.44140625" style="2798" customWidth="1"/>
    <col min="11" max="11" width="11" style="2798" customWidth="1"/>
    <col min="12" max="14" width="9.44140625" style="2798" customWidth="1"/>
    <col min="15" max="15" width="9.88671875" style="2798" customWidth="1"/>
    <col min="16" max="16" width="9.77734375" style="2798" customWidth="1"/>
    <col min="17" max="17" width="9.33203125" style="2798" customWidth="1"/>
    <col min="18" max="18" width="9.21875" style="2798" customWidth="1"/>
    <col min="19" max="19" width="10.88671875" style="2798" customWidth="1"/>
    <col min="20" max="21" width="10.77734375" style="2798" customWidth="1"/>
    <col min="22" max="22" width="10.88671875" style="2798" customWidth="1"/>
    <col min="23" max="27" width="10.77734375" style="2798" customWidth="1"/>
    <col min="28" max="28" width="10.88671875" style="2798" customWidth="1"/>
    <col min="29" max="29" width="11" style="2798" customWidth="1"/>
    <col min="30" max="30" width="10" style="2798" customWidth="1"/>
    <col min="31" max="31" width="9.77734375" style="2798" customWidth="1"/>
    <col min="32" max="46" width="9.44140625" style="2798" customWidth="1"/>
    <col min="47" max="47" width="18.109375" style="2798" customWidth="1"/>
    <col min="48" max="50" width="9.77734375" style="2798" customWidth="1"/>
    <col min="51" max="55" width="10.44140625" style="2798" customWidth="1"/>
    <col min="56" max="56" width="9.44140625" style="2798" customWidth="1"/>
    <col min="57" max="63" width="9.109375" style="2798" customWidth="1"/>
    <col min="64" max="64" width="9.44140625" style="2798" customWidth="1"/>
    <col min="65" max="65" width="9.109375" style="2798" customWidth="1"/>
    <col min="66" max="66" width="9.44140625" style="2798" customWidth="1"/>
    <col min="67" max="69" width="9.109375" style="2798" customWidth="1"/>
    <col min="70" max="70" width="9.44140625" style="2798" customWidth="1"/>
    <col min="71" max="71" width="9" style="2798" customWidth="1"/>
    <col min="72" max="72" width="9.109375" style="2798" customWidth="1"/>
    <col min="73" max="16384" width="8.88671875" style="2798"/>
  </cols>
  <sheetData>
    <row r="1" spans="1:72" ht="21">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3.2">
      <c r="A3" s="2801"/>
      <c r="B3" s="2802">
        <f>IF(C3="否",G5-AT5,G5)</f>
        <v>240.83</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3.2">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3.2">
      <c r="A5" s="1998" t="s">
        <v>577</v>
      </c>
      <c r="B5" s="2227"/>
      <c r="C5" s="2227"/>
      <c r="D5" s="2350"/>
      <c r="E5" s="2806" t="s">
        <v>124</v>
      </c>
      <c r="F5" s="2806">
        <f>SUM(F13:F587)</f>
        <v>0</v>
      </c>
      <c r="G5" s="2806">
        <f>SUM(G13:G587)</f>
        <v>240.83</v>
      </c>
      <c r="H5" s="2806">
        <f t="shared" ref="H5:AT5" si="0">SUM(H13:H656)</f>
        <v>240.83</v>
      </c>
      <c r="I5" s="2806">
        <f t="shared" si="0"/>
        <v>240.83</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240.83</v>
      </c>
      <c r="BA5" s="2859">
        <f t="shared" si="1"/>
        <v>240.83</v>
      </c>
      <c r="BB5" s="2859">
        <f t="shared" si="1"/>
        <v>240.83</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3.2">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5.2">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3.2">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3.2">
      <c r="A10" s="2812"/>
      <c r="B10" s="2812"/>
      <c r="C10" s="2812"/>
      <c r="D10" s="2812"/>
      <c r="E10" s="2812"/>
      <c r="F10" s="2812"/>
      <c r="G10" s="1841"/>
      <c r="H10" s="2816"/>
      <c r="I10" s="2830" t="s">
        <v>229</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3.2">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商业</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3.2">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3.2">
      <c r="A13" s="908"/>
      <c r="B13" s="908"/>
      <c r="C13" s="908"/>
      <c r="D13" s="2820" t="s">
        <v>605</v>
      </c>
      <c r="E13" s="2806">
        <f>IF($C$3="是",ROUND($A$3*G13/$B$3,2),ROUND($A$3*(G13-AT13)/$B$3,2))</f>
        <v>0</v>
      </c>
      <c r="F13" s="2821"/>
      <c r="G13" s="2822">
        <f>H13+AC13+AT13</f>
        <v>240.83</v>
      </c>
      <c r="H13" s="2809">
        <f>SUMIF(I$12:AB$12,"总值",I13:AB13)</f>
        <v>240.83</v>
      </c>
      <c r="I13" s="2834">
        <v>240.83</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0</v>
      </c>
      <c r="AY13" s="2350">
        <f>ROUND($AY$6*AZ13/$AZ$5,2)</f>
        <v>0</v>
      </c>
      <c r="AZ13" s="2806">
        <f>BA13+BL13</f>
        <v>240.83</v>
      </c>
      <c r="BA13" s="2806">
        <f>SUM(BB13:BK13)</f>
        <v>240.83</v>
      </c>
      <c r="BB13" s="2806">
        <f>IF($D13="是",I13-J13,0)</f>
        <v>240.83</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3.2">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3.2">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3.2">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3.2">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1875" defaultRowHeight="13.8"/>
  <cols>
    <col min="1" max="1" width="12.109375" style="2499" customWidth="1"/>
    <col min="2" max="2" width="10.21875" style="2499" customWidth="1"/>
    <col min="3" max="3" width="18.44140625" style="2499" customWidth="1"/>
    <col min="4" max="4" width="11.6640625" style="2499" customWidth="1"/>
    <col min="5" max="5" width="13.33203125" style="2499" customWidth="1"/>
    <col min="6" max="8" width="11.44140625" style="2499" customWidth="1"/>
    <col min="9" max="9" width="11.109375" style="2499" customWidth="1"/>
    <col min="10" max="10" width="3.109375" style="2499" customWidth="1"/>
    <col min="11" max="16" width="10" style="2499" customWidth="1"/>
    <col min="17" max="17" width="2.6640625" style="2499" customWidth="1"/>
    <col min="18" max="18" width="9.33203125" style="2499" customWidth="1"/>
    <col min="19" max="19" width="10.44140625" style="2499" customWidth="1"/>
    <col min="20" max="16384" width="9.21875" style="2499"/>
  </cols>
  <sheetData>
    <row r="1" spans="1:16" ht="17.399999999999999">
      <c r="A1" s="2219" t="s">
        <v>606</v>
      </c>
      <c r="B1" s="2288"/>
      <c r="C1" s="2288"/>
      <c r="D1" s="2288"/>
      <c r="E1" s="2288"/>
      <c r="F1" s="2288"/>
      <c r="G1" s="2288"/>
      <c r="H1" s="2288"/>
      <c r="I1" s="2288"/>
      <c r="J1" s="2288"/>
      <c r="K1" s="2288"/>
      <c r="L1" s="2288"/>
      <c r="M1" s="2288"/>
      <c r="N1" s="2288"/>
      <c r="O1" s="2288"/>
      <c r="P1" s="2288"/>
    </row>
    <row r="2" spans="1:16" ht="14.4">
      <c r="A2" s="3247" t="s">
        <v>607</v>
      </c>
      <c r="B2" s="3247"/>
      <c r="C2" s="3247"/>
      <c r="D2" s="2142" t="s">
        <v>608</v>
      </c>
      <c r="E2" s="2734" t="s">
        <v>609</v>
      </c>
      <c r="F2" s="2592"/>
      <c r="G2" s="2735"/>
      <c r="H2" s="2736"/>
      <c r="I2" s="2430" t="s">
        <v>610</v>
      </c>
      <c r="J2" s="2592"/>
      <c r="K2" s="2592"/>
      <c r="L2" s="2592"/>
      <c r="M2" s="2592"/>
      <c r="N2" s="1175"/>
      <c r="O2" s="2592"/>
      <c r="P2" s="2592"/>
    </row>
    <row r="3" spans="1:16" ht="14.4">
      <c r="A3" s="3248" t="s">
        <v>611</v>
      </c>
      <c r="B3" s="3248"/>
      <c r="C3" s="3248"/>
      <c r="D3" s="2737">
        <f>'数据-基础表'!AY6</f>
        <v>0</v>
      </c>
      <c r="E3" s="2737">
        <f>'数据-基础表'!AZ5</f>
        <v>240.83</v>
      </c>
      <c r="F3" s="2592"/>
      <c r="G3" s="2738"/>
      <c r="H3" s="2241" t="s">
        <v>612</v>
      </c>
      <c r="I3" s="2096" t="e">
        <f>ROUND('数据-基础表'!B3/'数据-基础表'!A3,2)</f>
        <v>#DIV/0!</v>
      </c>
      <c r="J3" s="2592"/>
      <c r="K3" s="2592"/>
      <c r="L3" s="2592"/>
      <c r="M3" s="2592"/>
      <c r="N3" s="1175"/>
      <c r="O3" s="2592"/>
      <c r="P3" s="2592"/>
    </row>
    <row r="4" spans="1:16" ht="14.4">
      <c r="A4" s="3249"/>
      <c r="B4" s="3250"/>
      <c r="C4" s="3251"/>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ht="14.4">
      <c r="A5" s="2738" t="s">
        <v>615</v>
      </c>
      <c r="B5" s="3252" t="s">
        <v>616</v>
      </c>
      <c r="C5" s="3252"/>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ht="14.4">
      <c r="A6" s="2743"/>
      <c r="B6" s="3252" t="s">
        <v>617</v>
      </c>
      <c r="C6" s="3252"/>
      <c r="D6" s="2241">
        <f>ROUND($D$3*E6/$E$3,2)</f>
        <v>0</v>
      </c>
      <c r="E6" s="2742">
        <f>E3-E5</f>
        <v>240.83</v>
      </c>
      <c r="F6" s="2592"/>
      <c r="G6" s="2744" t="s">
        <v>618</v>
      </c>
      <c r="H6" s="2745" t="s">
        <v>614</v>
      </c>
      <c r="I6" s="2784" t="e">
        <f>ROUND(F31/D31,2)</f>
        <v>#DIV/0!</v>
      </c>
      <c r="J6" s="2592"/>
      <c r="K6" s="2592"/>
      <c r="L6" s="2592"/>
      <c r="M6" s="2592"/>
      <c r="N6" s="2592"/>
      <c r="O6" s="2592"/>
      <c r="P6" s="2592"/>
    </row>
    <row r="7" spans="1:16" ht="14.4">
      <c r="A7" s="3238"/>
      <c r="B7" s="3239"/>
      <c r="C7" s="3240"/>
      <c r="D7" s="2739" t="s">
        <v>608</v>
      </c>
      <c r="E7" s="2746" t="s">
        <v>619</v>
      </c>
      <c r="F7" s="2592"/>
      <c r="G7" s="2747" t="s">
        <v>620</v>
      </c>
      <c r="H7" s="2712"/>
      <c r="I7" s="2785">
        <v>3.5</v>
      </c>
      <c r="J7" s="2592"/>
      <c r="K7" s="2592"/>
      <c r="L7" s="2592"/>
      <c r="M7" s="2592"/>
      <c r="N7" s="2592"/>
      <c r="O7" s="2592"/>
      <c r="P7" s="2592"/>
    </row>
    <row r="8" spans="1:16" ht="14.4">
      <c r="A8" s="2738" t="s">
        <v>621</v>
      </c>
      <c r="B8" s="2745" t="s">
        <v>622</v>
      </c>
      <c r="C8" s="2241" t="s">
        <v>623</v>
      </c>
      <c r="D8" s="2241">
        <f t="shared" ref="D8:D15" si="0">ROUND($D$3*E8/$E$3,2)</f>
        <v>0</v>
      </c>
      <c r="E8" s="2748">
        <f>SUMIF('数据-基础表'!BB10:BK10,"地上",'数据-基础表'!BB5:BK5)</f>
        <v>240.83</v>
      </c>
      <c r="F8" s="2592"/>
      <c r="G8" s="2592"/>
      <c r="H8" s="2592"/>
      <c r="I8" s="2592"/>
      <c r="J8" s="2592"/>
      <c r="K8" s="2592"/>
      <c r="L8" s="2592"/>
      <c r="M8" s="2592"/>
      <c r="N8" s="2592"/>
      <c r="O8" s="2592"/>
      <c r="P8" s="2592"/>
    </row>
    <row r="9" spans="1:16" ht="14.4">
      <c r="A9" s="2744"/>
      <c r="B9" s="2749"/>
      <c r="C9" s="2241" t="s">
        <v>624</v>
      </c>
      <c r="D9" s="2241">
        <f t="shared" si="0"/>
        <v>0</v>
      </c>
      <c r="E9" s="2750">
        <v>0</v>
      </c>
      <c r="F9" s="2592"/>
      <c r="G9" s="2592"/>
      <c r="H9" s="2592"/>
      <c r="I9" s="2592"/>
      <c r="J9" s="2592"/>
      <c r="K9" s="2592"/>
      <c r="L9" s="2592"/>
      <c r="M9" s="2592"/>
      <c r="N9" s="2592"/>
      <c r="O9" s="2592"/>
      <c r="P9" s="2592"/>
    </row>
    <row r="10" spans="1:16" ht="14.4">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ht="14.4">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ht="14.4">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ht="14.4">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ht="14.4">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ht="14.4">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4.4">
      <c r="A16" s="2743"/>
      <c r="B16" s="2749"/>
      <c r="C16" s="2745" t="s">
        <v>631</v>
      </c>
      <c r="D16" s="2745">
        <f>SUM(D8:D15)</f>
        <v>0</v>
      </c>
      <c r="E16" s="2751">
        <f>SUM(E8:E15)</f>
        <v>240.83</v>
      </c>
      <c r="F16" s="2592"/>
      <c r="G16" s="2592"/>
      <c r="H16" s="2752" t="s">
        <v>632</v>
      </c>
      <c r="I16" s="2786"/>
      <c r="J16" s="2288"/>
      <c r="K16" s="3241" t="s">
        <v>632</v>
      </c>
      <c r="L16" s="3242"/>
      <c r="M16" s="3242"/>
      <c r="N16" s="3242"/>
      <c r="O16" s="3242"/>
      <c r="P16" s="3243"/>
    </row>
    <row r="17" spans="1:19" ht="14.4">
      <c r="A17" s="2703" t="s">
        <v>633</v>
      </c>
      <c r="B17" s="2753" t="s">
        <v>634</v>
      </c>
      <c r="C17" s="2262" t="s">
        <v>635</v>
      </c>
      <c r="D17" s="2754" t="s">
        <v>608</v>
      </c>
      <c r="E17" s="2755" t="s">
        <v>609</v>
      </c>
      <c r="F17" s="2756"/>
      <c r="G17" s="2757"/>
      <c r="H17" s="2758" t="s">
        <v>636</v>
      </c>
      <c r="I17" s="2787" t="s">
        <v>637</v>
      </c>
      <c r="J17" s="2288"/>
      <c r="K17" s="3244" t="s">
        <v>638</v>
      </c>
      <c r="L17" s="3245"/>
      <c r="M17" s="3246"/>
      <c r="N17" s="3244" t="s">
        <v>639</v>
      </c>
      <c r="O17" s="3245"/>
      <c r="P17" s="3246"/>
      <c r="R17" s="2177" t="s">
        <v>640</v>
      </c>
      <c r="S17" s="2231"/>
    </row>
    <row r="18" spans="1:19" ht="14.4">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ht="14.4">
      <c r="A19" s="2764"/>
      <c r="B19" s="2745" t="s">
        <v>648</v>
      </c>
      <c r="C19" s="2765" t="s">
        <v>2763</v>
      </c>
      <c r="D19" s="2241">
        <f>ROUND($D$3*E19/$E$3,2)</f>
        <v>0</v>
      </c>
      <c r="E19" s="2766">
        <f t="shared" ref="E19:E26" si="1">SUM(F19:G19)</f>
        <v>240.83</v>
      </c>
      <c r="F19" s="2767">
        <f>'数据-基础表'!I13</f>
        <v>240.83</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240.83</v>
      </c>
    </row>
    <row r="20" spans="1:19" ht="14.4">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ht="14.4">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ht="14.4">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ht="14.4">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ht="14.4">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ht="14.4">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ht="14.4">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4.4">
      <c r="A27" s="2764"/>
      <c r="B27" s="2241"/>
      <c r="C27" s="2433" t="s">
        <v>649</v>
      </c>
      <c r="D27" s="2772">
        <f>SUM(D19:D26)</f>
        <v>0</v>
      </c>
      <c r="E27" s="2773">
        <f>IF(SUM(E19:E26)='数据-基础表'!BA5,SUM(E19:E26),IF(F27="地上面积有误","面积有误","地下面积有误"))</f>
        <v>240.83</v>
      </c>
      <c r="F27" s="2772">
        <f>IF(SUM(F19:F26)=E8,SUM(F19:F26),"地上面积有误")</f>
        <v>240.83</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240.83</v>
      </c>
    </row>
    <row r="28" spans="1:19" ht="14.4">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ht="14.4">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4.4">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4.4">
      <c r="A31" s="2778"/>
      <c r="B31" s="2702"/>
      <c r="C31" s="2184" t="s">
        <v>653</v>
      </c>
      <c r="D31" s="2779">
        <f>D27+D30</f>
        <v>0</v>
      </c>
      <c r="E31" s="2779">
        <f>E27+E30</f>
        <v>240.83</v>
      </c>
      <c r="F31" s="2780">
        <f>F27+F30</f>
        <v>240.83</v>
      </c>
      <c r="G31" s="2781">
        <f>G27+G30</f>
        <v>0</v>
      </c>
      <c r="H31" s="2592"/>
      <c r="I31" s="2592"/>
      <c r="J31" s="2592"/>
      <c r="K31" s="2592"/>
      <c r="L31" s="2592"/>
      <c r="M31" s="2592"/>
      <c r="N31" s="2592"/>
      <c r="O31" s="2592"/>
      <c r="P31" s="2592"/>
    </row>
    <row r="32" spans="1:19" ht="14.4">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U7" sqref="U7"/>
    </sheetView>
  </sheetViews>
  <sheetFormatPr defaultColWidth="13.77734375" defaultRowHeight="13.2"/>
  <cols>
    <col min="1" max="1" width="20.88671875" style="2556" customWidth="1"/>
    <col min="2" max="2" width="12" style="2217" customWidth="1"/>
    <col min="3" max="3" width="12.77734375" style="2217" customWidth="1"/>
    <col min="4" max="4" width="9.109375" style="2557" customWidth="1"/>
    <col min="5" max="5" width="15" style="2217" customWidth="1"/>
    <col min="6" max="10" width="8.88671875" style="2217" customWidth="1"/>
    <col min="11" max="12" width="12.33203125" style="2558" customWidth="1"/>
    <col min="13" max="13" width="8.6640625" style="2217" customWidth="1"/>
    <col min="14" max="14" width="11.88671875" style="2217" customWidth="1"/>
    <col min="15" max="15" width="8.44140625" style="2217" customWidth="1"/>
    <col min="16" max="17" width="10.88671875" style="2217" customWidth="1"/>
    <col min="18" max="19" width="12.44140625" style="2217" customWidth="1"/>
    <col min="20" max="20" width="12.109375" style="2217" customWidth="1"/>
    <col min="21" max="21" width="7.44140625" style="2217" customWidth="1"/>
    <col min="22" max="22" width="6.33203125" style="2217" customWidth="1"/>
    <col min="23" max="30" width="6.77734375" style="2217" customWidth="1"/>
    <col min="31" max="31" width="8" style="2217" customWidth="1"/>
    <col min="32" max="34" width="7.21875" style="2217" customWidth="1"/>
    <col min="35" max="39" width="8" style="2217" customWidth="1"/>
    <col min="40" max="40" width="13.77734375" style="897"/>
    <col min="41" max="41" width="11.6640625" style="897" customWidth="1"/>
    <col min="42" max="42" width="9.77734375" style="897" customWidth="1"/>
    <col min="43" max="67" width="13.77734375" style="897"/>
    <col min="68" max="16384" width="13.77734375" style="2217"/>
  </cols>
  <sheetData>
    <row r="1" spans="1:67" ht="17.399999999999999">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4.4">
      <c r="A2" s="2561" t="s">
        <v>656</v>
      </c>
      <c r="B2" s="2562">
        <f>项目基本情况!D3</f>
        <v>45924</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3.8">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4">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57.6">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3.8">
      <c r="A6" s="2572" t="str">
        <f>'数据-汇总表'!C19</f>
        <v>商业</v>
      </c>
      <c r="B6" s="2573" t="str">
        <f>IF(A6=0,"","经营性")</f>
        <v>经营性</v>
      </c>
      <c r="C6" s="2574" t="s">
        <v>229</v>
      </c>
      <c r="D6" s="2575">
        <f>SUMIF(项目基本情况!C$12:I$12,C6,项目基本情况!C$14:I$14)</f>
        <v>40</v>
      </c>
      <c r="E6" s="2576">
        <f>IF(B6="","",SUMIF(项目基本情况!C$12:I$12,C6,项目基本情况!C$13:I$13))</f>
        <v>51764</v>
      </c>
      <c r="F6" s="2577">
        <f>SUMIF(项目基本情况!C$12:I$12,C6,项目基本情况!C$15:I$15)</f>
        <v>16</v>
      </c>
      <c r="G6" s="2578">
        <f>IF(ISERROR(ROUND(POWER(1+H6,D6-F6)*(POWER(1+H6,F6)-1)/(POWER(1+H6,D6)-1),3)),0,ROUND(POWER(1+H6,D6-F6)*(POWER(1+H6,F6)-1)/(POWER(1+H6,D6)-1),3))</f>
        <v>0.63200000000000001</v>
      </c>
      <c r="H6" s="2579">
        <v>0.05</v>
      </c>
      <c r="I6" s="2579">
        <v>5.5E-2</v>
      </c>
      <c r="J6" s="2580">
        <v>7.0000000000000007E-2</v>
      </c>
      <c r="K6" s="2663">
        <f>SUMIF('数据-汇总表'!C$19:C$33,A6,'数据-汇总表'!E$19:E$33)</f>
        <v>240.83</v>
      </c>
      <c r="L6" s="2664">
        <v>4500</v>
      </c>
      <c r="M6" s="2665">
        <f t="shared" ref="M6:M14" si="0">ROUND(K6*L6/10000,0)</f>
        <v>108</v>
      </c>
      <c r="N6" s="2666">
        <f>N20</f>
        <v>0.74</v>
      </c>
      <c r="O6" s="2665" t="str">
        <f>IF($N$5="成新度","——",ROUND(M6*N6,0))</f>
        <v>——</v>
      </c>
      <c r="P6" s="2667" t="str">
        <f>IF($N$5="成新度","——",M6-O6)</f>
        <v>——</v>
      </c>
      <c r="Q6" s="2682">
        <v>0.2</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12.5</v>
      </c>
      <c r="V6" s="2687">
        <v>0.02</v>
      </c>
      <c r="W6" s="2687">
        <v>0.1</v>
      </c>
      <c r="X6" s="2688"/>
      <c r="Y6" s="2704">
        <f>N6</f>
        <v>0.74</v>
      </c>
      <c r="Z6" s="2705"/>
      <c r="AA6" s="2580"/>
      <c r="AB6" s="2580"/>
      <c r="AC6" s="2688"/>
      <c r="AD6" s="2706"/>
      <c r="AE6" s="2707">
        <f ca="1">IF(AN6="",0,SUMIF(INDIRECT("'"&amp;AN6&amp;"'"&amp;"!E:E"),$AE$5,INDIRECT("'"&amp;AN6&amp;"'"&amp;"!F:F")))</f>
        <v>16</v>
      </c>
      <c r="AF6" s="2228"/>
      <c r="AG6" s="1595">
        <f>IF(AF6="",0,AE6-AF6)</f>
        <v>0</v>
      </c>
      <c r="AH6" s="2715"/>
      <c r="AI6" s="2716">
        <v>365</v>
      </c>
      <c r="AJ6" s="2228"/>
      <c r="AK6" s="2717">
        <v>5.0000000000000001E-3</v>
      </c>
      <c r="AL6" s="2718">
        <v>1.5E-3</v>
      </c>
      <c r="AM6" s="2719">
        <v>5.0000000000000001E-3</v>
      </c>
      <c r="AN6" s="2720" t="s">
        <v>285</v>
      </c>
      <c r="AO6" s="1227">
        <f ca="1">SUMIF(INDIRECT("'"&amp;AN6&amp;"'"&amp;"!A:A"),"总价",INDIRECT("'"&amp;AN6&amp;"'"&amp;"!B:B"))</f>
        <v>1104.403</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3.8">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3.8">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3.8">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3.8">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3.8">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3.8">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3.8">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4">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8.8">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4.4">
      <c r="A16" s="2584" t="s">
        <v>653</v>
      </c>
      <c r="B16" s="2585"/>
      <c r="C16" s="2182"/>
      <c r="D16" s="2586"/>
      <c r="E16" s="2585"/>
      <c r="F16" s="2585"/>
      <c r="G16" s="2587">
        <f>ROUND(SUMPRODUCT(G6:G13,K6:K13)/SUMPRODUCT((G6:G13&gt;0)*(K6:K13)),3)</f>
        <v>0.63200000000000001</v>
      </c>
      <c r="H16" s="2588">
        <f>ROUND(SUMPRODUCT(H6:H13,K6:K13)/SUMPRODUCT((H6:H13&gt;0)*(K6:K13)),3)</f>
        <v>0.05</v>
      </c>
      <c r="I16" s="2672"/>
      <c r="J16" s="2672"/>
      <c r="K16" s="2673">
        <f>SUM(K6:K15)</f>
        <v>240.83</v>
      </c>
      <c r="L16" s="2674">
        <f>ROUND(M16*10000/SUM(K6:K14),0)</f>
        <v>4484</v>
      </c>
      <c r="M16" s="2674">
        <f>SUM(M6:M14)</f>
        <v>108</v>
      </c>
      <c r="N16" s="2675">
        <f>ROUND(SUMPRODUCT(M6:M14,N6:N14)/M16,3)</f>
        <v>0.74</v>
      </c>
      <c r="O16" s="2674">
        <f>SUM(O6:O14)</f>
        <v>0</v>
      </c>
      <c r="P16" s="2674">
        <f>SUM(P6:P14)</f>
        <v>0</v>
      </c>
      <c r="Q16" s="2697">
        <f>ROUND(SUMPRODUCT(Q6:Q13,K6:K13)/SUMPRODUCT((Q6:Q13&gt;0)*(K6:K13)),2)</f>
        <v>0.2</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2003</v>
      </c>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4">
      <c r="A18" s="1431" t="s">
        <v>699</v>
      </c>
      <c r="B18" s="2591"/>
      <c r="C18" s="2592"/>
      <c r="D18" s="2593"/>
      <c r="E18" s="2592"/>
      <c r="F18" s="2592"/>
      <c r="G18" s="2592"/>
      <c r="H18" s="2592"/>
      <c r="I18" s="2592"/>
      <c r="J18" s="2592"/>
      <c r="K18" s="2676"/>
      <c r="L18" s="2676"/>
      <c r="M18" s="2125"/>
      <c r="N18" s="2125">
        <f>ROUND(1-(2025-N17)/60,2)</f>
        <v>0.63</v>
      </c>
      <c r="O18" s="2125">
        <v>0.5</v>
      </c>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4">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2125">
        <f>'数据-基础表'!I13</f>
        <v>240.83</v>
      </c>
      <c r="U19" s="2125">
        <v>1000000</v>
      </c>
      <c r="V19" s="2125">
        <f>U19/T19/365</f>
        <v>11.376182483067973</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4">
      <c r="A20" s="2597" t="s">
        <v>702</v>
      </c>
      <c r="B20" s="2598">
        <v>2</v>
      </c>
      <c r="C20" s="2599" t="s">
        <v>703</v>
      </c>
      <c r="D20" s="2593"/>
      <c r="E20" s="2592"/>
      <c r="F20" s="2592"/>
      <c r="G20" s="2592"/>
      <c r="H20" s="2592"/>
      <c r="I20" s="2592"/>
      <c r="J20" s="2592"/>
      <c r="K20" s="2676"/>
      <c r="L20" s="2676"/>
      <c r="M20" s="2125"/>
      <c r="N20" s="2125">
        <f>ROUND(N18*O18+N19*O19,2)</f>
        <v>0.74</v>
      </c>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4">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4">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4">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4">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3.8">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4">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8.8">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8.8">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8.8">
      <c r="A29" s="2613" t="s">
        <v>714</v>
      </c>
      <c r="B29" s="2614"/>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8.8">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8.8">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8.8">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4">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4">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4">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4">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4">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4">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4">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3.8">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4">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4">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4">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4">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4">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4">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4">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4">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4">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4">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4">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4">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8.8">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4">
      <c r="A54" s="2651" t="s">
        <v>754</v>
      </c>
      <c r="B54" s="2652"/>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4">
      <c r="A55" s="2651" t="s">
        <v>755</v>
      </c>
      <c r="B55" s="2652"/>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4">
      <c r="A56" s="2651" t="s">
        <v>756</v>
      </c>
      <c r="B56" s="2652"/>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4">
      <c r="A57" s="2651" t="s">
        <v>757</v>
      </c>
      <c r="B57" s="2652"/>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4">
      <c r="A58" s="2651" t="s">
        <v>758</v>
      </c>
      <c r="B58" s="2652"/>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4">
      <c r="A59" s="2651" t="s">
        <v>759</v>
      </c>
      <c r="B59" s="2652"/>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4">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4">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4">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4">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3.8"/>
  <cols>
    <col min="1" max="1" width="9.44140625" style="2499" customWidth="1"/>
    <col min="2" max="3" width="24.44140625" style="1515" customWidth="1"/>
    <col min="4" max="4" width="2.6640625" style="1515" customWidth="1"/>
    <col min="5" max="5" width="5.88671875" style="1515" customWidth="1"/>
    <col min="6" max="7" width="27" style="1515" customWidth="1"/>
    <col min="8" max="8" width="11.88671875" style="2500" customWidth="1"/>
    <col min="9" max="9" width="16.77734375" style="2500" customWidth="1"/>
    <col min="10" max="10" width="2.6640625" style="2500" customWidth="1"/>
    <col min="11" max="11" width="11.88671875" style="2500" customWidth="1"/>
    <col min="12" max="12" width="16.77734375" style="2500" customWidth="1"/>
    <col min="13" max="13" width="2.6640625" style="2500" customWidth="1"/>
    <col min="14" max="14" width="11.88671875" style="2500" customWidth="1"/>
    <col min="15" max="15" width="16.77734375" style="2500" customWidth="1"/>
    <col min="16" max="16" width="2.6640625" style="2500" customWidth="1"/>
    <col min="17" max="17" width="11.88671875" style="2500" customWidth="1"/>
    <col min="18" max="18" width="16.77734375" style="2114" customWidth="1"/>
    <col min="19" max="29" width="9" style="2114"/>
    <col min="30" max="16384" width="9" style="2499"/>
  </cols>
  <sheetData>
    <row r="1" spans="1:29" s="2498" customFormat="1" ht="17.399999999999999">
      <c r="A1" s="3253" t="s">
        <v>764</v>
      </c>
      <c r="B1" s="3254"/>
      <c r="C1" s="3254"/>
      <c r="D1" s="3254"/>
      <c r="E1" s="3254"/>
      <c r="F1" s="3254"/>
      <c r="G1" s="3254"/>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39.6">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ht="24">
      <c r="A6" s="2511"/>
      <c r="B6" s="1889" t="s">
        <v>772</v>
      </c>
      <c r="C6" s="2516"/>
      <c r="D6" s="2510"/>
      <c r="E6" s="2515"/>
      <c r="F6" s="1889" t="s">
        <v>776</v>
      </c>
      <c r="G6" s="2516" t="s">
        <v>777</v>
      </c>
      <c r="H6" s="2114"/>
      <c r="I6" s="2114"/>
      <c r="J6" s="2114"/>
      <c r="K6" s="2114"/>
      <c r="L6" s="2114"/>
      <c r="M6" s="2114"/>
      <c r="N6" s="2114"/>
      <c r="O6" s="2114"/>
      <c r="P6" s="2114"/>
      <c r="Q6" s="2114"/>
    </row>
    <row r="7" spans="1:29" ht="36">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7.399999999999999">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4.4">
      <c r="A13" s="2527" t="s">
        <v>782</v>
      </c>
      <c r="B13" s="2525"/>
      <c r="C13" s="2525"/>
      <c r="D13" s="2524"/>
      <c r="E13" s="2525"/>
      <c r="F13" s="2525"/>
      <c r="G13" s="2525"/>
    </row>
    <row r="14" spans="1:29">
      <c r="A14" s="2528"/>
      <c r="B14" s="2528"/>
      <c r="C14" s="2529" t="s">
        <v>765</v>
      </c>
      <c r="D14" s="2510"/>
      <c r="E14" s="2530"/>
      <c r="F14" s="2530"/>
      <c r="G14" s="2504" t="s">
        <v>766</v>
      </c>
    </row>
    <row r="15" spans="1:29" ht="39.6">
      <c r="A15" s="2531" t="s">
        <v>767</v>
      </c>
      <c r="B15" s="2532" t="s">
        <v>768</v>
      </c>
      <c r="C15" s="2533">
        <f>C3</f>
        <v>0</v>
      </c>
      <c r="D15" s="2510"/>
      <c r="E15" s="2534" t="s">
        <v>767</v>
      </c>
      <c r="F15" s="2532" t="s">
        <v>769</v>
      </c>
      <c r="G15" s="2535" t="str">
        <f>G3</f>
        <v>估价对象位于XX开发区，园区建设成熟度XX，产业集聚程度XX</v>
      </c>
    </row>
    <row r="16" spans="1:29" ht="39.6">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39.6">
      <c r="A18" s="2536"/>
      <c r="B18" s="2540" t="s">
        <v>772</v>
      </c>
      <c r="C18" s="2541">
        <f>C6</f>
        <v>0</v>
      </c>
      <c r="D18" s="2517"/>
      <c r="E18" s="2539"/>
      <c r="F18" s="2540" t="s">
        <v>778</v>
      </c>
      <c r="G18" s="2541" t="str">
        <f>G7</f>
        <v>该园区内是否有污染型企业，绿化情况，卫生条件，整体环境状况判断</v>
      </c>
    </row>
    <row r="19" spans="1:17" ht="26.4">
      <c r="A19" s="2536"/>
      <c r="B19" s="2540" t="s">
        <v>783</v>
      </c>
      <c r="C19" s="2542"/>
      <c r="D19" s="2510"/>
      <c r="E19" s="2539"/>
      <c r="F19" s="1889" t="s">
        <v>597</v>
      </c>
      <c r="G19" s="2541" t="str">
        <f>G5</f>
        <v>估价对象所在区域公共配套设施齐备情况</v>
      </c>
    </row>
    <row r="20" spans="1:17" ht="26.4">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P21" sqref="P21"/>
    </sheetView>
  </sheetViews>
  <sheetFormatPr defaultColWidth="9" defaultRowHeight="14.4"/>
  <cols>
    <col min="1" max="1" width="25" style="2484" customWidth="1"/>
    <col min="2" max="9" width="15.77734375" style="2484" customWidth="1"/>
    <col min="10" max="16384" width="9" style="2484"/>
  </cols>
  <sheetData>
    <row r="1" spans="1:11" ht="16.2">
      <c r="A1" s="2485" t="s">
        <v>786</v>
      </c>
      <c r="B1" s="2485">
        <f>SUM(B14:B23)</f>
        <v>240.83</v>
      </c>
      <c r="C1" s="2486"/>
      <c r="D1" s="2486"/>
      <c r="E1" s="2486"/>
      <c r="F1" s="2486"/>
      <c r="G1" s="2487"/>
      <c r="H1" s="2487"/>
      <c r="I1" s="2487"/>
      <c r="J1" s="2487"/>
      <c r="K1" s="2487"/>
    </row>
    <row r="2" spans="1:11" ht="16.2">
      <c r="A2" s="2485" t="s">
        <v>787</v>
      </c>
      <c r="B2" s="2485">
        <f>SUM(C14:C23)</f>
        <v>0</v>
      </c>
      <c r="C2" s="2486"/>
      <c r="D2" s="2486"/>
      <c r="E2" s="2486"/>
      <c r="F2" s="2486"/>
      <c r="G2" s="2487"/>
      <c r="H2" s="2487"/>
      <c r="I2" s="2487"/>
      <c r="J2" s="2487"/>
      <c r="K2" s="2487"/>
    </row>
    <row r="3" spans="1:11" ht="15.6">
      <c r="A3" s="2485" t="s">
        <v>788</v>
      </c>
      <c r="B3" s="2488">
        <f>项目基本情况!D3</f>
        <v>45924</v>
      </c>
      <c r="C3" s="2486"/>
      <c r="D3" s="2486"/>
      <c r="E3" s="2486"/>
      <c r="F3" s="2486"/>
      <c r="G3" s="2487"/>
      <c r="H3" s="2487"/>
      <c r="I3" s="2487"/>
      <c r="J3" s="2487"/>
      <c r="K3" s="2487"/>
    </row>
    <row r="4" spans="1:11" ht="31.2">
      <c r="A4" s="2485" t="s">
        <v>789</v>
      </c>
      <c r="B4" s="2485" t="s">
        <v>790</v>
      </c>
      <c r="C4" s="2485" t="s">
        <v>791</v>
      </c>
      <c r="D4" s="2485" t="s">
        <v>792</v>
      </c>
      <c r="E4" s="2486"/>
      <c r="F4" s="2487"/>
      <c r="G4" s="2487"/>
      <c r="H4" s="2487"/>
      <c r="I4" s="2487"/>
      <c r="J4" s="2487"/>
      <c r="K4" s="2487"/>
    </row>
    <row r="5" spans="1:11" ht="15.6">
      <c r="A5" s="2485" t="s">
        <v>793</v>
      </c>
      <c r="B5" s="2485">
        <f ca="1">SUM(D14:D23)</f>
        <v>1259</v>
      </c>
      <c r="C5" s="2485">
        <f ca="1">IF(B5=D14,结果表!H102,ROUND(B5*10000/$B$1,0))</f>
        <v>52277</v>
      </c>
      <c r="D5" s="2485" t="e">
        <f ca="1">ROUND(B5*10000/$B$2,0)</f>
        <v>#DIV/0!</v>
      </c>
      <c r="E5" s="2486"/>
      <c r="F5" s="2487"/>
      <c r="G5" s="2487"/>
      <c r="H5" s="2487"/>
      <c r="I5" s="2487"/>
      <c r="J5" s="2487"/>
      <c r="K5" s="2487"/>
    </row>
    <row r="6" spans="1:11" ht="15.6">
      <c r="A6" s="2485" t="s">
        <v>794</v>
      </c>
      <c r="B6" s="2485">
        <f ca="1">SUM(G14:G23)</f>
        <v>1259</v>
      </c>
      <c r="C6" s="2485">
        <f ca="1">IF(B6=G14,结果表!H108,ROUND(B6*10000/$B$1,0))</f>
        <v>52277</v>
      </c>
      <c r="D6" s="2485" t="e">
        <f ca="1">ROUND(B6*10000/$B$2,0)</f>
        <v>#DIV/0!</v>
      </c>
      <c r="E6" s="2486"/>
      <c r="F6" s="2487"/>
      <c r="G6" s="2487"/>
      <c r="H6" s="2487"/>
      <c r="I6" s="2487"/>
      <c r="J6" s="2487"/>
      <c r="K6" s="2487"/>
    </row>
    <row r="7" spans="1:11" ht="15.6">
      <c r="A7" s="2485" t="s">
        <v>795</v>
      </c>
      <c r="B7" s="2485">
        <f>SUM(H14:H23)</f>
        <v>0</v>
      </c>
      <c r="C7" s="2485" t="str">
        <f>IF(B7=H14,结果表!H110,ROUND(B7*10000/$B$1,0))</f>
        <v>——</v>
      </c>
      <c r="D7" s="2485" t="e">
        <f>ROUND(B7*10000/$B$2,0)</f>
        <v>#DIV/0!</v>
      </c>
      <c r="E7" s="2486"/>
      <c r="F7" s="2487"/>
      <c r="G7" s="2487"/>
      <c r="H7" s="2487"/>
      <c r="I7" s="2487"/>
      <c r="J7" s="2487"/>
      <c r="K7" s="2487"/>
    </row>
    <row r="8" spans="1:11" ht="15.6">
      <c r="A8" s="2485" t="s">
        <v>374</v>
      </c>
      <c r="B8" s="2485">
        <f>SUM(I14:I23)</f>
        <v>0</v>
      </c>
      <c r="C8" s="2485" t="str">
        <f>IF(B8=I14,结果表!H112,ROUND(B8*10000/$B$1,0))</f>
        <v>——</v>
      </c>
      <c r="D8" s="2485" t="e">
        <f>ROUND(B8*10000/$B$2,0)</f>
        <v>#DIV/0!</v>
      </c>
      <c r="E8" s="2486"/>
      <c r="F8" s="2487"/>
      <c r="G8" s="2487"/>
      <c r="H8" s="2487"/>
      <c r="I8" s="2487"/>
      <c r="J8" s="2487"/>
      <c r="K8" s="2487"/>
    </row>
    <row r="9" spans="1:11" ht="15.6">
      <c r="A9" s="2485" t="s">
        <v>796</v>
      </c>
      <c r="B9" s="2489"/>
      <c r="C9" s="2486"/>
      <c r="D9" s="2486"/>
      <c r="E9" s="2486"/>
      <c r="F9" s="2487"/>
      <c r="G9" s="2487"/>
      <c r="H9" s="2487"/>
      <c r="I9" s="2487"/>
      <c r="J9" s="2487"/>
      <c r="K9" s="2487"/>
    </row>
    <row r="10" spans="1:11" ht="15.6">
      <c r="A10" s="2485" t="s">
        <v>797</v>
      </c>
      <c r="B10" s="2485">
        <f>IF(E10="",0,ROUND(B1*(E10*365/G10)/10000,0))</f>
        <v>0</v>
      </c>
      <c r="C10" s="2485" t="s">
        <v>798</v>
      </c>
      <c r="D10" s="2485" t="s">
        <v>797</v>
      </c>
      <c r="E10" s="2490"/>
      <c r="F10" s="2491" t="s">
        <v>799</v>
      </c>
      <c r="G10" s="2492"/>
      <c r="H10" s="2487"/>
      <c r="I10" s="2487"/>
      <c r="J10" s="2487"/>
      <c r="K10" s="2487"/>
    </row>
    <row r="11" spans="1:11" ht="15.6">
      <c r="A11" s="2485" t="s">
        <v>800</v>
      </c>
      <c r="B11" s="2489"/>
      <c r="C11" s="2486"/>
      <c r="D11" s="2486"/>
      <c r="E11" s="2486"/>
      <c r="F11" s="2487"/>
      <c r="G11" s="2487"/>
      <c r="H11" s="2487"/>
      <c r="I11" s="2487"/>
      <c r="J11" s="2487"/>
      <c r="K11" s="2487"/>
    </row>
    <row r="12" spans="1:11" ht="15.6">
      <c r="A12" s="2486"/>
      <c r="B12" s="2486"/>
      <c r="C12" s="2486"/>
      <c r="D12" s="2486"/>
      <c r="E12" s="2486"/>
      <c r="F12" s="2487"/>
      <c r="G12" s="2487"/>
      <c r="H12" s="2487"/>
      <c r="I12" s="2487"/>
      <c r="J12" s="2487"/>
      <c r="K12" s="2487"/>
    </row>
    <row r="13" spans="1:11" ht="31.8">
      <c r="A13" s="2493" t="s">
        <v>801</v>
      </c>
      <c r="B13" s="2494" t="s">
        <v>786</v>
      </c>
      <c r="C13" s="2494" t="s">
        <v>787</v>
      </c>
      <c r="D13" s="2494" t="s">
        <v>802</v>
      </c>
      <c r="E13" s="2485" t="s">
        <v>791</v>
      </c>
      <c r="F13" s="2485" t="s">
        <v>792</v>
      </c>
      <c r="G13" s="2494" t="s">
        <v>803</v>
      </c>
      <c r="H13" s="2494" t="s">
        <v>804</v>
      </c>
      <c r="I13" s="2494" t="s">
        <v>805</v>
      </c>
      <c r="J13" s="2487"/>
      <c r="K13" s="2487"/>
    </row>
    <row r="14" spans="1:11" ht="15.6">
      <c r="A14" s="2495" t="s">
        <v>806</v>
      </c>
      <c r="B14" s="2496">
        <f>'数据-汇总表'!F19</f>
        <v>240.83</v>
      </c>
      <c r="C14" s="2496"/>
      <c r="D14" s="2496">
        <f ca="1">结果表!G19</f>
        <v>1259</v>
      </c>
      <c r="E14" s="2496">
        <f ca="1">ROUND(D14*10000/B14,0)</f>
        <v>52278</v>
      </c>
      <c r="F14" s="2496" t="e">
        <f ca="1">ROUND(D14*10000/C14,0)</f>
        <v>#DIV/0!</v>
      </c>
      <c r="G14" s="2496">
        <f ca="1">D14</f>
        <v>1259</v>
      </c>
      <c r="H14" s="2496"/>
      <c r="I14" s="2496"/>
      <c r="J14" s="2487"/>
      <c r="K14" s="2487"/>
    </row>
    <row r="15" spans="1:11" ht="15.6">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5.6">
      <c r="A16" s="2495" t="s">
        <v>808</v>
      </c>
      <c r="B16" s="2497"/>
      <c r="C16" s="2497"/>
      <c r="D16" s="2497"/>
      <c r="E16" s="2496" t="e">
        <f t="shared" si="0"/>
        <v>#DIV/0!</v>
      </c>
      <c r="F16" s="2496" t="e">
        <f t="shared" si="1"/>
        <v>#DIV/0!</v>
      </c>
      <c r="G16" s="2489"/>
      <c r="H16" s="2489"/>
      <c r="I16" s="2497"/>
      <c r="J16" s="2487"/>
      <c r="K16" s="2487"/>
    </row>
    <row r="17" spans="1:11" ht="15.6">
      <c r="A17" s="2495" t="s">
        <v>809</v>
      </c>
      <c r="B17" s="2497"/>
      <c r="C17" s="2497"/>
      <c r="D17" s="2497"/>
      <c r="E17" s="2496" t="e">
        <f t="shared" si="0"/>
        <v>#DIV/0!</v>
      </c>
      <c r="F17" s="2496" t="e">
        <f t="shared" si="1"/>
        <v>#DIV/0!</v>
      </c>
      <c r="G17" s="2489"/>
      <c r="H17" s="2489"/>
      <c r="I17" s="2497"/>
      <c r="J17" s="2487"/>
      <c r="K17" s="2487"/>
    </row>
    <row r="18" spans="1:11" ht="15.6">
      <c r="A18" s="2495" t="s">
        <v>810</v>
      </c>
      <c r="B18" s="2497"/>
      <c r="C18" s="2497"/>
      <c r="D18" s="2497"/>
      <c r="E18" s="2496" t="e">
        <f t="shared" si="0"/>
        <v>#DIV/0!</v>
      </c>
      <c r="F18" s="2496" t="e">
        <f t="shared" si="1"/>
        <v>#DIV/0!</v>
      </c>
      <c r="G18" s="2497"/>
      <c r="H18" s="2497"/>
      <c r="I18" s="2497"/>
      <c r="J18" s="2487"/>
      <c r="K18" s="2487"/>
    </row>
    <row r="19" spans="1:11" ht="15.6">
      <c r="A19" s="2495" t="s">
        <v>811</v>
      </c>
      <c r="B19" s="2497"/>
      <c r="C19" s="2497"/>
      <c r="D19" s="2497"/>
      <c r="E19" s="2496" t="e">
        <f t="shared" si="0"/>
        <v>#DIV/0!</v>
      </c>
      <c r="F19" s="2496" t="e">
        <f t="shared" si="1"/>
        <v>#DIV/0!</v>
      </c>
      <c r="G19" s="2497"/>
      <c r="H19" s="2497"/>
      <c r="I19" s="2497"/>
      <c r="J19" s="2487"/>
      <c r="K19" s="2487"/>
    </row>
    <row r="20" spans="1:11" ht="15.6">
      <c r="A20" s="2495" t="s">
        <v>812</v>
      </c>
      <c r="B20" s="2497"/>
      <c r="C20" s="2497"/>
      <c r="D20" s="2497"/>
      <c r="E20" s="2496" t="e">
        <f t="shared" si="0"/>
        <v>#DIV/0!</v>
      </c>
      <c r="F20" s="2496" t="e">
        <f t="shared" si="1"/>
        <v>#DIV/0!</v>
      </c>
      <c r="G20" s="2497"/>
      <c r="H20" s="2497"/>
      <c r="I20" s="2497"/>
      <c r="J20" s="2487"/>
      <c r="K20" s="2487"/>
    </row>
    <row r="21" spans="1:11" ht="15.6">
      <c r="A21" s="2495" t="s">
        <v>813</v>
      </c>
      <c r="B21" s="2497"/>
      <c r="C21" s="2497"/>
      <c r="D21" s="2497"/>
      <c r="E21" s="2496" t="e">
        <f t="shared" si="0"/>
        <v>#DIV/0!</v>
      </c>
      <c r="F21" s="2496" t="e">
        <f t="shared" si="1"/>
        <v>#DIV/0!</v>
      </c>
      <c r="G21" s="2497"/>
      <c r="H21" s="2497"/>
      <c r="I21" s="2497"/>
      <c r="J21" s="2487"/>
      <c r="K21" s="2487"/>
    </row>
    <row r="22" spans="1:11" ht="15.6">
      <c r="A22" s="2495" t="s">
        <v>814</v>
      </c>
      <c r="B22" s="2497"/>
      <c r="C22" s="2497"/>
      <c r="D22" s="2497"/>
      <c r="E22" s="2496" t="e">
        <f t="shared" si="0"/>
        <v>#DIV/0!</v>
      </c>
      <c r="F22" s="2496" t="e">
        <f t="shared" si="1"/>
        <v>#DIV/0!</v>
      </c>
      <c r="G22" s="2497"/>
      <c r="H22" s="2497"/>
      <c r="I22" s="2497"/>
      <c r="J22" s="2487"/>
      <c r="K22" s="2487"/>
    </row>
    <row r="23" spans="1:11" ht="15.6">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L12" sqref="L12"/>
    </sheetView>
  </sheetViews>
  <sheetFormatPr defaultColWidth="12.6640625" defaultRowHeight="21.75" customHeight="1"/>
  <cols>
    <col min="1" max="2" width="12.6640625" style="2217"/>
    <col min="3" max="4" width="12.6640625" style="2217" customWidth="1"/>
    <col min="5" max="9" width="12.6640625" style="2217"/>
    <col min="10" max="11" width="12.6640625" style="898" customWidth="1"/>
    <col min="12" max="12" width="12.6640625" style="898"/>
    <col min="13" max="13" width="14.109375" style="898" customWidth="1"/>
    <col min="14" max="26" width="12.6640625" style="898"/>
    <col min="27" max="35" width="12.6640625" style="2218"/>
    <col min="36" max="16384" width="12.6640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329" t="str">
        <f>项目基本情况!S2</f>
        <v>北京市房地产</v>
      </c>
      <c r="B2" s="3330"/>
      <c r="C2" s="3330"/>
      <c r="D2" s="3330"/>
      <c r="E2" s="3330"/>
      <c r="F2" s="3330"/>
      <c r="G2" s="3330"/>
      <c r="H2" s="3330"/>
      <c r="I2" s="3331"/>
    </row>
    <row r="3" spans="1:12" ht="13.2">
      <c r="A3" s="3332" t="s">
        <v>818</v>
      </c>
      <c r="B3" s="3333"/>
      <c r="C3" s="3333"/>
      <c r="D3" s="3333"/>
      <c r="E3" s="3333"/>
      <c r="F3" s="3333"/>
      <c r="G3" s="3333"/>
      <c r="H3" s="3333"/>
      <c r="I3" s="3333"/>
    </row>
    <row r="4" spans="1:12" ht="14.4">
      <c r="A4" s="2223" t="s">
        <v>819</v>
      </c>
      <c r="B4" s="2224" t="s">
        <v>820</v>
      </c>
      <c r="C4" s="2225" t="s">
        <v>2782</v>
      </c>
      <c r="D4" s="2225" t="s">
        <v>285</v>
      </c>
      <c r="E4" s="3334" t="s">
        <v>821</v>
      </c>
      <c r="F4" s="3335"/>
      <c r="G4" s="3335"/>
      <c r="H4" s="3335"/>
      <c r="I4" s="3336"/>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3.2">
      <c r="A5" s="3256" t="s">
        <v>822</v>
      </c>
      <c r="B5" s="3264">
        <v>25</v>
      </c>
      <c r="C5" s="3346"/>
      <c r="D5" s="3267"/>
      <c r="E5" s="1888" t="s">
        <v>823</v>
      </c>
      <c r="F5" s="2229"/>
      <c r="G5" s="2229"/>
      <c r="H5" s="2229"/>
      <c r="I5" s="2109"/>
    </row>
    <row r="6" spans="1:12" ht="13.2">
      <c r="A6" s="3256"/>
      <c r="B6" s="3264"/>
      <c r="C6" s="3347"/>
      <c r="D6" s="3267"/>
      <c r="E6" s="1888" t="s">
        <v>824</v>
      </c>
      <c r="F6" s="2229"/>
      <c r="G6" s="2229"/>
      <c r="H6" s="2229"/>
      <c r="I6" s="2109"/>
    </row>
    <row r="7" spans="1:12" ht="13.2">
      <c r="A7" s="3256"/>
      <c r="B7" s="3264"/>
      <c r="C7" s="3348"/>
      <c r="D7" s="3267"/>
      <c r="E7" s="1888" t="s">
        <v>825</v>
      </c>
      <c r="F7" s="2229"/>
      <c r="G7" s="2229"/>
      <c r="H7" s="2229"/>
      <c r="I7" s="2109"/>
    </row>
    <row r="8" spans="1:12" ht="13.2">
      <c r="A8" s="3256" t="s">
        <v>826</v>
      </c>
      <c r="B8" s="3264">
        <v>15</v>
      </c>
      <c r="C8" s="3346"/>
      <c r="D8" s="3267"/>
      <c r="E8" s="1888" t="s">
        <v>827</v>
      </c>
      <c r="F8" s="2229"/>
      <c r="G8" s="2229"/>
      <c r="H8" s="2229"/>
      <c r="I8" s="2109"/>
    </row>
    <row r="9" spans="1:12" ht="13.2">
      <c r="A9" s="3256"/>
      <c r="B9" s="3264"/>
      <c r="C9" s="3348"/>
      <c r="D9" s="3267"/>
      <c r="E9" s="1888" t="s">
        <v>828</v>
      </c>
      <c r="F9" s="2229"/>
      <c r="G9" s="2229"/>
      <c r="H9" s="2229"/>
      <c r="I9" s="2109"/>
    </row>
    <row r="10" spans="1:12" ht="13.2">
      <c r="A10" s="3256" t="s">
        <v>829</v>
      </c>
      <c r="B10" s="3264">
        <v>15</v>
      </c>
      <c r="C10" s="3346"/>
      <c r="D10" s="3267"/>
      <c r="E10" s="1888" t="s">
        <v>830</v>
      </c>
      <c r="F10" s="2229"/>
      <c r="G10" s="2229"/>
      <c r="H10" s="2229"/>
      <c r="I10" s="2109"/>
    </row>
    <row r="11" spans="1:12" ht="13.2">
      <c r="A11" s="3256"/>
      <c r="B11" s="3264"/>
      <c r="C11" s="3348"/>
      <c r="D11" s="3267"/>
      <c r="E11" s="1888" t="s">
        <v>831</v>
      </c>
      <c r="F11" s="2229"/>
      <c r="G11" s="2229"/>
      <c r="H11" s="2229"/>
      <c r="I11" s="2109"/>
    </row>
    <row r="12" spans="1:12" ht="13.2">
      <c r="A12" s="3256" t="s">
        <v>832</v>
      </c>
      <c r="B12" s="3264">
        <v>15</v>
      </c>
      <c r="C12" s="3346"/>
      <c r="D12" s="3267"/>
      <c r="E12" s="1888" t="s">
        <v>833</v>
      </c>
      <c r="F12" s="2229"/>
      <c r="G12" s="2229"/>
      <c r="H12" s="2229"/>
      <c r="I12" s="2109"/>
    </row>
    <row r="13" spans="1:12" ht="13.2">
      <c r="A13" s="3256"/>
      <c r="B13" s="3264"/>
      <c r="C13" s="3348"/>
      <c r="D13" s="3267"/>
      <c r="E13" s="1888" t="s">
        <v>834</v>
      </c>
      <c r="F13" s="2229"/>
      <c r="G13" s="2229"/>
      <c r="H13" s="2229"/>
      <c r="I13" s="2109"/>
    </row>
    <row r="14" spans="1:12" ht="13.2">
      <c r="A14" s="3256" t="s">
        <v>835</v>
      </c>
      <c r="B14" s="3264">
        <v>30</v>
      </c>
      <c r="C14" s="3346">
        <v>5</v>
      </c>
      <c r="D14" s="3267">
        <v>5</v>
      </c>
      <c r="E14" s="1888" t="s">
        <v>836</v>
      </c>
      <c r="F14" s="2229"/>
      <c r="G14" s="2229"/>
      <c r="H14" s="2229"/>
      <c r="I14" s="2109"/>
    </row>
    <row r="15" spans="1:12" ht="13.2">
      <c r="A15" s="3256"/>
      <c r="B15" s="3264"/>
      <c r="C15" s="3347"/>
      <c r="D15" s="3267"/>
      <c r="E15" s="1888" t="s">
        <v>837</v>
      </c>
      <c r="F15" s="2229"/>
      <c r="G15" s="2229"/>
      <c r="H15" s="2229"/>
      <c r="I15" s="2109"/>
    </row>
    <row r="16" spans="1:12" ht="13.2">
      <c r="A16" s="3256"/>
      <c r="B16" s="3264"/>
      <c r="C16" s="3348"/>
      <c r="D16" s="3267"/>
      <c r="E16" s="1888" t="s">
        <v>838</v>
      </c>
      <c r="F16" s="2229"/>
      <c r="G16" s="2229"/>
      <c r="H16" s="2229"/>
      <c r="I16" s="2109"/>
    </row>
    <row r="17" spans="1:36" ht="14.4">
      <c r="A17" s="2230" t="s">
        <v>839</v>
      </c>
      <c r="B17" s="2231"/>
      <c r="C17" s="2232">
        <f>SUM(C5:C16)</f>
        <v>5</v>
      </c>
      <c r="D17" s="2232">
        <f>SUM(D5:D16)</f>
        <v>5</v>
      </c>
      <c r="E17" s="939"/>
      <c r="F17" s="939"/>
      <c r="G17" s="939"/>
      <c r="H17" s="939"/>
      <c r="I17" s="939"/>
      <c r="K17" s="1848"/>
      <c r="L17" s="1848" t="s">
        <v>840</v>
      </c>
      <c r="M17" s="1848" t="s">
        <v>841</v>
      </c>
    </row>
    <row r="18" spans="1:36" ht="31.95" customHeight="1">
      <c r="A18" s="2233" t="s">
        <v>842</v>
      </c>
      <c r="B18" s="2234"/>
      <c r="C18" s="2235">
        <f>ROUND(C17/SUM(C17:D17),2)</f>
        <v>0.5</v>
      </c>
      <c r="D18" s="2235">
        <f>1-C18</f>
        <v>0.5</v>
      </c>
      <c r="E18" s="3337" t="s">
        <v>843</v>
      </c>
      <c r="F18" s="3338"/>
      <c r="G18" s="3338"/>
      <c r="H18" s="3338"/>
      <c r="I18" s="3338"/>
      <c r="K18" s="1848" t="s">
        <v>504</v>
      </c>
      <c r="L18" s="1848">
        <f>IF(C1="",'数据-汇总表'!E3,SUMIF(项目类型,C1,'数据-汇总表'!E17:E26)+SUMIF(项目类型,C1,'数据-汇总表'!I17:I26))</f>
        <v>240.83</v>
      </c>
      <c r="M18" s="1848">
        <f>IF(C1="",'数据-汇总表'!E3,SUMIF(项目类型,C1,'数据-汇总表'!E17:E26))</f>
        <v>240.83</v>
      </c>
    </row>
    <row r="19" spans="1:36" ht="14.4">
      <c r="A19" s="1230" t="s">
        <v>844</v>
      </c>
      <c r="B19" s="2236" t="s">
        <v>845</v>
      </c>
      <c r="C19" s="2237">
        <f ca="1">SUMIF(INDIRECT("'"&amp;C4&amp;"'"&amp;"!A:A"),结果表!B19,INDIRECT("'"&amp;C4&amp;"'"&amp;"!B:B"))</f>
        <v>1413.5758000000001</v>
      </c>
      <c r="D19" s="1348">
        <f ca="1">SUMIF(INDIRECT("'"&amp;D4&amp;"'"&amp;"!A:A"),结果表!B19,INDIRECT("'"&amp;D4&amp;"'"&amp;"!B:B"))</f>
        <v>1104.403</v>
      </c>
      <c r="E19" s="1230" t="s">
        <v>846</v>
      </c>
      <c r="F19" s="2236" t="s">
        <v>845</v>
      </c>
      <c r="G19" s="2238">
        <f ca="1">ROUND(C19*$C$18+D19*$D$18,0)</f>
        <v>1259</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4.4">
      <c r="A20" s="2240"/>
      <c r="B20" s="2241" t="s">
        <v>848</v>
      </c>
      <c r="C20" s="1592">
        <f ca="1">SUMIF(INDIRECT("'"&amp;C4&amp;"'"&amp;"!A:A"),结果表!B20,INDIRECT("'"&amp;C4&amp;"'"&amp;"!B:B"))</f>
        <v>58696</v>
      </c>
      <c r="D20" s="1595">
        <f ca="1">SUMIF(INDIRECT("'"&amp;D4&amp;"'"&amp;"!A:A"),结果表!B20,INDIRECT("'"&amp;D4&amp;"'"&amp;"!B:B"))</f>
        <v>45858</v>
      </c>
      <c r="E20" s="2240"/>
      <c r="F20" s="2241" t="s">
        <v>848</v>
      </c>
      <c r="G20" s="2242">
        <f ca="1">ROUND(C20*$C$18+D20*$D$18,0)</f>
        <v>52277</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4">
      <c r="A22" s="2248" t="s">
        <v>851</v>
      </c>
      <c r="B22" s="2249"/>
      <c r="C22" s="2250"/>
      <c r="D22" s="2251">
        <f ca="1">IF(C19&lt;D19,D19/C19-1,C19/D19-1)</f>
        <v>0.27994563578693654</v>
      </c>
      <c r="E22" s="939"/>
      <c r="F22" s="939"/>
      <c r="G22" s="939"/>
      <c r="H22" s="939"/>
      <c r="I22" s="939"/>
    </row>
    <row r="23" spans="1:36" ht="13.2">
      <c r="A23" s="1991"/>
      <c r="B23" s="1991"/>
      <c r="C23" s="1991"/>
      <c r="D23" s="1991"/>
      <c r="E23" s="939"/>
      <c r="F23" s="939"/>
      <c r="G23" s="939"/>
      <c r="H23" s="939"/>
      <c r="I23" s="939"/>
    </row>
    <row r="24" spans="1:36" ht="14.4">
      <c r="A24" s="3257" t="s">
        <v>852</v>
      </c>
      <c r="B24" s="2236" t="s">
        <v>845</v>
      </c>
      <c r="C24" s="2238">
        <f>IF(B30=0,0,D30)</f>
        <v>0</v>
      </c>
      <c r="D24" s="2252"/>
      <c r="E24" s="939"/>
      <c r="F24" s="939"/>
      <c r="G24" s="939"/>
      <c r="H24" s="939"/>
      <c r="I24" s="939"/>
    </row>
    <row r="25" spans="1:36" ht="14.4">
      <c r="A25" s="3258"/>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c r="H26" s="939"/>
      <c r="I26" s="939"/>
    </row>
    <row r="27" spans="1:36" ht="13.8">
      <c r="A27" s="2255"/>
      <c r="B27" s="2256">
        <v>0</v>
      </c>
      <c r="C27" s="2256">
        <v>0</v>
      </c>
      <c r="D27" s="2257">
        <f>ROUND(C27*B27/10000,0)</f>
        <v>0</v>
      </c>
      <c r="E27" s="939"/>
      <c r="F27" s="939"/>
      <c r="G27" s="939"/>
      <c r="H27" s="939"/>
      <c r="I27" s="939"/>
    </row>
    <row r="28" spans="1:36" ht="13.8">
      <c r="A28" s="2255"/>
      <c r="B28" s="2256"/>
      <c r="C28" s="2256"/>
      <c r="D28" s="2257"/>
      <c r="E28" s="939"/>
      <c r="F28" s="939"/>
      <c r="G28" s="939"/>
      <c r="H28" s="939"/>
      <c r="I28" s="939"/>
    </row>
    <row r="29" spans="1:36" ht="13.8">
      <c r="A29" s="2255"/>
      <c r="B29" s="2256"/>
      <c r="C29" s="2256"/>
      <c r="D29" s="2257"/>
      <c r="E29" s="939"/>
      <c r="F29" s="939"/>
      <c r="G29" s="939"/>
      <c r="H29" s="939"/>
      <c r="I29" s="939"/>
    </row>
    <row r="30" spans="1:36" ht="14.4">
      <c r="A30" s="2256" t="s">
        <v>857</v>
      </c>
      <c r="B30" s="2256"/>
      <c r="C30" s="2256"/>
      <c r="D30" s="2256"/>
      <c r="E30" s="2258" t="s">
        <v>858</v>
      </c>
      <c r="F30" s="939"/>
      <c r="G30" s="939"/>
      <c r="H30" s="939"/>
      <c r="I30" s="939"/>
    </row>
    <row r="31" spans="1:36" s="2216" customFormat="1" ht="26.4"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4.4">
      <c r="A32" s="2261" t="s">
        <v>860</v>
      </c>
      <c r="B32" s="2262"/>
      <c r="C32" s="2263">
        <f ca="1">IF(D32="总价",G19-C24,G20-C25)</f>
        <v>52277</v>
      </c>
      <c r="D32" s="2264" t="s">
        <v>2790</v>
      </c>
      <c r="E32" s="939"/>
      <c r="F32" s="939"/>
      <c r="G32" s="939"/>
      <c r="H32" s="939"/>
      <c r="I32" s="939"/>
    </row>
    <row r="33" spans="1:15" ht="14.4">
      <c r="A33" s="2130" t="s">
        <v>861</v>
      </c>
      <c r="B33" s="1888"/>
      <c r="C33" s="2265"/>
      <c r="D33" s="2266"/>
      <c r="E33" s="2267" t="s">
        <v>862</v>
      </c>
      <c r="F33" s="2268" t="str">
        <f>IF(D32="楼面单价","取值（单价）","取值（总价）")</f>
        <v>取值（单价）</v>
      </c>
      <c r="G33" s="939"/>
      <c r="H33" s="939"/>
      <c r="I33" s="939"/>
    </row>
    <row r="34" spans="1:15" ht="14.4">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4.4">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4.4">
      <c r="A36" s="3259" t="s">
        <v>867</v>
      </c>
      <c r="B36" s="2281" t="s">
        <v>868</v>
      </c>
      <c r="C36" s="2282"/>
      <c r="D36" s="2283"/>
      <c r="E36" s="2284"/>
      <c r="F36" s="2285"/>
      <c r="G36" s="939"/>
      <c r="H36" s="939"/>
      <c r="I36" s="939"/>
    </row>
    <row r="37" spans="1:15" ht="14.4">
      <c r="A37" s="3260"/>
      <c r="B37" s="2286" t="s">
        <v>869</v>
      </c>
      <c r="C37" s="2287"/>
      <c r="D37" s="2288"/>
      <c r="E37" s="2288"/>
      <c r="F37" s="2285"/>
      <c r="G37" s="939"/>
      <c r="H37" s="939"/>
      <c r="I37" s="939"/>
    </row>
    <row r="38" spans="1:15" ht="14.4">
      <c r="A38" s="3261"/>
      <c r="B38" s="2289" t="s">
        <v>870</v>
      </c>
      <c r="C38" s="2290"/>
      <c r="D38" s="2291" t="s">
        <v>871</v>
      </c>
      <c r="E38" s="2288"/>
      <c r="F38" s="2285"/>
      <c r="G38" s="939"/>
      <c r="H38" s="939"/>
      <c r="I38" s="939"/>
    </row>
    <row r="39" spans="1:15" ht="14.4">
      <c r="A39" s="2240" t="s">
        <v>872</v>
      </c>
      <c r="B39" s="2292" t="s">
        <v>854</v>
      </c>
      <c r="C39" s="2293" t="s">
        <v>855</v>
      </c>
      <c r="D39" s="2293" t="s">
        <v>873</v>
      </c>
      <c r="E39" s="2294" t="s">
        <v>856</v>
      </c>
      <c r="F39" s="2285"/>
      <c r="G39" s="939"/>
      <c r="H39" s="939"/>
      <c r="I39" s="939"/>
    </row>
    <row r="40" spans="1:15" ht="13.8">
      <c r="A40" s="2295" t="s">
        <v>874</v>
      </c>
      <c r="B40" s="2296"/>
      <c r="C40" s="957"/>
      <c r="D40" s="957"/>
      <c r="E40" s="2297"/>
      <c r="F40" s="2285"/>
      <c r="G40" s="939"/>
      <c r="H40" s="939"/>
      <c r="I40" s="939"/>
    </row>
    <row r="41" spans="1:15" ht="13.8">
      <c r="A41" s="2295" t="s">
        <v>875</v>
      </c>
      <c r="B41" s="2296"/>
      <c r="C41" s="957"/>
      <c r="D41" s="957"/>
      <c r="E41" s="2297"/>
      <c r="F41" s="2285"/>
      <c r="G41" s="939"/>
      <c r="H41" s="939"/>
      <c r="I41" s="939"/>
    </row>
    <row r="42" spans="1:15" ht="13.8">
      <c r="A42" s="2298"/>
      <c r="B42" s="2299"/>
      <c r="C42" s="2300"/>
      <c r="D42" s="2300"/>
      <c r="E42" s="2280"/>
      <c r="F42" s="2285"/>
      <c r="G42" s="939"/>
      <c r="H42" s="939"/>
      <c r="I42" s="939"/>
    </row>
    <row r="43" spans="1:15" ht="13.2">
      <c r="A43" s="2301"/>
      <c r="B43" s="2301"/>
      <c r="C43" s="2301"/>
      <c r="D43" s="2301"/>
      <c r="E43" s="2301"/>
      <c r="F43" s="2302"/>
      <c r="G43" s="2302"/>
      <c r="H43" s="2302"/>
      <c r="I43" s="2354"/>
    </row>
    <row r="44" spans="1:15" ht="17.399999999999999">
      <c r="A44" s="2303" t="s">
        <v>876</v>
      </c>
      <c r="B44" s="2304"/>
      <c r="C44" s="2304"/>
      <c r="D44" s="2305"/>
      <c r="E44" s="2305"/>
      <c r="F44" s="2306"/>
      <c r="G44" s="2306"/>
      <c r="H44" s="2306"/>
      <c r="I44" s="2306"/>
      <c r="J44" s="851" t="s">
        <v>877</v>
      </c>
      <c r="K44" s="681"/>
      <c r="L44" s="681"/>
      <c r="M44" s="681"/>
      <c r="N44" s="681"/>
      <c r="O44" s="681"/>
    </row>
    <row r="45" spans="1:15" ht="14.25" customHeight="1">
      <c r="A45" s="3339" t="s">
        <v>878</v>
      </c>
      <c r="B45" s="3340"/>
      <c r="C45" s="3341"/>
      <c r="D45" s="1847">
        <f ca="1">ROUND(H101*F45,0)</f>
        <v>1259</v>
      </c>
      <c r="E45" s="2307" t="s">
        <v>879</v>
      </c>
      <c r="F45" s="2308">
        <v>1</v>
      </c>
      <c r="G45" s="1858" t="s">
        <v>880</v>
      </c>
      <c r="H45" s="939"/>
      <c r="I45" s="939"/>
      <c r="J45" s="3328" t="s">
        <v>881</v>
      </c>
      <c r="K45" s="3328"/>
      <c r="L45" s="3328"/>
      <c r="M45" s="3328"/>
      <c r="N45" s="3328"/>
      <c r="O45" s="3328"/>
    </row>
    <row r="46" spans="1:15" ht="14.25" customHeight="1">
      <c r="A46" s="3342" t="s">
        <v>882</v>
      </c>
      <c r="B46" s="3343"/>
      <c r="C46" s="3343"/>
      <c r="D46" s="3343"/>
      <c r="E46" s="3343"/>
      <c r="F46" s="3343"/>
      <c r="G46" s="3344"/>
      <c r="H46" s="2309"/>
      <c r="I46" s="940"/>
      <c r="J46" s="580">
        <v>1</v>
      </c>
      <c r="K46" s="3321" t="s">
        <v>883</v>
      </c>
      <c r="L46" s="3321"/>
      <c r="M46" s="3345"/>
      <c r="N46" s="3345"/>
      <c r="O46" s="3345"/>
    </row>
    <row r="47" spans="1:15" ht="12" customHeight="1">
      <c r="A47" s="2310" t="s">
        <v>884</v>
      </c>
      <c r="B47" s="2311"/>
      <c r="C47" s="2312"/>
      <c r="D47" s="1897" t="s">
        <v>885</v>
      </c>
      <c r="E47" s="1848" t="s">
        <v>886</v>
      </c>
      <c r="F47" s="2313" t="s">
        <v>887</v>
      </c>
      <c r="G47" s="2314" t="s">
        <v>888</v>
      </c>
      <c r="H47" s="2315"/>
      <c r="I47" s="940"/>
      <c r="J47" s="580">
        <v>2</v>
      </c>
      <c r="K47" s="3321" t="s">
        <v>889</v>
      </c>
      <c r="L47" s="3321"/>
      <c r="M47" s="3325">
        <f>'数据-取费表'!B2</f>
        <v>45924</v>
      </c>
      <c r="N47" s="3325"/>
      <c r="O47" s="3325"/>
    </row>
    <row r="48" spans="1:15" ht="26.4">
      <c r="A48" s="3326" t="s">
        <v>890</v>
      </c>
      <c r="B48" s="3309"/>
      <c r="C48" s="3309"/>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321" t="s">
        <v>892</v>
      </c>
      <c r="L48" s="3321"/>
      <c r="M48" s="3327">
        <f ca="1">H101</f>
        <v>1259</v>
      </c>
      <c r="N48" s="3327"/>
      <c r="O48" s="3327"/>
    </row>
    <row r="49" spans="1:35" ht="25.5" customHeight="1">
      <c r="A49" s="2316" t="s">
        <v>893</v>
      </c>
      <c r="B49" s="3294" t="s">
        <v>894</v>
      </c>
      <c r="C49" s="3294"/>
      <c r="D49" s="2320">
        <v>0</v>
      </c>
      <c r="E49" s="1907" t="s">
        <v>895</v>
      </c>
      <c r="F49" s="2321" t="s">
        <v>124</v>
      </c>
      <c r="G49" s="3322"/>
      <c r="H49" s="2322" t="s">
        <v>896</v>
      </c>
      <c r="I49" s="2356"/>
      <c r="J49" s="580">
        <v>4</v>
      </c>
      <c r="K49" s="3321" t="str">
        <f>IF(项目基本情况!E8="房地产抵押价值","房地产抵押价值","抵押担保权已注销时的房地产抵押价值")</f>
        <v>房地产抵押价值</v>
      </c>
      <c r="L49" s="3321"/>
      <c r="M49" s="3327">
        <f ca="1">IF(项目基本情况!E8="房地产抵押价值",H107,H109)</f>
        <v>1259</v>
      </c>
      <c r="N49" s="3327"/>
      <c r="O49" s="3327"/>
    </row>
    <row r="50" spans="1:35" ht="25.5" customHeight="1">
      <c r="A50" s="2323"/>
      <c r="B50" s="3294" t="s">
        <v>897</v>
      </c>
      <c r="C50" s="3294"/>
      <c r="D50" s="2324"/>
      <c r="E50" s="1922"/>
      <c r="F50" s="2321"/>
      <c r="G50" s="3323"/>
      <c r="H50" s="2325" t="s">
        <v>898</v>
      </c>
      <c r="I50" s="2356"/>
      <c r="J50" s="3328" t="s">
        <v>899</v>
      </c>
      <c r="K50" s="3328"/>
      <c r="L50" s="3328"/>
      <c r="M50" s="3328"/>
      <c r="N50" s="3328"/>
      <c r="O50" s="3328"/>
    </row>
    <row r="51" spans="1:35" ht="20.399999999999999" customHeight="1">
      <c r="A51" s="2326"/>
      <c r="B51" s="3294" t="s">
        <v>900</v>
      </c>
      <c r="C51" s="3294"/>
      <c r="D51" s="1897"/>
      <c r="E51" s="1911"/>
      <c r="F51" s="2321"/>
      <c r="G51" s="3324"/>
      <c r="H51" s="2325" t="s">
        <v>901</v>
      </c>
      <c r="I51" s="2356"/>
      <c r="J51" s="2355" t="s">
        <v>902</v>
      </c>
      <c r="K51" s="3321" t="s">
        <v>903</v>
      </c>
      <c r="L51" s="3321"/>
      <c r="M51" s="2355" t="s">
        <v>904</v>
      </c>
      <c r="N51" s="2355" t="s">
        <v>905</v>
      </c>
      <c r="O51" s="2355" t="s">
        <v>906</v>
      </c>
    </row>
    <row r="52" spans="1:35" ht="24" customHeight="1">
      <c r="A52" s="2327" t="s">
        <v>907</v>
      </c>
      <c r="B52" s="3294" t="s">
        <v>908</v>
      </c>
      <c r="C52" s="3294"/>
      <c r="D52" s="1897">
        <f ca="1">ROUND(D45*'数据-取费表'!B41/(1+'数据-取费表'!C42),0)</f>
        <v>67</v>
      </c>
      <c r="E52" s="1901" t="s">
        <v>909</v>
      </c>
      <c r="F52" s="2328">
        <f>'数据-取费表'!B41</f>
        <v>5.6000000000000001E-2</v>
      </c>
      <c r="G52" s="2329"/>
      <c r="H52" s="2012"/>
      <c r="I52" s="2357"/>
      <c r="J52" s="580">
        <v>1</v>
      </c>
      <c r="K52" s="3317" t="s">
        <v>910</v>
      </c>
      <c r="L52" s="3317"/>
      <c r="M52" s="2358" t="b">
        <f>D48</f>
        <v>0</v>
      </c>
      <c r="N52" s="580" t="str">
        <f>E48</f>
        <v>销售额×税（费）率</v>
      </c>
      <c r="O52" s="2359">
        <f>F48</f>
        <v>5.6000000000000001E-2</v>
      </c>
    </row>
    <row r="53" spans="1:35" ht="12" customHeight="1">
      <c r="A53" s="2327" t="s">
        <v>911</v>
      </c>
      <c r="B53" s="3293" t="s">
        <v>912</v>
      </c>
      <c r="C53" s="3313"/>
      <c r="D53" s="1897">
        <f ca="1">ROUND(D45*'数据-取费表'!B41/(1+'数据-取费表'!C42),0)</f>
        <v>67</v>
      </c>
      <c r="E53" s="1901" t="s">
        <v>909</v>
      </c>
      <c r="F53" s="2328">
        <f>'数据-取费表'!B41</f>
        <v>5.6000000000000001E-2</v>
      </c>
      <c r="G53" s="2329"/>
      <c r="H53" s="2012"/>
      <c r="I53" s="2357"/>
      <c r="J53" s="580">
        <v>2</v>
      </c>
      <c r="K53" s="3317" t="s">
        <v>913</v>
      </c>
      <c r="L53" s="3317"/>
      <c r="M53" s="2358">
        <f t="shared" ref="M53:O54" ca="1" si="0">D55</f>
        <v>1</v>
      </c>
      <c r="N53" s="580" t="str">
        <f t="shared" si="0"/>
        <v>销售额×税（费）率</v>
      </c>
      <c r="O53" s="2359" t="str">
        <f t="shared" si="0"/>
        <v>免征</v>
      </c>
    </row>
    <row r="54" spans="1:35" ht="12" customHeight="1">
      <c r="A54" s="2327" t="s">
        <v>914</v>
      </c>
      <c r="B54" s="3293" t="s">
        <v>915</v>
      </c>
      <c r="C54" s="3313"/>
      <c r="D54" s="1897">
        <f ca="1">C68</f>
        <v>67</v>
      </c>
      <c r="E54" s="1911" t="s">
        <v>916</v>
      </c>
      <c r="F54" s="2328">
        <f>'数据-取费表'!B41</f>
        <v>5.6000000000000001E-2</v>
      </c>
      <c r="G54" s="2329"/>
      <c r="H54" s="2330"/>
      <c r="I54" s="2357"/>
      <c r="J54" s="580">
        <v>3</v>
      </c>
      <c r="K54" s="3317" t="s">
        <v>917</v>
      </c>
      <c r="L54" s="3317"/>
      <c r="M54" s="2358">
        <f t="shared" ca="1" si="0"/>
        <v>713</v>
      </c>
      <c r="N54" s="580" t="str">
        <f t="shared" si="0"/>
        <v>增值额×税（费）率</v>
      </c>
      <c r="O54" s="2360" t="str">
        <f t="shared" si="0"/>
        <v>免征</v>
      </c>
    </row>
    <row r="55" spans="1:35" ht="24" customHeight="1">
      <c r="A55" s="3308" t="s">
        <v>918</v>
      </c>
      <c r="B55" s="3309"/>
      <c r="C55" s="3309"/>
      <c r="D55" s="1998">
        <f ca="1">IF(H55="个人住宅",0,ROUND(D45*I55,0))</f>
        <v>1</v>
      </c>
      <c r="E55" s="1901" t="s">
        <v>919</v>
      </c>
      <c r="F55" s="2328" t="str">
        <f>IF(H55="正常",I55,"免征")</f>
        <v>免征</v>
      </c>
      <c r="G55" s="2329"/>
      <c r="H55" s="2319"/>
      <c r="I55" s="2361">
        <f>'数据-取费表'!B49</f>
        <v>5.0000000000000001E-4</v>
      </c>
      <c r="J55" s="580">
        <f>IF(H59="非个人房产","",4)</f>
        <v>4</v>
      </c>
      <c r="K55" s="3317" t="str">
        <f>IF(H59="非个人房产","——","个人所得税")</f>
        <v>个人所得税</v>
      </c>
      <c r="L55" s="3317"/>
      <c r="M55" s="2362">
        <f ca="1">D59</f>
        <v>12</v>
      </c>
      <c r="N55" s="561" t="str">
        <f>E59</f>
        <v>差额计税</v>
      </c>
      <c r="O55" s="2363">
        <f>F59</f>
        <v>0.01</v>
      </c>
    </row>
    <row r="56" spans="1:35" ht="25.2">
      <c r="A56" s="3308" t="s">
        <v>920</v>
      </c>
      <c r="B56" s="3309"/>
      <c r="C56" s="3309"/>
      <c r="D56" s="1998">
        <f ca="1">IF(H56="个人住宅",D57,D58)</f>
        <v>713</v>
      </c>
      <c r="E56" s="1901" t="s">
        <v>921</v>
      </c>
      <c r="F56" s="2328" t="str">
        <f>IF(H56="正常",F58,"免征")</f>
        <v>免征</v>
      </c>
      <c r="G56" s="2331" t="s">
        <v>922</v>
      </c>
      <c r="H56" s="2332"/>
      <c r="I56" s="2341"/>
      <c r="J56" s="580" t="str">
        <f>IF(项目基本情况!K6="上海银行",IF(J55="",4,J55+1),"")</f>
        <v/>
      </c>
      <c r="K56" s="3310" t="str">
        <f>IF(项目基本情况!K6="上海银行","其他处置费用","")</f>
        <v/>
      </c>
      <c r="L56" s="3311"/>
      <c r="M56" s="2358" t="str">
        <f>IF(项目基本情况!K6="上海银行",M69,"")</f>
        <v/>
      </c>
      <c r="N56" s="3310" t="str">
        <f>IF(项目基本情况!K6="上海银行","包含处置中涉及的律师、诉讼、拍卖、评估等费用","")</f>
        <v/>
      </c>
      <c r="O56" s="3312"/>
    </row>
    <row r="57" spans="1:35" ht="13.2">
      <c r="A57" s="2327" t="s">
        <v>893</v>
      </c>
      <c r="B57" s="3293" t="s">
        <v>923</v>
      </c>
      <c r="C57" s="3313"/>
      <c r="D57" s="2320">
        <v>0</v>
      </c>
      <c r="E57" s="1907" t="s">
        <v>895</v>
      </c>
      <c r="F57" s="1848"/>
      <c r="G57" s="2329"/>
      <c r="H57" s="2333"/>
      <c r="I57" s="2341"/>
      <c r="J57" s="3317">
        <f>IF(AND(J55="",J56=""),4,IF(项目基本情况!K6="上海银行",结果表!J56+1,结果表!J55+1))</f>
        <v>5</v>
      </c>
      <c r="K57" s="3317" t="s">
        <v>924</v>
      </c>
      <c r="L57" s="2364" t="s">
        <v>925</v>
      </c>
      <c r="M57" s="2365"/>
      <c r="N57" s="2366">
        <f ca="1">SUMIF(M52:M56,"&lt;9e307")</f>
        <v>726</v>
      </c>
      <c r="O57" s="2367"/>
      <c r="P57" s="2368">
        <f ca="1">N57/M49</f>
        <v>0.57664813343923749</v>
      </c>
    </row>
    <row r="58" spans="1:35" ht="25.2">
      <c r="A58" s="2327" t="s">
        <v>907</v>
      </c>
      <c r="B58" s="3293" t="s">
        <v>926</v>
      </c>
      <c r="C58" s="3294"/>
      <c r="D58" s="1998">
        <f ca="1">IF(H58="转让取得",C81,C97)</f>
        <v>713</v>
      </c>
      <c r="E58" s="1901" t="s">
        <v>921</v>
      </c>
      <c r="F58" s="1848" t="s">
        <v>124</v>
      </c>
      <c r="G58" s="2329"/>
      <c r="H58" s="2332"/>
      <c r="I58" s="2341"/>
      <c r="J58" s="3317"/>
      <c r="K58" s="3317"/>
      <c r="L58" s="2364" t="s">
        <v>927</v>
      </c>
      <c r="M58" s="2369"/>
      <c r="N58" s="2370" t="str">
        <f ca="1">NUMBERSTRING(INT(N57*10000),2)&amp;"元整"</f>
        <v>柒佰贰拾陆万元整</v>
      </c>
      <c r="O58" s="2371"/>
    </row>
    <row r="59" spans="1:35" ht="24">
      <c r="A59" s="3314" t="s">
        <v>928</v>
      </c>
      <c r="B59" s="3315"/>
      <c r="C59" s="3315"/>
      <c r="D59" s="2334">
        <f ca="1">IF(H59="非个人房产","——",IF(H59="个人住宅（满五唯一有凭证）",0,IF(H59="个人其他（无凭证）",ROUND(D45/(1+'数据-取费表'!C42)*F59,0),ROUND(C67*F59,0))))</f>
        <v>12</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18">
        <f>J57+1</f>
        <v>6</v>
      </c>
      <c r="K59" s="3317" t="s">
        <v>930</v>
      </c>
      <c r="L59" s="580" t="s">
        <v>925</v>
      </c>
      <c r="M59" s="2373"/>
      <c r="N59" s="2374">
        <f ca="1">M49-N57</f>
        <v>533</v>
      </c>
      <c r="O59" s="2375"/>
    </row>
    <row r="60" spans="1:35" ht="12" customHeight="1">
      <c r="A60" s="2339"/>
      <c r="B60" s="1991"/>
      <c r="C60" s="1991"/>
      <c r="D60" s="1991"/>
      <c r="E60" s="2340"/>
      <c r="F60" s="2341"/>
      <c r="G60" s="2341"/>
      <c r="H60" s="940"/>
      <c r="I60" s="939"/>
      <c r="J60" s="3319"/>
      <c r="K60" s="3317"/>
      <c r="L60" s="2364" t="s">
        <v>927</v>
      </c>
      <c r="M60" s="2369"/>
      <c r="N60" s="2370" t="str">
        <f ca="1">NUMBERSTRING(INT(N59*10000),2)&amp;"元整"</f>
        <v>伍佰叁拾叁万元整</v>
      </c>
      <c r="O60" s="2371"/>
    </row>
    <row r="61" spans="1:35" ht="13.2">
      <c r="A61" s="3316" t="s">
        <v>931</v>
      </c>
      <c r="B61" s="3316"/>
      <c r="C61" s="3316"/>
      <c r="D61" s="3316"/>
      <c r="E61" s="3316"/>
      <c r="F61" s="2341"/>
      <c r="G61" s="2341"/>
      <c r="H61" s="940"/>
      <c r="I61" s="939"/>
      <c r="J61" s="580">
        <f>J59+1</f>
        <v>7</v>
      </c>
      <c r="K61" s="3317" t="s">
        <v>932</v>
      </c>
      <c r="L61" s="3317"/>
      <c r="M61" s="2376"/>
      <c r="N61" s="2377">
        <f ca="1">ROUND(N59*10000/'数据-汇总表'!E3,0)</f>
        <v>22132</v>
      </c>
      <c r="O61" s="2378"/>
    </row>
    <row r="62" spans="1:35" ht="13.2">
      <c r="A62" s="3291" t="s">
        <v>933</v>
      </c>
      <c r="B62" s="3292"/>
      <c r="C62" s="532"/>
      <c r="D62" s="532" t="s">
        <v>934</v>
      </c>
      <c r="E62" s="2342" t="s">
        <v>888</v>
      </c>
      <c r="F62" s="2341"/>
      <c r="G62" s="2341"/>
      <c r="H62" s="940"/>
      <c r="I62" s="939"/>
    </row>
    <row r="63" spans="1:35" ht="13.2">
      <c r="A63" s="2343" t="s">
        <v>935</v>
      </c>
      <c r="B63" s="590" t="s">
        <v>936</v>
      </c>
      <c r="C63" s="2344">
        <f ca="1">ROUND((C64+C65)/(1+'数据-取费表'!C42),0)</f>
        <v>1199</v>
      </c>
      <c r="D63" s="590"/>
      <c r="E63" s="2345"/>
      <c r="F63" s="2341"/>
      <c r="G63" s="2341"/>
      <c r="H63" s="940"/>
      <c r="I63" s="939"/>
      <c r="J63" s="3320" t="s">
        <v>937</v>
      </c>
      <c r="K63" s="2379" t="s">
        <v>938</v>
      </c>
      <c r="L63" s="2379">
        <f ca="1">IF(M49&gt;10000,M49*0.5%,IF(AND(M49&gt;1000,M49&lt;=10000),M49*1%,IF(AND(M49&gt;100,M49&lt;=1000),M49*3%,IF(AND(M49&gt;10,M49&lt;=100),M49*5%,M49*8%))))</f>
        <v>12.59</v>
      </c>
      <c r="M63" s="1848">
        <f ca="1">ROUND(L63,1)</f>
        <v>12.6</v>
      </c>
      <c r="N63" s="2380"/>
      <c r="Z63" s="2218"/>
      <c r="AI63" s="2217"/>
    </row>
    <row r="64" spans="1:35" ht="14.25" customHeight="1">
      <c r="A64" s="2346" t="s">
        <v>939</v>
      </c>
      <c r="B64" s="513" t="s">
        <v>940</v>
      </c>
      <c r="C64" s="2347">
        <f ca="1">D45</f>
        <v>1259</v>
      </c>
      <c r="D64" s="513" t="s">
        <v>124</v>
      </c>
      <c r="E64" s="2348"/>
      <c r="F64" s="2341"/>
      <c r="G64" s="2341"/>
      <c r="H64" s="940"/>
      <c r="I64" s="939"/>
      <c r="J64" s="3320"/>
      <c r="K64" s="2379" t="s">
        <v>941</v>
      </c>
      <c r="L64" s="2379">
        <f ca="1">IF(M49&gt;2000,M49*0.5%,IF(AND(M49&gt;1000,M49&lt;=2000),M49*0.6%,IF(AND(M49&gt;500,M49&lt;=1000),M49*0.7%,IF(AND(M49&gt;200,M49&lt;=500),M49*0.8%,IF(AND(M49&gt;100,M49&lt;=200),M49*0.9%,IF(AND(M49&gt;50,M49&lt;=100),M49*1%,IF(AND(M49&gt;20,M49&lt;=50),M49*1.5%,IF(AND(M49&gt;10,M49&lt;=20),M49*2%,IF(AND(M49&gt;1,M49&lt;=10),M49*2.5%)))))))))</f>
        <v>7.5540000000000003</v>
      </c>
      <c r="M64" s="1848">
        <f t="shared" ref="M64:M65" ca="1" si="1">ROUND(L64,1)</f>
        <v>7.6</v>
      </c>
      <c r="N64" s="2012" t="s">
        <v>942</v>
      </c>
      <c r="Z64" s="2218"/>
      <c r="AI64" s="2217"/>
    </row>
    <row r="65" spans="1:35" ht="14.25" customHeight="1">
      <c r="A65" s="2346" t="s">
        <v>943</v>
      </c>
      <c r="B65" s="513" t="s">
        <v>944</v>
      </c>
      <c r="C65" s="2382"/>
      <c r="D65" s="513"/>
      <c r="E65" s="2348"/>
      <c r="F65" s="2341"/>
      <c r="G65" s="2341"/>
      <c r="H65" s="940"/>
      <c r="I65" s="939"/>
      <c r="J65" s="3320"/>
      <c r="K65" s="2379" t="s">
        <v>945</v>
      </c>
      <c r="L65" s="2379">
        <f ca="1">IF(M49&gt;1000,M49*0.1%,IF(AND(M49&gt;500,M49&lt;=1000),M49*0.5%,IF(AND(M49&gt;50,M49&lt;=500),M49*1%,IF(AND(M49&gt;1,M49&lt;=50),M49*1.5%))))</f>
        <v>1.2590000000000001</v>
      </c>
      <c r="M65" s="1848">
        <f t="shared" ca="1" si="1"/>
        <v>1.3</v>
      </c>
      <c r="N65" s="2012" t="s">
        <v>942</v>
      </c>
      <c r="Z65" s="2218"/>
      <c r="AI65" s="2217"/>
    </row>
    <row r="66" spans="1:35" ht="14.25" customHeight="1">
      <c r="A66" s="2343" t="s">
        <v>946</v>
      </c>
      <c r="B66" s="2383" t="s">
        <v>947</v>
      </c>
      <c r="C66" s="2384"/>
      <c r="D66" s="2383" t="s">
        <v>124</v>
      </c>
      <c r="E66" s="2385" t="s">
        <v>948</v>
      </c>
      <c r="F66" s="2341"/>
      <c r="G66" s="2341"/>
      <c r="H66" s="940"/>
      <c r="I66" s="939"/>
      <c r="J66" s="3320"/>
      <c r="K66" s="2379" t="s">
        <v>949</v>
      </c>
      <c r="L66" s="2379">
        <f ca="1">M49*0.5%</f>
        <v>6.2949999999999999</v>
      </c>
      <c r="M66" s="1848">
        <f ca="1">IF(L66&gt;0.5,0.5,ROUND(L66,0))</f>
        <v>0.5</v>
      </c>
      <c r="N66" s="2012" t="s">
        <v>950</v>
      </c>
      <c r="Z66" s="2218"/>
      <c r="AI66" s="2217"/>
    </row>
    <row r="67" spans="1:35" ht="14.25" customHeight="1">
      <c r="A67" s="2343" t="s">
        <v>951</v>
      </c>
      <c r="B67" s="2383" t="s">
        <v>952</v>
      </c>
      <c r="C67" s="2386">
        <f ca="1">C63-C66</f>
        <v>1199</v>
      </c>
      <c r="D67" s="513" t="s">
        <v>124</v>
      </c>
      <c r="E67" s="2348"/>
      <c r="F67" s="2341"/>
      <c r="G67" s="2341"/>
      <c r="H67" s="940"/>
      <c r="I67" s="939"/>
      <c r="J67" s="3320"/>
      <c r="K67" s="2379" t="s">
        <v>953</v>
      </c>
      <c r="L67" s="2379">
        <f ca="1">IF(M49&gt;=10000,(8.25+(M49-10000)*0.01%),IF(AND(M49&gt;=8000,M49&lt;10000),(7.85+(M49-8000)*0.02%),IF(AND(M49&gt;=5000,M49&lt;8000),(6.65+(M49-5000)*0.04%),IF(AND(M49&gt;=2000,M49&lt;5000),(4.25+(PM49-2000)*0.08%),IF(AND(M49&gt;=1000,M49&lt;2000),(2.75+(M49-1000)*0.15%),IF(AND(M49&gt;=100,M49&lt;1000),(0.5+(M49-100)*0.25%),IF(AND(M49&gt;0,M49&lt;100),M49*0.5%)))))))</f>
        <v>3.1385000000000001</v>
      </c>
      <c r="M67" s="1848">
        <f ca="1">ROUND(L67*0.9,1)</f>
        <v>2.8</v>
      </c>
      <c r="N67" s="2380"/>
      <c r="Z67" s="2218"/>
      <c r="AI67" s="2217"/>
    </row>
    <row r="68" spans="1:35" ht="14.25" customHeight="1">
      <c r="A68" s="2387" t="s">
        <v>954</v>
      </c>
      <c r="B68" s="2388" t="s">
        <v>955</v>
      </c>
      <c r="C68" s="2389">
        <f ca="1">IF(C67&lt;=0,0,ROUND(C67*D68,0))</f>
        <v>67</v>
      </c>
      <c r="D68" s="775">
        <f>'数据-取费表'!B41</f>
        <v>5.6000000000000001E-2</v>
      </c>
      <c r="E68" s="2390"/>
      <c r="F68" s="2341"/>
      <c r="G68" s="2341"/>
      <c r="H68" s="940"/>
      <c r="I68" s="939"/>
      <c r="J68" s="3320"/>
      <c r="K68" s="2379" t="s">
        <v>956</v>
      </c>
      <c r="L68" s="2379">
        <f ca="1">IF(M49&gt;10000,M49*0.5%,IF(AND(M49&gt;5000,M49&lt;=10000),M49*1%,IF(AND(M49&gt;1000,M49&lt;=5000),M49*2%,IF(AND(M49&gt;200,M49&lt;=1000),M49*3%,M49*5%))))</f>
        <v>25.18</v>
      </c>
      <c r="M68" s="1848">
        <f ca="1">ROUND(L68,1)</f>
        <v>25.2</v>
      </c>
      <c r="N68" s="2380"/>
      <c r="Z68" s="2218"/>
      <c r="AI68" s="2217"/>
    </row>
    <row r="69" spans="1:35" ht="16.5" customHeight="1">
      <c r="A69" s="2391"/>
      <c r="B69" s="2392"/>
      <c r="C69" s="2393"/>
      <c r="D69" s="697"/>
      <c r="E69" s="2394"/>
      <c r="F69" s="2340"/>
      <c r="G69" s="2340"/>
      <c r="H69" s="2301"/>
      <c r="I69" s="1991"/>
      <c r="J69" s="3320"/>
      <c r="K69" s="2379" t="s">
        <v>957</v>
      </c>
      <c r="L69" s="2379"/>
      <c r="M69" s="1848">
        <f ca="1">ROUND(SUM(M63:M68),0)</f>
        <v>50</v>
      </c>
      <c r="N69" s="2454">
        <f ca="1">M69/M49</f>
        <v>3.971405877680699E-2</v>
      </c>
      <c r="Z69" s="2218"/>
      <c r="AI69" s="2217"/>
    </row>
    <row r="70" spans="1:35" s="880" customFormat="1" ht="13.8">
      <c r="A70" s="3289" t="s">
        <v>958</v>
      </c>
      <c r="B70" s="3290"/>
      <c r="C70" s="3290"/>
      <c r="D70" s="3290"/>
      <c r="E70" s="3290"/>
      <c r="F70" s="3290"/>
      <c r="G70" s="3290"/>
      <c r="H70" s="3290"/>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3.8">
      <c r="A71" s="3291" t="s">
        <v>933</v>
      </c>
      <c r="B71" s="3292"/>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3.8">
      <c r="A72" s="2343" t="s">
        <v>935</v>
      </c>
      <c r="B72" s="2383" t="s">
        <v>959</v>
      </c>
      <c r="C72" s="2386">
        <f ca="1">ROUND(D45/(1+'数据-取费表'!C42),0)</f>
        <v>1199</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3.8">
      <c r="A73" s="2343" t="s">
        <v>946</v>
      </c>
      <c r="B73" s="2313" t="s">
        <v>960</v>
      </c>
      <c r="C73" s="2386">
        <f ca="1">C74+C78</f>
        <v>7</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28.8">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3" t="s">
        <v>968</v>
      </c>
      <c r="F76" s="3294"/>
      <c r="G76" s="3294"/>
      <c r="H76" s="3295"/>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7</v>
      </c>
      <c r="D78" s="2409">
        <f>'数据-取费表'!B43</f>
        <v>6.000000000000001E-3</v>
      </c>
      <c r="E78" s="3271" t="s">
        <v>973</v>
      </c>
      <c r="F78" s="3272"/>
      <c r="G78" s="3272"/>
      <c r="H78" s="3273"/>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3.8">
      <c r="A79" s="2343" t="s">
        <v>951</v>
      </c>
      <c r="B79" s="2383" t="s">
        <v>974</v>
      </c>
      <c r="C79" s="2386">
        <f ca="1">C72-C73</f>
        <v>1192</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170.28571428571428</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713</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3.8">
      <c r="A83" s="3289" t="s">
        <v>978</v>
      </c>
      <c r="B83" s="3290"/>
      <c r="C83" s="3290"/>
      <c r="D83" s="3290"/>
      <c r="E83" s="3290"/>
      <c r="F83" s="3290"/>
      <c r="G83" s="3290"/>
      <c r="H83" s="3290"/>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3.8">
      <c r="A84" s="3291" t="s">
        <v>933</v>
      </c>
      <c r="B84" s="3292"/>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3.8">
      <c r="A85" s="2343" t="s">
        <v>935</v>
      </c>
      <c r="B85" s="2383" t="s">
        <v>959</v>
      </c>
      <c r="C85" s="2386">
        <f ca="1">ROUND(D45/(1+'数据-取费表'!C42),0)</f>
        <v>1199</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3.8">
      <c r="A86" s="2343" t="s">
        <v>946</v>
      </c>
      <c r="B86" s="2313" t="s">
        <v>960</v>
      </c>
      <c r="C86" s="2386">
        <f ca="1">IF(H88="仅含出让金",C87+C90+C91+C92+C93+C94,C87+C91+C92+C93+C94)</f>
        <v>7</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3.8">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4">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3.8">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4">
      <c r="A90" s="2346" t="s">
        <v>943</v>
      </c>
      <c r="B90" s="513" t="s">
        <v>985</v>
      </c>
      <c r="C90" s="2423"/>
      <c r="D90" s="2409"/>
      <c r="E90" s="2424" t="str">
        <f>IF(H88="-","土地取得成本中已包含该笔费用"," ")</f>
        <v xml:space="preserve"> </v>
      </c>
      <c r="F90" s="2411"/>
      <c r="G90" s="3306" t="s">
        <v>986</v>
      </c>
      <c r="H90" s="3307"/>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271" t="s">
        <v>990</v>
      </c>
      <c r="F91" s="3272"/>
      <c r="G91" s="3272"/>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271" t="s">
        <v>993</v>
      </c>
      <c r="F92" s="3272"/>
      <c r="G92" s="3272"/>
      <c r="H92" s="3273"/>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7</v>
      </c>
      <c r="D93" s="2409">
        <f>'数据-取费表'!B43</f>
        <v>6.000000000000001E-3</v>
      </c>
      <c r="E93" s="3271" t="s">
        <v>973</v>
      </c>
      <c r="F93" s="3272"/>
      <c r="G93" s="3272"/>
      <c r="H93" s="3273"/>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274" t="s">
        <v>998</v>
      </c>
      <c r="F94" s="3275"/>
      <c r="G94" s="3275"/>
      <c r="H94" s="3276"/>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3.8">
      <c r="A95" s="2343" t="s">
        <v>951</v>
      </c>
      <c r="B95" s="2383" t="s">
        <v>974</v>
      </c>
      <c r="C95" s="2386">
        <f ca="1">ROUND(C85-C86,0)</f>
        <v>1192</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170.28571428571428</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713</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49" t="s">
        <v>1000</v>
      </c>
      <c r="B100" s="3250"/>
      <c r="C100" s="3250"/>
      <c r="D100" s="3277"/>
      <c r="E100" s="3250" t="s">
        <v>1001</v>
      </c>
      <c r="F100" s="3250"/>
      <c r="G100" s="3250"/>
      <c r="H100" s="3277"/>
      <c r="I100" s="939"/>
    </row>
    <row r="101" spans="1:35" ht="18.75" customHeight="1">
      <c r="A101" s="3278" t="s">
        <v>1002</v>
      </c>
      <c r="B101" s="3279"/>
      <c r="C101" s="2431" t="str">
        <f>C4</f>
        <v>比较法-商业</v>
      </c>
      <c r="D101" s="2432" t="str">
        <f>D4</f>
        <v>收益法 (元)</v>
      </c>
      <c r="E101" s="3302" t="s">
        <v>1003</v>
      </c>
      <c r="F101" s="3297"/>
      <c r="G101" s="2434" t="s">
        <v>1004</v>
      </c>
      <c r="H101" s="2435">
        <f ca="1">H118</f>
        <v>1259</v>
      </c>
      <c r="I101" s="939"/>
    </row>
    <row r="102" spans="1:35" ht="18.75" customHeight="1">
      <c r="A102" s="3262" t="s">
        <v>1005</v>
      </c>
      <c r="B102" s="2436" t="s">
        <v>1004</v>
      </c>
      <c r="C102" s="2431">
        <f ca="1">IF(D32="楼面单价",ROUND(C19,0),C19)</f>
        <v>1414</v>
      </c>
      <c r="D102" s="2432">
        <f ca="1">IF(D32="楼面单价",ROUND(D19,0),D19)</f>
        <v>1104</v>
      </c>
      <c r="E102" s="3302"/>
      <c r="F102" s="3297"/>
      <c r="G102" s="2434" t="s">
        <v>99</v>
      </c>
      <c r="H102" s="2329">
        <f ca="1">I118</f>
        <v>52277</v>
      </c>
      <c r="I102" s="939"/>
    </row>
    <row r="103" spans="1:35" ht="42.75" customHeight="1">
      <c r="A103" s="3262"/>
      <c r="B103" s="2436" t="s">
        <v>99</v>
      </c>
      <c r="C103" s="2437">
        <f ca="1">C20</f>
        <v>58696</v>
      </c>
      <c r="D103" s="2438">
        <f ca="1">D20</f>
        <v>45858</v>
      </c>
      <c r="E103" s="3280" t="s">
        <v>1006</v>
      </c>
      <c r="F103" s="3281"/>
      <c r="G103" s="2439" t="s">
        <v>102</v>
      </c>
      <c r="H103" s="2435">
        <f>IF(D36="正常操作",H104+H105+H106,H105+H106)</f>
        <v>0</v>
      </c>
      <c r="I103" s="939"/>
    </row>
    <row r="104" spans="1:35" ht="18.75" customHeight="1">
      <c r="A104" s="3262" t="s">
        <v>1007</v>
      </c>
      <c r="B104" s="2440" t="s">
        <v>1004</v>
      </c>
      <c r="C104" s="2441">
        <f ca="1">H118</f>
        <v>1259</v>
      </c>
      <c r="D104" s="2442"/>
      <c r="E104" s="2286" t="s">
        <v>1008</v>
      </c>
      <c r="F104" s="2443"/>
      <c r="G104" s="2439" t="s">
        <v>102</v>
      </c>
      <c r="H104" s="2444">
        <f>IF(D36="同一抵押权人同一抵押物续贷",C36&amp;"（续贷，未扣减，详见特别提示）",C36)</f>
        <v>0</v>
      </c>
      <c r="I104" s="939"/>
    </row>
    <row r="105" spans="1:35" ht="18.75" customHeight="1">
      <c r="A105" s="3263"/>
      <c r="B105" s="2445" t="s">
        <v>99</v>
      </c>
      <c r="C105" s="2446">
        <f ca="1">I118</f>
        <v>52277</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c r="E107" s="3296" t="str">
        <f>IF(项目基本情况!E8="已注销","——","3.房地产抵押价值")</f>
        <v>3.房地产抵押价值</v>
      </c>
      <c r="F107" s="3297"/>
      <c r="G107" s="2434" t="s">
        <v>1004</v>
      </c>
      <c r="H107" s="2435">
        <f ca="1">IF(E107="——","——",H101-H103)</f>
        <v>1259</v>
      </c>
      <c r="I107" s="939"/>
    </row>
    <row r="108" spans="1:35" ht="18.75" customHeight="1">
      <c r="A108" s="939"/>
      <c r="B108" s="939"/>
      <c r="C108" s="939"/>
      <c r="D108" s="939"/>
      <c r="E108" s="3296"/>
      <c r="F108" s="3297"/>
      <c r="G108" s="2434" t="s">
        <v>99</v>
      </c>
      <c r="H108" s="2329">
        <f ca="1">IF(H107=H101,H102,ROUND(H107*10000/'数据-汇总表'!E3,0))</f>
        <v>52277</v>
      </c>
      <c r="I108" s="939"/>
    </row>
    <row r="109" spans="1:35" ht="18.75" customHeight="1">
      <c r="A109" s="939"/>
      <c r="B109" s="939"/>
      <c r="C109" s="939"/>
      <c r="D109" s="939"/>
      <c r="E109" s="3296" t="str">
        <f>IF(项目基本情况!E8="已注销及未注销","4.抵押担保权已注销时的房地产抵押价值",IF(项目基本情况!E8="已注销","3.抵押担保权已注销时的房地产抵押价值","——"))</f>
        <v>——</v>
      </c>
      <c r="F109" s="3297"/>
      <c r="G109" s="2434" t="s">
        <v>1004</v>
      </c>
      <c r="H109" s="2450" t="str">
        <f>IF(E109="——","——",H101-H105-H106)</f>
        <v>——</v>
      </c>
      <c r="I109" s="939"/>
    </row>
    <row r="110" spans="1:35" ht="18.75" customHeight="1">
      <c r="A110" s="939"/>
      <c r="B110" s="939"/>
      <c r="C110" s="939"/>
      <c r="D110" s="939"/>
      <c r="E110" s="3296"/>
      <c r="F110" s="3297"/>
      <c r="G110" s="2434" t="s">
        <v>99</v>
      </c>
      <c r="H110" s="2329" t="str">
        <f>IF(H109="——","——",ROUND(H109*10000/'数据-汇总表'!E3,0))</f>
        <v>——</v>
      </c>
      <c r="I110" s="939"/>
    </row>
    <row r="111" spans="1:35" ht="18.75" customHeight="1">
      <c r="A111" s="939"/>
      <c r="B111" s="939"/>
      <c r="C111" s="939"/>
      <c r="D111" s="939"/>
      <c r="E111" s="3298" t="str">
        <f>IF(项目基本情况!E9="抵押净值",IF(OR(项目基本情况!E8="已注销",项目基本情况!E8="房地产抵押价值"),"4.抵押净值","5.抵押净值"),"——")</f>
        <v>——</v>
      </c>
      <c r="F111" s="3299"/>
      <c r="G111" s="2434" t="s">
        <v>1004</v>
      </c>
      <c r="H111" s="2435" t="str">
        <f>IF(E111="——","——",N59)</f>
        <v>——</v>
      </c>
      <c r="I111" s="939"/>
    </row>
    <row r="112" spans="1:35" ht="18.75" customHeight="1">
      <c r="A112" s="939"/>
      <c r="B112" s="939"/>
      <c r="C112" s="939"/>
      <c r="D112" s="939"/>
      <c r="E112" s="3300"/>
      <c r="F112" s="3301"/>
      <c r="G112" s="2451" t="s">
        <v>99</v>
      </c>
      <c r="H112" s="2452" t="str">
        <f>IF(E111="——","——",N61)</f>
        <v>——</v>
      </c>
      <c r="I112" s="939"/>
    </row>
    <row r="113" spans="1:27" ht="18.75" customHeight="1">
      <c r="A113" s="939"/>
      <c r="B113" s="939"/>
      <c r="C113" s="939"/>
      <c r="D113" s="939"/>
      <c r="E113" s="3282" t="s">
        <v>1010</v>
      </c>
      <c r="F113" s="3282"/>
      <c r="G113" s="3282"/>
      <c r="H113" s="3282"/>
      <c r="I113" s="939"/>
    </row>
    <row r="114" spans="1:27" ht="3.75" customHeight="1">
      <c r="A114" s="1991"/>
      <c r="B114" s="1991"/>
      <c r="C114" s="1991"/>
      <c r="D114" s="1991"/>
      <c r="E114" s="2339"/>
      <c r="F114" s="2339"/>
      <c r="G114" s="2339"/>
      <c r="H114" s="2339"/>
      <c r="I114" s="1991"/>
    </row>
    <row r="115" spans="1:27" ht="18.75" customHeight="1">
      <c r="A115" s="3283" t="s">
        <v>1012</v>
      </c>
      <c r="B115" s="3284"/>
      <c r="C115" s="3284"/>
      <c r="D115" s="3284"/>
      <c r="E115" s="3284"/>
      <c r="F115" s="3284"/>
      <c r="G115" s="3284"/>
      <c r="H115" s="3284"/>
      <c r="I115" s="3285"/>
    </row>
    <row r="116" spans="1:27" ht="27" customHeight="1">
      <c r="A116" s="3256" t="s">
        <v>1013</v>
      </c>
      <c r="B116" s="3265" t="s">
        <v>1014</v>
      </c>
      <c r="C116" s="3265" t="s">
        <v>1015</v>
      </c>
      <c r="D116" s="3286" t="s">
        <v>1016</v>
      </c>
      <c r="E116" s="3287"/>
      <c r="F116" s="3288" t="s">
        <v>1017</v>
      </c>
      <c r="G116" s="3288"/>
      <c r="H116" s="3256" t="s">
        <v>1018</v>
      </c>
      <c r="I116" s="3256"/>
    </row>
    <row r="117" spans="1:27" ht="18.75" customHeight="1">
      <c r="A117" s="3256"/>
      <c r="B117" s="3266"/>
      <c r="C117" s="3266"/>
      <c r="D117" s="872" t="s">
        <v>1019</v>
      </c>
      <c r="E117" s="872" t="s">
        <v>848</v>
      </c>
      <c r="F117" s="872" t="s">
        <v>1019</v>
      </c>
      <c r="G117" s="872" t="s">
        <v>848</v>
      </c>
      <c r="H117" s="872" t="s">
        <v>1019</v>
      </c>
      <c r="I117" s="872" t="s">
        <v>848</v>
      </c>
    </row>
    <row r="118" spans="1:27" ht="24.75" customHeight="1">
      <c r="A118" s="2453" t="str">
        <f>项目基本情况!S2</f>
        <v>北京市房地产</v>
      </c>
      <c r="B118" s="872">
        <f>M18</f>
        <v>240.83</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1259</v>
      </c>
      <c r="I118" s="872">
        <f ca="1">ROUND(IF(D32="楼面单价",C32,H118*10000/B118),0)</f>
        <v>52277</v>
      </c>
    </row>
    <row r="119" spans="1:27" ht="18.75" customHeight="1">
      <c r="A119" s="3256" t="s">
        <v>1020</v>
      </c>
      <c r="B119" s="3256"/>
      <c r="C119" s="3256"/>
      <c r="D119" s="3268" t="e">
        <f ca="1">NUMBERSTRING(INT(D118*10000),2)&amp;"元整"</f>
        <v>#REF!</v>
      </c>
      <c r="E119" s="3270"/>
      <c r="F119" s="3268" t="e">
        <f ca="1">NUMBERSTRING(INT(F118*10000),2)&amp;"元整"</f>
        <v>#REF!</v>
      </c>
      <c r="G119" s="3270"/>
      <c r="H119" s="3268" t="str">
        <f ca="1">NUMBERSTRING(INT(H118*10000),2)&amp;"元整"</f>
        <v>壹仟贰佰伍拾玖万元整</v>
      </c>
      <c r="I119" s="3270"/>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268" t="s">
        <v>1020</v>
      </c>
      <c r="B121" s="3269"/>
      <c r="C121" s="3270"/>
      <c r="D121" s="3268" t="str">
        <f>IF(D120=0,"零元整",NUMBERSTRING(INT(D120*10000),2)&amp;"元整")</f>
        <v>零元整</v>
      </c>
      <c r="E121" s="3269"/>
      <c r="F121" s="3269"/>
      <c r="G121" s="3269"/>
      <c r="H121" s="3269"/>
      <c r="I121" s="3270"/>
      <c r="AA121" s="898"/>
    </row>
    <row r="122" spans="1:27" ht="18.75" customHeight="1">
      <c r="A122" s="3299" t="str">
        <f>IF(项目基本情况!B9="房地产市场价值","",MID(E107,3,LEN(E107)-2))</f>
        <v>房地产抵押价值</v>
      </c>
      <c r="B122" s="3299"/>
      <c r="C122" s="3299"/>
      <c r="D122" s="3303">
        <f ca="1">H107</f>
        <v>1259</v>
      </c>
      <c r="E122" s="3304"/>
      <c r="F122" s="3304"/>
      <c r="G122" s="3304"/>
      <c r="H122" s="3304"/>
      <c r="I122" s="3305"/>
      <c r="AA122" s="898"/>
    </row>
    <row r="123" spans="1:27" ht="18.75" customHeight="1">
      <c r="A123" s="3256" t="s">
        <v>1020</v>
      </c>
      <c r="B123" s="3256"/>
      <c r="C123" s="3256"/>
      <c r="D123" s="3268" t="str">
        <f ca="1">NUMBERSTRING(INT(D122*10000),2)&amp;"元整"</f>
        <v>壹仟贰佰伍拾玖万元整</v>
      </c>
      <c r="E123" s="3269"/>
      <c r="F123" s="3269"/>
      <c r="G123" s="3269"/>
      <c r="H123" s="3269"/>
      <c r="I123" s="3270"/>
      <c r="AA123" s="898"/>
    </row>
    <row r="124" spans="1:27" ht="18.75" customHeight="1">
      <c r="A124" s="3299" t="str">
        <f>IF(项目基本情况!B9="房地产市场价值","",MID(E109,3,LEN(E109)-2))</f>
        <v/>
      </c>
      <c r="B124" s="3299"/>
      <c r="C124" s="3299"/>
      <c r="D124" s="3303" t="str">
        <f>H109</f>
        <v>——</v>
      </c>
      <c r="E124" s="3304"/>
      <c r="F124" s="3304"/>
      <c r="G124" s="3304"/>
      <c r="H124" s="3304"/>
      <c r="I124" s="3305"/>
      <c r="AA124" s="898"/>
    </row>
    <row r="125" spans="1:27" ht="18.75" customHeight="1">
      <c r="A125" s="3256" t="s">
        <v>1020</v>
      </c>
      <c r="B125" s="3256"/>
      <c r="C125" s="3256"/>
      <c r="D125" s="3268" t="e">
        <f>NUMBERSTRING(INT(D124*10000),2)&amp;"元整"</f>
        <v>#VALUE!</v>
      </c>
      <c r="E125" s="3269"/>
      <c r="F125" s="3269"/>
      <c r="G125" s="3269"/>
      <c r="H125" s="3269"/>
      <c r="I125" s="3270"/>
      <c r="AA125" s="898"/>
    </row>
    <row r="126" spans="1:27" ht="18.75" customHeight="1">
      <c r="A126" s="3299" t="str">
        <f>IF(项目基本情况!B9="房地产市场价值","",MID(E111,3,LEN(E111)-2))</f>
        <v/>
      </c>
      <c r="B126" s="3299"/>
      <c r="C126" s="3299"/>
      <c r="D126" s="3303" t="str">
        <f>H111</f>
        <v>——</v>
      </c>
      <c r="E126" s="3304"/>
      <c r="F126" s="3304"/>
      <c r="G126" s="3304"/>
      <c r="H126" s="3304"/>
      <c r="I126" s="3305"/>
      <c r="AA126" s="898"/>
    </row>
    <row r="127" spans="1:27" ht="18.75" customHeight="1">
      <c r="A127" s="3256" t="s">
        <v>1020</v>
      </c>
      <c r="B127" s="3256"/>
      <c r="C127" s="3256"/>
      <c r="D127" s="3268" t="e">
        <f>NUMBERSTRING(INT(D126*10000),2)&amp;"元整"</f>
        <v>#VALUE!</v>
      </c>
      <c r="E127" s="3269"/>
      <c r="F127" s="3269"/>
      <c r="G127" s="3269"/>
      <c r="H127" s="3269"/>
      <c r="I127" s="3270"/>
      <c r="AA127" s="898"/>
    </row>
    <row r="128" spans="1:27" ht="21.75" customHeight="1">
      <c r="A128" s="3255" t="s">
        <v>113</v>
      </c>
      <c r="B128" s="3255"/>
      <c r="C128" s="3255"/>
      <c r="D128" s="3255"/>
      <c r="E128" s="3255"/>
      <c r="F128" s="3255"/>
      <c r="G128" s="3255"/>
      <c r="H128" s="3255"/>
      <c r="I128" s="3255"/>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1028</v>
      </c>
      <c r="B1" s="2204"/>
      <c r="C1" s="341"/>
      <c r="D1" s="341"/>
      <c r="E1" s="341"/>
      <c r="F1" s="341"/>
      <c r="G1" s="2206">
        <f>MATCH(B1,'数据-取费表'!A6:A16,0)+5</f>
        <v>7</v>
      </c>
    </row>
    <row r="2" spans="1:9" s="331" customFormat="1" ht="18" customHeight="1">
      <c r="A2" s="343" t="s">
        <v>1029</v>
      </c>
      <c r="B2" s="344">
        <f ca="1">IF(D2="——",C52,C52-E2)</f>
        <v>130</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5398</v>
      </c>
      <c r="C3" s="342" t="s">
        <v>1032</v>
      </c>
      <c r="D3" s="342"/>
      <c r="E3" s="342"/>
      <c r="F3" s="342"/>
      <c r="G3" s="342"/>
    </row>
    <row r="4" spans="1:9" s="332" customFormat="1" ht="16.2">
      <c r="A4" s="348" t="s">
        <v>1033</v>
      </c>
      <c r="B4" s="349"/>
      <c r="C4" s="349"/>
      <c r="D4" s="349"/>
      <c r="E4" s="349"/>
      <c r="F4" s="349"/>
      <c r="G4" s="350"/>
    </row>
    <row r="5" spans="1:9" s="333" customFormat="1" ht="13.5" customHeight="1">
      <c r="A5" s="351" t="s">
        <v>1034</v>
      </c>
      <c r="B5" s="352" t="s">
        <v>1035</v>
      </c>
      <c r="C5" s="353">
        <f>C6+C7+C8</f>
        <v>0</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0</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5</v>
      </c>
      <c r="D10" s="369">
        <f ca="1">IF(B1="",'数据-汇总表'!E6,IF(INDIRECT("'数据-取费表'!c"&amp;$G$1)="住宅",INDIRECT("'数据-取费表'!s"&amp;$G$1),INDIRECT("'数据-取费表'!k"&amp;$G$1)+INDIRECT("'数据-取费表'!s"&amp;$G$1)))</f>
        <v>240.83</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5</v>
      </c>
      <c r="D19" s="354">
        <f ca="1">D9+D10</f>
        <v>240.83</v>
      </c>
      <c r="E19" s="353">
        <f>'数据-取费表'!B31</f>
        <v>200</v>
      </c>
      <c r="F19" s="375"/>
      <c r="G19" s="2212"/>
    </row>
    <row r="20" spans="1:7" s="333" customFormat="1" ht="13.5" customHeight="1">
      <c r="A20" s="351" t="s">
        <v>1067</v>
      </c>
      <c r="B20" s="352" t="s">
        <v>1068</v>
      </c>
      <c r="C20" s="376">
        <f ca="1">ROUND((C5+C19)*F20,0)</f>
        <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0</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0</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6.4">
      <c r="A27" s="351" t="s">
        <v>1084</v>
      </c>
      <c r="B27" s="392" t="s">
        <v>1085</v>
      </c>
      <c r="C27" s="393">
        <f ca="1">C28</f>
        <v>1</v>
      </c>
      <c r="D27" s="379">
        <f ca="1">C29</f>
        <v>4.0000000000000001E-3</v>
      </c>
      <c r="E27" s="380" t="s">
        <v>1072</v>
      </c>
      <c r="F27" s="394">
        <f ca="1">IF(B1="",'数据-取费表'!Q16,INDIRECT("'数据-取费表'!q"&amp;$G$1))</f>
        <v>0.2</v>
      </c>
      <c r="G27" s="395" t="s">
        <v>1086</v>
      </c>
    </row>
    <row r="28" spans="1:7" s="333" customFormat="1" ht="13.5" customHeight="1">
      <c r="A28" s="384" t="s">
        <v>1038</v>
      </c>
      <c r="B28" s="396" t="s">
        <v>1087</v>
      </c>
      <c r="C28" s="397">
        <f ca="1">ROUND((C5+C19+C20)*F27*'数据-取费表'!B21/'数据-取费表'!B20,0)</f>
        <v>1</v>
      </c>
      <c r="D28" s="379"/>
      <c r="E28" s="380"/>
      <c r="F28" s="394"/>
      <c r="G28" s="395"/>
    </row>
    <row r="29" spans="1:7" s="333" customFormat="1" ht="13.5" customHeight="1">
      <c r="A29" s="384" t="s">
        <v>1040</v>
      </c>
      <c r="B29" s="396" t="s">
        <v>1088</v>
      </c>
      <c r="C29" s="386">
        <f ca="1">ROUND(C21*F27*'数据-取费表'!B21/'数据-取费表'!B20,4)</f>
        <v>4.0000000000000001E-3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7</v>
      </c>
      <c r="D31" s="399"/>
      <c r="E31" s="353"/>
      <c r="F31" s="400"/>
      <c r="G31" s="381" t="s">
        <v>1093</v>
      </c>
    </row>
    <row r="32" spans="1:7" s="332" customFormat="1" ht="16.2">
      <c r="A32" s="401" t="s">
        <v>1094</v>
      </c>
      <c r="B32" s="402"/>
      <c r="C32" s="402"/>
      <c r="D32" s="402"/>
      <c r="E32" s="402"/>
      <c r="F32" s="402"/>
      <c r="G32" s="403"/>
    </row>
    <row r="33" spans="1:7" s="333" customFormat="1" ht="13.5" customHeight="1">
      <c r="A33" s="351" t="s">
        <v>1034</v>
      </c>
      <c r="B33" s="352" t="s">
        <v>1095</v>
      </c>
      <c r="C33" s="404">
        <f ca="1">SUM(C34:C38)</f>
        <v>120</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108</v>
      </c>
      <c r="D34" s="359"/>
      <c r="E34" s="362"/>
      <c r="F34" s="405">
        <f ca="1">IF('数据-取费表'!B24=0,1,IF(B1="",'数据-取费表'!N16,INDIRECT("'数据-取费表'!n"&amp;$G$1)))</f>
        <v>1</v>
      </c>
      <c r="G34" s="361" t="s">
        <v>1097</v>
      </c>
    </row>
    <row r="35" spans="1:7" ht="13.5" customHeight="1">
      <c r="A35" s="384" t="s">
        <v>1040</v>
      </c>
      <c r="B35" s="357" t="s">
        <v>1098</v>
      </c>
      <c r="C35" s="362">
        <f ca="1">ROUND(C34*F35,0)</f>
        <v>5</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5</v>
      </c>
      <c r="D37" s="359">
        <f ca="1">D19</f>
        <v>240.83</v>
      </c>
      <c r="E37" s="397">
        <f>'数据-取费表'!B35</f>
        <v>200</v>
      </c>
      <c r="F37" s="406"/>
      <c r="G37" s="408" t="s">
        <v>1103</v>
      </c>
    </row>
    <row r="38" spans="1:7" ht="13.5" customHeight="1">
      <c r="A38" s="384" t="s">
        <v>1104</v>
      </c>
      <c r="B38" s="357" t="s">
        <v>970</v>
      </c>
      <c r="C38" s="362">
        <f ca="1">ROUND(C34*F38,0)</f>
        <v>2</v>
      </c>
      <c r="D38" s="362"/>
      <c r="E38" s="362"/>
      <c r="F38" s="406">
        <f>'数据-取费表'!B36</f>
        <v>0.02</v>
      </c>
      <c r="G38" s="361" t="s">
        <v>1099</v>
      </c>
    </row>
    <row r="39" spans="1:7" s="333" customFormat="1" ht="13.5" customHeight="1">
      <c r="A39" s="351" t="s">
        <v>1065</v>
      </c>
      <c r="B39" s="352" t="s">
        <v>1068</v>
      </c>
      <c r="C39" s="376">
        <f ca="1">ROUND(C33*F20,0)</f>
        <v>4</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4</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4</v>
      </c>
      <c r="D42" s="386"/>
      <c r="E42" s="386"/>
      <c r="F42" s="387"/>
      <c r="G42" s="3349" t="s">
        <v>1108</v>
      </c>
    </row>
    <row r="43" spans="1:7" ht="13.5" customHeight="1">
      <c r="A43" s="384" t="s">
        <v>1040</v>
      </c>
      <c r="B43" s="357" t="s">
        <v>1078</v>
      </c>
      <c r="C43" s="386">
        <f ca="1">ROUND(IF('数据-取费表'!B22&lt;=1,C39*F22*'数据-取费表'!B21/2,C39*(POWER((1+F22),'数据-取费表'!B21/2)-1)),0)</f>
        <v>0</v>
      </c>
      <c r="D43" s="386"/>
      <c r="E43" s="386"/>
      <c r="F43" s="387"/>
      <c r="G43" s="3350"/>
    </row>
    <row r="44" spans="1:7" ht="13.5" customHeight="1">
      <c r="A44" s="384" t="s">
        <v>1042</v>
      </c>
      <c r="B44" s="357" t="s">
        <v>1080</v>
      </c>
      <c r="C44" s="386">
        <f ca="1">ROUND(IF('数据-取费表'!B22&lt;=1,C40*F22*'数据-取费表'!B21/2,C40*(POWER((1+F22),'数据-取费表'!B21/2)-1)),4)</f>
        <v>5.9999999999999995E-4</v>
      </c>
      <c r="D44" s="386"/>
      <c r="E44" s="386"/>
      <c r="F44" s="387"/>
      <c r="G44" s="3351"/>
    </row>
    <row r="45" spans="1:7" s="333" customFormat="1" ht="13.5" customHeight="1">
      <c r="A45" s="351" t="s">
        <v>1074</v>
      </c>
      <c r="B45" s="392" t="s">
        <v>1085</v>
      </c>
      <c r="C45" s="393">
        <f ca="1">C46</f>
        <v>25</v>
      </c>
      <c r="D45" s="379">
        <f ca="1">C47</f>
        <v>4.0000000000000001E-3</v>
      </c>
      <c r="E45" s="380" t="s">
        <v>1106</v>
      </c>
      <c r="F45" s="394">
        <f ca="1">F27</f>
        <v>0.2</v>
      </c>
      <c r="G45" s="395" t="s">
        <v>1109</v>
      </c>
    </row>
    <row r="46" spans="1:7" s="333" customFormat="1" ht="13.5" customHeight="1">
      <c r="A46" s="384" t="s">
        <v>1038</v>
      </c>
      <c r="B46" s="396" t="s">
        <v>1110</v>
      </c>
      <c r="C46" s="397">
        <f ca="1">ROUND((C33+C39)*F27,0)</f>
        <v>25</v>
      </c>
      <c r="D46" s="410"/>
      <c r="E46" s="380"/>
      <c r="F46" s="394"/>
      <c r="G46" s="395"/>
    </row>
    <row r="47" spans="1:7" s="333" customFormat="1" ht="13.5" customHeight="1">
      <c r="A47" s="384" t="s">
        <v>1040</v>
      </c>
      <c r="B47" s="396" t="s">
        <v>1111</v>
      </c>
      <c r="C47" s="386">
        <f ca="1">ROUND(C40*F27,4)</f>
        <v>4.0000000000000001E-3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166</v>
      </c>
      <c r="D49" s="376"/>
      <c r="E49" s="376"/>
      <c r="F49" s="411"/>
      <c r="G49" s="381" t="s">
        <v>1114</v>
      </c>
    </row>
    <row r="50" spans="1:7" s="335" customFormat="1" ht="24">
      <c r="A50" s="351" t="s">
        <v>1115</v>
      </c>
      <c r="B50" s="352" t="s">
        <v>1116</v>
      </c>
      <c r="C50" s="376"/>
      <c r="D50" s="376"/>
      <c r="E50" s="376"/>
      <c r="F50" s="411">
        <f>IF('数据-取费表'!B24=0,'数据-取费表'!N16,1)</f>
        <v>0.74</v>
      </c>
      <c r="G50" s="395" t="s">
        <v>1117</v>
      </c>
    </row>
    <row r="51" spans="1:7" ht="16.5" customHeight="1">
      <c r="A51" s="351" t="s">
        <v>1118</v>
      </c>
      <c r="B51" s="352" t="s">
        <v>1119</v>
      </c>
      <c r="C51" s="376">
        <f ca="1">ROUND(C49*F50,0)</f>
        <v>123</v>
      </c>
      <c r="D51" s="376"/>
      <c r="E51" s="376"/>
      <c r="F51" s="411"/>
      <c r="G51" s="381" t="s">
        <v>1120</v>
      </c>
    </row>
    <row r="52" spans="1:7" s="332" customFormat="1" ht="16.2">
      <c r="A52" s="412" t="s">
        <v>1121</v>
      </c>
      <c r="B52" s="413"/>
      <c r="C52" s="414">
        <f ca="1">C31+C51</f>
        <v>130</v>
      </c>
      <c r="D52" s="413"/>
      <c r="E52" s="413"/>
      <c r="F52" s="413"/>
      <c r="G52" s="415"/>
    </row>
    <row r="55" spans="1:7" ht="15">
      <c r="B55" s="416" t="s">
        <v>1122</v>
      </c>
      <c r="C55" s="417"/>
    </row>
    <row r="56" spans="1:7">
      <c r="B56" s="418" t="s">
        <v>1123</v>
      </c>
      <c r="C56" s="420">
        <f ca="1">1-C57</f>
        <v>5.4000000000000048E-2</v>
      </c>
    </row>
    <row r="57" spans="1:7">
      <c r="B57" s="418" t="s">
        <v>1124</v>
      </c>
      <c r="C57" s="419">
        <f ca="1">ROUND(C51/C52,3)</f>
        <v>0.94599999999999995</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5" customWidth="1"/>
    <col min="2" max="9" width="10" style="3145" customWidth="1"/>
    <col min="10" max="16384" width="9" style="3145"/>
  </cols>
  <sheetData>
    <row r="36" spans="1:9">
      <c r="A36" s="3144" t="s">
        <v>75</v>
      </c>
      <c r="B36" s="3144" t="s">
        <v>76</v>
      </c>
    </row>
    <row r="37" spans="1:9" ht="27.75" customHeight="1">
      <c r="A37" s="3144"/>
      <c r="B37" s="3167" t="str">
        <f>项目基本情况!B1</f>
        <v>北京市房地产抵押价值预评估</v>
      </c>
      <c r="C37" s="3167"/>
      <c r="D37" s="3167"/>
      <c r="E37" s="3167"/>
      <c r="F37" s="3167"/>
      <c r="G37" s="3167"/>
      <c r="H37" s="3167"/>
      <c r="I37" s="3167"/>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G19" sqref="G19"/>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f ca="1">ROUND(IF(D2="——",C52/10000,C52/10000-E2),4)</f>
        <v>1205.3393000000001</v>
      </c>
      <c r="C2" s="342" t="s">
        <v>1030</v>
      </c>
      <c r="D2" s="2208" t="s">
        <v>124</v>
      </c>
      <c r="E2" s="2209" t="e">
        <f ca="1">SUMIF(INDIRECT("'"&amp;G2&amp;"'"&amp;"!A:A"),"承租人权益价值",INDIRECT("'"&amp;G2&amp;"'"&amp;"!c:c"))</f>
        <v>#REF!</v>
      </c>
      <c r="F2" s="2210" t="s">
        <v>1030</v>
      </c>
      <c r="G2" s="2211"/>
    </row>
    <row r="3" spans="1:8" s="331" customFormat="1" ht="18" customHeight="1">
      <c r="A3" s="346" t="s">
        <v>1031</v>
      </c>
      <c r="B3" s="347">
        <f ca="1">ROUND(B2*10000/(IF(B1="",'数据-汇总表'!E3,INDIRECT("'数据-取费表'!k"&amp;$G$1))),0)</f>
        <v>50049</v>
      </c>
      <c r="C3" s="342" t="s">
        <v>1032</v>
      </c>
      <c r="D3" s="342"/>
      <c r="E3" s="342"/>
      <c r="F3" s="342"/>
      <c r="G3" s="342"/>
    </row>
    <row r="4" spans="1:8" s="332" customFormat="1" ht="16.2">
      <c r="A4" s="348" t="s">
        <v>1033</v>
      </c>
      <c r="B4" s="349"/>
      <c r="C4" s="349"/>
      <c r="D4" s="349"/>
      <c r="E4" s="349"/>
      <c r="F4" s="349"/>
      <c r="G4" s="350"/>
    </row>
    <row r="5" spans="1:8" s="333" customFormat="1" ht="13.5" customHeight="1">
      <c r="A5" s="351" t="s">
        <v>1034</v>
      </c>
      <c r="B5" s="352" t="s">
        <v>1035</v>
      </c>
      <c r="C5" s="353">
        <f ca="1">C6+C7+C8</f>
        <v>7674594</v>
      </c>
      <c r="D5" s="353" t="s">
        <v>1036</v>
      </c>
      <c r="E5" s="354" t="s">
        <v>1037</v>
      </c>
      <c r="F5" s="354" t="s">
        <v>934</v>
      </c>
      <c r="G5" s="355"/>
    </row>
    <row r="6" spans="1:8" s="333" customFormat="1" ht="13.5" customHeight="1">
      <c r="A6" s="356" t="s">
        <v>1038</v>
      </c>
      <c r="B6" s="357" t="s">
        <v>1039</v>
      </c>
      <c r="C6" s="358">
        <f>ROUND(基准地价修正!C33*基准地价修正!D33,0)</f>
        <v>7400706</v>
      </c>
      <c r="D6" s="359"/>
      <c r="E6" s="360"/>
      <c r="F6" s="360"/>
      <c r="G6" s="361"/>
    </row>
    <row r="7" spans="1:8" s="333" customFormat="1" ht="13.5" customHeight="1">
      <c r="A7" s="356" t="s">
        <v>1040</v>
      </c>
      <c r="B7" s="357" t="s">
        <v>1041</v>
      </c>
      <c r="C7" s="362">
        <f>ROUND(C6*F7,0)</f>
        <v>225722</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48166</v>
      </c>
      <c r="D8" s="364"/>
      <c r="E8" s="362"/>
      <c r="F8" s="363"/>
      <c r="G8" s="2212" t="s">
        <v>2798</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48166</v>
      </c>
      <c r="D10" s="369">
        <f ca="1">IF(B1="",'数据-汇总表'!E6,IF(INDIRECT("'数据-取费表'!c"&amp;$G$1)="住宅",INDIRECT("'数据-取费表'!s"&amp;$G$1),INDIRECT("'数据-取费表'!k"&amp;$G$1)+INDIRECT("'数据-取费表'!s"&amp;$G$1)))</f>
        <v>240.83</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240.83</v>
      </c>
      <c r="E19" s="353">
        <f>'数据-取费表'!B31</f>
        <v>200</v>
      </c>
      <c r="F19" s="375"/>
      <c r="G19" s="2212" t="s">
        <v>2799</v>
      </c>
    </row>
    <row r="20" spans="1:7" s="333" customFormat="1" ht="13.5" customHeight="1">
      <c r="A20" s="351" t="s">
        <v>1067</v>
      </c>
      <c r="B20" s="352" t="s">
        <v>1068</v>
      </c>
      <c r="C20" s="376">
        <f ca="1">ROUND((C5+C19)*F20,0)</f>
        <v>230238</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f ca="1">ROUND(SUM(C23:C25),0)</f>
        <v>495154</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f ca="1">ROUND(IF('数据-取费表'!B22&lt;=1,C5*F22*'数据-取费表'!B22,C5*(POWER((1+F22),'数据-取费表'!B22)-1)),0)</f>
        <v>487948</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f ca="1">ROUND(IF('数据-取费表'!B22&lt;=1,C20*F22*'数据-取费表'!B22/2,C20*(POWER((1+F22),'数据-取费表'!B22/2)-1)),0)</f>
        <v>7206</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6.4">
      <c r="A27" s="351" t="s">
        <v>1084</v>
      </c>
      <c r="B27" s="392" t="s">
        <v>1085</v>
      </c>
      <c r="C27" s="393">
        <f ca="1">C28</f>
        <v>1580966</v>
      </c>
      <c r="D27" s="379">
        <f ca="1">C29</f>
        <v>4.0000000000000001E-3</v>
      </c>
      <c r="E27" s="380" t="s">
        <v>1072</v>
      </c>
      <c r="F27" s="394">
        <f ca="1">IF(B1="",'数据-取费表'!Q16,INDIRECT("'数据-取费表'!q"&amp;$G$1))</f>
        <v>0.2</v>
      </c>
      <c r="G27" s="395" t="s">
        <v>1086</v>
      </c>
    </row>
    <row r="28" spans="1:7" s="333" customFormat="1" ht="13.5" customHeight="1">
      <c r="A28" s="384" t="s">
        <v>1038</v>
      </c>
      <c r="B28" s="396" t="s">
        <v>1087</v>
      </c>
      <c r="C28" s="397">
        <f ca="1">ROUND((C5+C19+C20)*F27,0)</f>
        <v>1580966</v>
      </c>
      <c r="D28" s="379"/>
      <c r="E28" s="380"/>
      <c r="F28" s="394"/>
      <c r="G28" s="395"/>
    </row>
    <row r="29" spans="1:7" s="333" customFormat="1" ht="13.5" customHeight="1">
      <c r="A29" s="384" t="s">
        <v>1040</v>
      </c>
      <c r="B29" s="396" t="s">
        <v>1088</v>
      </c>
      <c r="C29" s="386">
        <f ca="1">ROUND(C21*F27,4)</f>
        <v>4.0000000000000001E-3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10824154</v>
      </c>
      <c r="D31" s="399"/>
      <c r="E31" s="353"/>
      <c r="F31" s="400"/>
      <c r="G31" s="381" t="s">
        <v>1093</v>
      </c>
    </row>
    <row r="32" spans="1:7" s="332" customFormat="1" ht="16.2">
      <c r="A32" s="401" t="s">
        <v>1126</v>
      </c>
      <c r="B32" s="402"/>
      <c r="C32" s="402"/>
      <c r="D32" s="402"/>
      <c r="E32" s="402"/>
      <c r="F32" s="402"/>
      <c r="G32" s="403"/>
    </row>
    <row r="33" spans="1:7" s="333" customFormat="1" ht="13.5" customHeight="1">
      <c r="A33" s="351" t="s">
        <v>1034</v>
      </c>
      <c r="B33" s="352" t="s">
        <v>1127</v>
      </c>
      <c r="C33" s="404">
        <f ca="1">SUM(C34:C38)</f>
        <v>1207763</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1083735</v>
      </c>
      <c r="D34" s="359"/>
      <c r="E34" s="362"/>
      <c r="F34" s="405"/>
      <c r="G34" s="361"/>
    </row>
    <row r="35" spans="1:7" ht="13.5" customHeight="1">
      <c r="A35" s="384" t="s">
        <v>1040</v>
      </c>
      <c r="B35" s="357" t="s">
        <v>1098</v>
      </c>
      <c r="C35" s="362">
        <f ca="1">ROUND(C34*F35,0)</f>
        <v>54187</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48166</v>
      </c>
      <c r="D37" s="359">
        <f ca="1">D19</f>
        <v>240.83</v>
      </c>
      <c r="E37" s="397">
        <f>'数据-取费表'!B35</f>
        <v>200</v>
      </c>
      <c r="F37" s="406"/>
      <c r="G37" s="408"/>
    </row>
    <row r="38" spans="1:7" ht="13.5" customHeight="1">
      <c r="A38" s="384" t="s">
        <v>1104</v>
      </c>
      <c r="B38" s="357" t="s">
        <v>970</v>
      </c>
      <c r="C38" s="362">
        <f ca="1">ROUND(C34*F38,0)</f>
        <v>21675</v>
      </c>
      <c r="D38" s="362"/>
      <c r="E38" s="362"/>
      <c r="F38" s="406">
        <f>'数据-取费表'!B36</f>
        <v>0.02</v>
      </c>
      <c r="G38" s="361" t="s">
        <v>1099</v>
      </c>
    </row>
    <row r="39" spans="1:7" s="333" customFormat="1" ht="13.5" customHeight="1">
      <c r="A39" s="351" t="s">
        <v>1065</v>
      </c>
      <c r="B39" s="352" t="s">
        <v>1068</v>
      </c>
      <c r="C39" s="376">
        <f ca="1">ROUND(C33*F20,0)</f>
        <v>36233</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38937</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37803</v>
      </c>
      <c r="D42" s="386"/>
      <c r="E42" s="386"/>
      <c r="F42" s="387"/>
      <c r="G42" s="3349" t="s">
        <v>1128</v>
      </c>
    </row>
    <row r="43" spans="1:7" ht="13.5" customHeight="1">
      <c r="A43" s="384" t="s">
        <v>1040</v>
      </c>
      <c r="B43" s="357" t="s">
        <v>1078</v>
      </c>
      <c r="C43" s="386">
        <f ca="1">ROUND(IF('数据-取费表'!B22&lt;=1,C39*F22*'数据-取费表'!B20/2,C39*(POWER((1+F22),'数据-取费表'!B20/2)-1)),0)</f>
        <v>1134</v>
      </c>
      <c r="D43" s="386"/>
      <c r="E43" s="386"/>
      <c r="F43" s="387"/>
      <c r="G43" s="3350"/>
    </row>
    <row r="44" spans="1:7" ht="13.5" customHeight="1">
      <c r="A44" s="384" t="s">
        <v>1042</v>
      </c>
      <c r="B44" s="357" t="s">
        <v>1080</v>
      </c>
      <c r="C44" s="386">
        <f ca="1">ROUND(IF('数据-取费表'!B22&lt;=1,C40*F22*'数据-取费表'!B20/2,C40*(POWER((1+F22),'数据-取费表'!B20/2)-1)),4)</f>
        <v>5.9999999999999995E-4</v>
      </c>
      <c r="D44" s="386"/>
      <c r="E44" s="386"/>
      <c r="F44" s="387"/>
      <c r="G44" s="3351"/>
    </row>
    <row r="45" spans="1:7" s="333" customFormat="1" ht="13.5" customHeight="1">
      <c r="A45" s="351" t="s">
        <v>1074</v>
      </c>
      <c r="B45" s="392" t="s">
        <v>1085</v>
      </c>
      <c r="C45" s="393">
        <f ca="1">C46</f>
        <v>248799</v>
      </c>
      <c r="D45" s="379">
        <f ca="1">C47</f>
        <v>4.0000000000000001E-3</v>
      </c>
      <c r="E45" s="380" t="s">
        <v>1106</v>
      </c>
      <c r="F45" s="394">
        <f ca="1">F27</f>
        <v>0.2</v>
      </c>
      <c r="G45" s="395" t="s">
        <v>1109</v>
      </c>
    </row>
    <row r="46" spans="1:7" s="333" customFormat="1" ht="13.5" customHeight="1">
      <c r="A46" s="384" t="s">
        <v>1038</v>
      </c>
      <c r="B46" s="396" t="s">
        <v>1110</v>
      </c>
      <c r="C46" s="397">
        <f ca="1">ROUND((C33+C39)*F27,0)</f>
        <v>248799</v>
      </c>
      <c r="D46" s="410"/>
      <c r="E46" s="380"/>
      <c r="F46" s="394"/>
      <c r="G46" s="395"/>
    </row>
    <row r="47" spans="1:7" s="333" customFormat="1" ht="13.5" customHeight="1">
      <c r="A47" s="384" t="s">
        <v>1040</v>
      </c>
      <c r="B47" s="396" t="s">
        <v>1111</v>
      </c>
      <c r="C47" s="386">
        <f ca="1">ROUND(C40*F27,4)</f>
        <v>4.0000000000000001E-3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1661134</v>
      </c>
      <c r="D49" s="376"/>
      <c r="E49" s="376"/>
      <c r="F49" s="411"/>
      <c r="G49" s="381" t="s">
        <v>1114</v>
      </c>
    </row>
    <row r="50" spans="1:7" s="335" customFormat="1">
      <c r="A50" s="351" t="s">
        <v>1115</v>
      </c>
      <c r="B50" s="352" t="s">
        <v>1116</v>
      </c>
      <c r="C50" s="376"/>
      <c r="D50" s="376"/>
      <c r="E50" s="376"/>
      <c r="F50" s="411">
        <f>IF('数据-取费表'!B24=0,'数据-取费表'!N16,1)</f>
        <v>0.74</v>
      </c>
      <c r="G50" s="395"/>
    </row>
    <row r="51" spans="1:7" ht="16.5" customHeight="1">
      <c r="A51" s="351" t="s">
        <v>1118</v>
      </c>
      <c r="B51" s="352" t="s">
        <v>1130</v>
      </c>
      <c r="C51" s="376">
        <f ca="1">ROUND(C49*F50,0)</f>
        <v>1229239</v>
      </c>
      <c r="D51" s="376"/>
      <c r="E51" s="376"/>
      <c r="F51" s="411"/>
      <c r="G51" s="381" t="s">
        <v>1120</v>
      </c>
    </row>
    <row r="52" spans="1:7" s="332" customFormat="1" ht="16.2">
      <c r="A52" s="412" t="s">
        <v>1121</v>
      </c>
      <c r="B52" s="413"/>
      <c r="C52" s="414">
        <f ca="1">C31+C51</f>
        <v>12053393</v>
      </c>
      <c r="D52" s="413"/>
      <c r="E52" s="413"/>
      <c r="F52" s="413"/>
      <c r="G52" s="415"/>
    </row>
    <row r="55" spans="1:7" ht="15">
      <c r="B55" s="416" t="s">
        <v>1122</v>
      </c>
      <c r="C55" s="417"/>
    </row>
    <row r="56" spans="1:7">
      <c r="B56" s="418" t="s">
        <v>1123</v>
      </c>
      <c r="C56" s="420">
        <f ca="1">1-C57</f>
        <v>0.89800000000000002</v>
      </c>
    </row>
    <row r="57" spans="1:7">
      <c r="B57" s="418" t="s">
        <v>1124</v>
      </c>
      <c r="C57" s="419">
        <f ca="1">ROUND(C51/C52,3)</f>
        <v>0.10199999999999999</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987" customWidth="1"/>
    <col min="2" max="2" width="25.77734375" style="2120" customWidth="1"/>
    <col min="3" max="3" width="10.33203125" style="2121" customWidth="1"/>
    <col min="4" max="4" width="9.88671875" style="2120" customWidth="1"/>
    <col min="5" max="5" width="9.44140625" style="987" customWidth="1"/>
    <col min="6" max="6" width="10.109375" style="2120" customWidth="1"/>
    <col min="7" max="7" width="10.77734375" style="2120" customWidth="1"/>
    <col min="8" max="8" width="10" style="2120" customWidth="1"/>
    <col min="9" max="11" width="9.44140625" style="2120" customWidth="1"/>
    <col min="12" max="12" width="9" style="2120" customWidth="1"/>
    <col min="13" max="13" width="10.44140625" style="2120" customWidth="1"/>
    <col min="14" max="254" width="9" style="2120" customWidth="1"/>
    <col min="255" max="16384" width="6.6640625" style="2120"/>
  </cols>
  <sheetData>
    <row r="1" spans="1:33" ht="21">
      <c r="A1" s="339" t="s">
        <v>1131</v>
      </c>
      <c r="B1" s="939"/>
      <c r="C1" s="2122"/>
      <c r="D1" s="2123"/>
      <c r="E1" s="2124"/>
      <c r="F1" s="2124"/>
      <c r="G1" s="2125"/>
      <c r="H1" s="2124"/>
      <c r="I1" s="2124"/>
      <c r="J1" s="2124"/>
      <c r="K1" s="2192">
        <f>MATCH(C1,'数据-取费表'!A6:A16,0)+5</f>
        <v>7</v>
      </c>
    </row>
    <row r="2" spans="1:33" ht="18" customHeight="1">
      <c r="A2" s="343" t="s">
        <v>1029</v>
      </c>
      <c r="B2" s="347">
        <f ca="1">C32</f>
        <v>-6</v>
      </c>
      <c r="C2" s="2126" t="s">
        <v>1132</v>
      </c>
      <c r="D2" s="2126"/>
      <c r="E2" s="2124"/>
      <c r="F2" s="2124"/>
      <c r="G2" s="2124"/>
      <c r="H2" s="2124"/>
      <c r="I2" s="2124"/>
      <c r="J2" s="2124"/>
      <c r="K2" s="2124"/>
    </row>
    <row r="3" spans="1:33" ht="18" customHeight="1">
      <c r="A3" s="346" t="s">
        <v>1031</v>
      </c>
      <c r="B3" s="347">
        <f ca="1">ROUND(B2*10000/IF(C1="",'数据-汇总表'!E3,INDIRECT("'数据-取费表'!K"&amp;$K$1)),0)</f>
        <v>-249</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4.4">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240.83</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240.83</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5</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5</v>
      </c>
      <c r="D20" s="2149">
        <f ca="1">IF(C1="",'数据-汇总表'!E6,IF(INDIRECT("'数据-取费表'!c"&amp;$K$1)="住宅",INDIRECT("'数据-取费表'!s"&amp;$K$1),INDIRECT("'数据-取费表'!k"&amp;$K$1)+INDIRECT("'数据-取费表'!s"&amp;$K$1)))</f>
        <v>240.83</v>
      </c>
      <c r="E20" s="950">
        <f>'数据-取费表'!B28</f>
        <v>200</v>
      </c>
      <c r="F20" s="2150"/>
      <c r="G20" s="1998"/>
      <c r="H20" s="2157"/>
      <c r="I20" s="2157"/>
      <c r="J20" s="2157"/>
      <c r="K20" s="2200"/>
    </row>
    <row r="21" spans="1:33" s="2115" customFormat="1" ht="13.5" customHeight="1">
      <c r="A21" s="2133" t="s">
        <v>939</v>
      </c>
      <c r="B21" s="2158" t="s">
        <v>1163</v>
      </c>
      <c r="C21" s="2159">
        <f ca="1">C16+C17+C18</f>
        <v>5</v>
      </c>
      <c r="D21" s="2160"/>
      <c r="E21" s="2161"/>
      <c r="F21" s="2161"/>
      <c r="G21" s="1888" t="s">
        <v>1164</v>
      </c>
      <c r="H21" s="1999"/>
      <c r="I21" s="1999"/>
      <c r="J21" s="1999"/>
      <c r="K21" s="2000"/>
    </row>
    <row r="22" spans="1:33" s="2115" customFormat="1" ht="13.5" customHeight="1">
      <c r="A22" s="2133" t="s">
        <v>943</v>
      </c>
      <c r="B22" s="2158" t="s">
        <v>1165</v>
      </c>
      <c r="C22" s="2159">
        <f ca="1">ROUND(C21*F22,0)</f>
        <v>0</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1</v>
      </c>
      <c r="D28" s="2163">
        <f ca="1">C29</f>
        <v>0</v>
      </c>
      <c r="E28" s="2166" t="s">
        <v>1170</v>
      </c>
      <c r="F28" s="1234">
        <f ca="1">IF(C1="",'数据-取费表'!Q16,INDIRECT("'数据-取费表'!q"&amp;$K$1))</f>
        <v>0.2</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1</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-6</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817"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815" customFormat="1" ht="21.6">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54" t="s">
        <v>1198</v>
      </c>
      <c r="C6" s="1846">
        <f ca="1">ROUND(F6*F8*F7*(1-F9)/10000,0)</f>
        <v>0</v>
      </c>
      <c r="D6" s="1847" t="s">
        <v>1199</v>
      </c>
      <c r="E6" s="1848" t="s">
        <v>1200</v>
      </c>
      <c r="F6" s="1849">
        <f ca="1">INDIRECT("'数据-取费表'!u"&amp;$G$1)</f>
        <v>0</v>
      </c>
      <c r="G6" s="718"/>
      <c r="H6" s="1845" t="s">
        <v>939</v>
      </c>
      <c r="I6" s="3354" t="s">
        <v>1198</v>
      </c>
      <c r="J6" s="1919">
        <f ca="1">ROUND(M6*M8*M7*(1-M9)/10000,0)</f>
        <v>0</v>
      </c>
      <c r="K6" s="1847" t="s">
        <v>1201</v>
      </c>
      <c r="L6" s="1848" t="s">
        <v>1200</v>
      </c>
      <c r="M6" s="1849">
        <f ca="1">INDIRECT("'数据-取费表'!z"&amp;$G$1)</f>
        <v>0</v>
      </c>
    </row>
    <row r="7" spans="1:37" ht="18" customHeight="1">
      <c r="A7" s="1850"/>
      <c r="B7" s="3355"/>
      <c r="C7" s="1851"/>
      <c r="D7" s="1852"/>
      <c r="E7" s="1853" t="s">
        <v>1202</v>
      </c>
      <c r="F7" s="1849">
        <f ca="1">IF(INDIRECT("'数据-取费表'!ah"&amp;$G$1)="",INDIRECT("'数据-取费表'!k"&amp;$G$1),INDIRECT("'数据-取费表'!ah"&amp;$G$1))</f>
        <v>0</v>
      </c>
      <c r="G7" s="718"/>
      <c r="H7" s="1854"/>
      <c r="I7" s="3355"/>
      <c r="J7" s="1855"/>
      <c r="K7" s="1852"/>
      <c r="L7" s="1848" t="s">
        <v>1202</v>
      </c>
      <c r="M7" s="1849">
        <f ca="1">F7</f>
        <v>0</v>
      </c>
    </row>
    <row r="8" spans="1:37" ht="18" customHeight="1">
      <c r="A8" s="1854"/>
      <c r="B8" s="3355"/>
      <c r="C8" s="1855"/>
      <c r="D8" s="1852"/>
      <c r="E8" s="1848" t="s">
        <v>1203</v>
      </c>
      <c r="F8" s="1849">
        <f ca="1">INDIRECT("'数据-取费表'!ai"&amp;$G$1)</f>
        <v>0</v>
      </c>
      <c r="G8" s="718"/>
      <c r="H8" s="1854"/>
      <c r="I8" s="3355"/>
      <c r="J8" s="1855"/>
      <c r="K8" s="1852"/>
      <c r="L8" s="1848" t="s">
        <v>1203</v>
      </c>
      <c r="M8" s="1849">
        <f ca="1">INDIRECT("'数据-取费表'!ai"&amp;$G$1)</f>
        <v>0</v>
      </c>
    </row>
    <row r="9" spans="1:37" ht="18" customHeight="1">
      <c r="A9" s="1854"/>
      <c r="B9" s="3356"/>
      <c r="C9" s="1855"/>
      <c r="D9" s="1852"/>
      <c r="E9" s="1848" t="s">
        <v>1204</v>
      </c>
      <c r="F9" s="1856">
        <f ca="1">INDIRECT("'数据-取费表'!w"&amp;$G$1)</f>
        <v>0</v>
      </c>
      <c r="G9" s="718"/>
      <c r="H9" s="1854"/>
      <c r="I9" s="3356"/>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IF(项目基本情况!B11="自然人","——",ROUND(C6*F32/(1+'数据-取费表'!C42),2))</f>
        <v>——</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IF(项目基本情况!B11="自然人","——",IF(D33="按租金收入计税",ROUND(C6*F33/(1+'数据-取费表'!C42),2),IF(D33="按房产原值计税",ROUND(C29*F33*0.7,2),INDIRECT("'数据-取费表'!Aj"&amp;$G$1))))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IF(项目基本情况!B11="自然人","——",ROUND(F34*F35/10000,2))</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39.6">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36">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2" t="s">
        <v>1322</v>
      </c>
      <c r="L53" s="3353"/>
      <c r="O53" s="2026" t="s">
        <v>1147</v>
      </c>
      <c r="P53" s="2027" t="s">
        <v>1323</v>
      </c>
      <c r="Q53" s="2063" t="e">
        <f ca="1">Q47+Q48</f>
        <v>#DIV/0!</v>
      </c>
      <c r="R53" s="2063" t="s">
        <v>1324</v>
      </c>
    </row>
    <row r="54" spans="1:18" s="718" customFormat="1" ht="24">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36">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6">
      <c r="A60" s="1877" t="s">
        <v>962</v>
      </c>
      <c r="B60" s="1970" t="s">
        <v>1230</v>
      </c>
      <c r="C60" s="950" t="str">
        <f>IF(项目基本情况!B11="自然人","——",ROUND(C48*F60/(1+'数据-取费表'!C42),2))</f>
        <v>——</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IF(项目基本情况!B11="自然人","——",IF(D61="按租金收入计税",ROUND(C49*F61/(1+'数据-取费表'!C42),2),IF(D61="按房产原值计税",ROUND(C57*F61*0.7,2),INDIRECT("'数据-取费表'!Aj"&amp;$G$1))))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IF(项目基本情况!B11="自然人","——",ROUND(F62*F63/10000,2))</f>
        <v>——</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6">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24">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6">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6">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19" zoomScaleNormal="70" workbookViewId="0">
      <selection activeCell="N34" sqref="N34"/>
    </sheetView>
  </sheetViews>
  <sheetFormatPr defaultColWidth="9" defaultRowHeight="13.8"/>
  <cols>
    <col min="1" max="1" width="10.44140625" style="1014" customWidth="1"/>
    <col min="2" max="2" width="15.77734375" style="1014" customWidth="1"/>
    <col min="3" max="3" width="15.66406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42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44319</v>
      </c>
      <c r="C3" s="1376" t="s">
        <v>1377</v>
      </c>
      <c r="D3" s="1377">
        <f>IF(D1="",'数据-汇总表'!E3,SUMIF('数据-汇总表'!$C19:$C33,D1,'数据-汇总表'!$E19:$E33))</f>
        <v>0</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4.4">
      <c r="A4" s="1027" t="s">
        <v>1378</v>
      </c>
      <c r="B4" s="1028"/>
      <c r="C4" s="3399" t="s">
        <v>1379</v>
      </c>
      <c r="D4" s="3400"/>
      <c r="E4" s="3401" t="s">
        <v>1380</v>
      </c>
      <c r="F4" s="3402"/>
      <c r="G4" s="3399" t="s">
        <v>1381</v>
      </c>
      <c r="H4" s="3400"/>
      <c r="I4" s="3399" t="s">
        <v>1382</v>
      </c>
      <c r="J4" s="3400"/>
      <c r="K4" s="1171" t="s">
        <v>1383</v>
      </c>
      <c r="L4" s="1172"/>
      <c r="M4" s="1122"/>
      <c r="N4" s="1122"/>
      <c r="O4" s="1122"/>
      <c r="P4" s="3363" t="s">
        <v>1384</v>
      </c>
      <c r="Q4" s="3364"/>
      <c r="R4" s="3369" t="s">
        <v>1380</v>
      </c>
      <c r="S4" s="3370"/>
      <c r="T4" s="3369" t="s">
        <v>1381</v>
      </c>
      <c r="U4" s="3370"/>
      <c r="V4" s="3375" t="s">
        <v>1382</v>
      </c>
      <c r="W4" s="3375"/>
      <c r="X4" s="2095"/>
      <c r="Y4" s="3369" t="s">
        <v>1384</v>
      </c>
      <c r="Z4" s="3370"/>
      <c r="AA4" s="3357" t="s">
        <v>1380</v>
      </c>
      <c r="AB4" s="3357" t="s">
        <v>1381</v>
      </c>
      <c r="AC4" s="3360" t="s">
        <v>1382</v>
      </c>
    </row>
    <row r="5" spans="1:29">
      <c r="A5" s="1029"/>
      <c r="B5" s="1030"/>
      <c r="C5" s="3403" t="s">
        <v>1385</v>
      </c>
      <c r="D5" s="3404"/>
      <c r="E5" s="3405" t="s">
        <v>1386</v>
      </c>
      <c r="F5" s="3406"/>
      <c r="G5" s="3403" t="s">
        <v>1387</v>
      </c>
      <c r="H5" s="3404"/>
      <c r="I5" s="3403" t="s">
        <v>1388</v>
      </c>
      <c r="J5" s="3404"/>
      <c r="K5" s="1171"/>
      <c r="L5" s="1172"/>
      <c r="M5" s="1122"/>
      <c r="N5" s="1122"/>
      <c r="O5" s="1122"/>
      <c r="P5" s="3365"/>
      <c r="Q5" s="3366"/>
      <c r="R5" s="3371"/>
      <c r="S5" s="3372"/>
      <c r="T5" s="3371"/>
      <c r="U5" s="3372"/>
      <c r="V5" s="3376"/>
      <c r="W5" s="3376"/>
      <c r="X5" s="1214"/>
      <c r="Y5" s="3371"/>
      <c r="Z5" s="3372"/>
      <c r="AA5" s="3358"/>
      <c r="AB5" s="3358"/>
      <c r="AC5" s="3361"/>
    </row>
    <row r="6" spans="1:29" ht="14.4">
      <c r="A6" s="1031"/>
      <c r="B6" s="1032"/>
      <c r="C6" s="3394" t="s">
        <v>1389</v>
      </c>
      <c r="D6" s="3395"/>
      <c r="E6" s="3396" t="s">
        <v>1389</v>
      </c>
      <c r="F6" s="3397"/>
      <c r="G6" s="3394" t="s">
        <v>1389</v>
      </c>
      <c r="H6" s="3395"/>
      <c r="I6" s="3394" t="s">
        <v>1389</v>
      </c>
      <c r="J6" s="3395"/>
      <c r="K6" s="1171" t="s">
        <v>1390</v>
      </c>
      <c r="L6" s="1172"/>
      <c r="M6" s="1122"/>
      <c r="N6" s="1122"/>
      <c r="O6" s="1122"/>
      <c r="P6" s="3367"/>
      <c r="Q6" s="3368"/>
      <c r="R6" s="3371"/>
      <c r="S6" s="3372"/>
      <c r="T6" s="3373"/>
      <c r="U6" s="3374"/>
      <c r="V6" s="3376"/>
      <c r="W6" s="3376"/>
      <c r="X6" s="1214"/>
      <c r="Y6" s="3373"/>
      <c r="Z6" s="3374"/>
      <c r="AA6" s="3359"/>
      <c r="AB6" s="3359"/>
      <c r="AC6" s="3362"/>
    </row>
    <row r="7" spans="1:29" s="1008" customFormat="1" ht="14.4">
      <c r="A7" s="1033" t="s">
        <v>1391</v>
      </c>
      <c r="B7" s="1034"/>
      <c r="C7" s="1035">
        <f>'数据-取费表'!B2</f>
        <v>45924</v>
      </c>
      <c r="D7" s="1036">
        <v>100</v>
      </c>
      <c r="E7" s="1037">
        <v>45870</v>
      </c>
      <c r="F7" s="1038">
        <f>SUMIF(59:59,YEAR(E7)&amp;"-"&amp;MONTH(E7),60:60)</f>
        <v>100</v>
      </c>
      <c r="G7" s="1037">
        <v>45870</v>
      </c>
      <c r="H7" s="1036">
        <f>SUMIF(59:59,YEAR(G7)&amp;"-"&amp;MONTH(G7),60:60)</f>
        <v>100</v>
      </c>
      <c r="I7" s="1037">
        <v>45870</v>
      </c>
      <c r="J7" s="1036">
        <f>SUMIF(59:59,YEAR(I7)&amp;"-"&amp;MONTH(I7),60:60)</f>
        <v>100</v>
      </c>
      <c r="K7" s="1173"/>
      <c r="L7" s="1174"/>
      <c r="M7" s="1175"/>
      <c r="N7" s="1175"/>
      <c r="O7" s="1175"/>
      <c r="P7" s="3384" t="s">
        <v>1392</v>
      </c>
      <c r="Q7" s="3398"/>
      <c r="R7" s="1215" t="s">
        <v>1393</v>
      </c>
      <c r="S7" s="1216">
        <f t="shared" ref="S7:S15" si="0">F7</f>
        <v>100</v>
      </c>
      <c r="T7" s="1215" t="s">
        <v>1393</v>
      </c>
      <c r="U7" s="1216">
        <f t="shared" ref="U7:U15" si="1">H7</f>
        <v>100</v>
      </c>
      <c r="V7" s="1215" t="s">
        <v>1393</v>
      </c>
      <c r="W7" s="1216">
        <f t="shared" ref="W7:W15" si="2">J7</f>
        <v>100</v>
      </c>
      <c r="X7" s="1217"/>
      <c r="Y7" s="3382" t="s">
        <v>1392</v>
      </c>
      <c r="Z7" s="3383"/>
      <c r="AA7" s="1227">
        <f>D7/F7</f>
        <v>1</v>
      </c>
      <c r="AB7" s="1227">
        <f>D7/H7</f>
        <v>1</v>
      </c>
      <c r="AC7" s="2096">
        <f>D7/J7</f>
        <v>1</v>
      </c>
    </row>
    <row r="8" spans="1:29" s="1008" customFormat="1" ht="14.4">
      <c r="A8" s="1033" t="s">
        <v>1394</v>
      </c>
      <c r="B8" s="1034"/>
      <c r="C8" s="1040" t="s">
        <v>1395</v>
      </c>
      <c r="D8" s="1036">
        <v>100</v>
      </c>
      <c r="E8" s="1040" t="s">
        <v>1396</v>
      </c>
      <c r="F8" s="1038">
        <f>SUMIF(62:62,E8,63:63)-SUMIF(62:62,C8,63:63)+100</f>
        <v>105</v>
      </c>
      <c r="G8" s="1040" t="s">
        <v>1396</v>
      </c>
      <c r="H8" s="1036">
        <f>SUMIF(62:62,G8,63:63)-SUMIF(62:62,C8,63:63)+100</f>
        <v>105</v>
      </c>
      <c r="I8" s="1040" t="s">
        <v>1396</v>
      </c>
      <c r="J8" s="1036">
        <f>SUMIF(62:62,I8,63:63)-SUMIF(62:62,C8,63:63)+100</f>
        <v>105</v>
      </c>
      <c r="K8" s="1173"/>
      <c r="L8" s="1174"/>
      <c r="M8" s="1175"/>
      <c r="N8" s="1175"/>
      <c r="O8" s="1175"/>
      <c r="P8" s="3384" t="s">
        <v>1397</v>
      </c>
      <c r="Q8" s="3383"/>
      <c r="R8" s="1215" t="s">
        <v>1393</v>
      </c>
      <c r="S8" s="1216">
        <f t="shared" si="0"/>
        <v>105</v>
      </c>
      <c r="T8" s="1215" t="s">
        <v>1393</v>
      </c>
      <c r="U8" s="1216">
        <f t="shared" si="1"/>
        <v>105</v>
      </c>
      <c r="V8" s="1215" t="s">
        <v>1393</v>
      </c>
      <c r="W8" s="1216">
        <f t="shared" si="2"/>
        <v>105</v>
      </c>
      <c r="X8" s="1217"/>
      <c r="Y8" s="3382" t="s">
        <v>1397</v>
      </c>
      <c r="Z8" s="3383"/>
      <c r="AA8" s="1227">
        <f t="shared" ref="AA8:AA47" si="3">D8/F8</f>
        <v>0.95238095238095233</v>
      </c>
      <c r="AB8" s="1227">
        <f t="shared" ref="AB8:AB47" si="4">D8/H8</f>
        <v>0.95238095238095233</v>
      </c>
      <c r="AC8" s="2096">
        <f t="shared" ref="AC8:AC47" si="5">D8/J8</f>
        <v>0.95238095238095233</v>
      </c>
    </row>
    <row r="9" spans="1:29" s="1008" customFormat="1" ht="14.4">
      <c r="A9" s="1041" t="s">
        <v>1398</v>
      </c>
      <c r="B9" s="1042" t="s">
        <v>1399</v>
      </c>
      <c r="C9" s="2088" t="s">
        <v>230</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264" t="s">
        <v>1401</v>
      </c>
      <c r="Z9" s="1227" t="str">
        <f t="shared" ref="Z9:Z15" si="7">Q9</f>
        <v>用途</v>
      </c>
      <c r="AA9" s="1227">
        <f t="shared" si="3"/>
        <v>1</v>
      </c>
      <c r="AB9" s="1227">
        <f t="shared" si="4"/>
        <v>1</v>
      </c>
      <c r="AC9" s="2096">
        <f t="shared" si="5"/>
        <v>1</v>
      </c>
    </row>
    <row r="10" spans="1:29" s="1009" customFormat="1" ht="28.8">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264"/>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7"/>
      <c r="Q11" s="794" t="str">
        <f t="shared" si="6"/>
        <v>容积率</v>
      </c>
      <c r="R11" s="1215" t="s">
        <v>1393</v>
      </c>
      <c r="S11" s="1216">
        <f t="shared" si="0"/>
        <v>100</v>
      </c>
      <c r="T11" s="1215" t="s">
        <v>1393</v>
      </c>
      <c r="U11" s="1216">
        <f t="shared" si="1"/>
        <v>100</v>
      </c>
      <c r="V11" s="1215" t="s">
        <v>1393</v>
      </c>
      <c r="W11" s="1216">
        <f t="shared" si="2"/>
        <v>100</v>
      </c>
      <c r="X11" s="1217"/>
      <c r="Y11" s="3264"/>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264"/>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264"/>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264"/>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85" t="s">
        <v>1406</v>
      </c>
      <c r="Q15" s="625" t="str">
        <f t="shared" si="6"/>
        <v>办公集聚程度</v>
      </c>
      <c r="R15" s="1219" t="s">
        <v>1393</v>
      </c>
      <c r="S15" s="1220">
        <f t="shared" si="0"/>
        <v>100</v>
      </c>
      <c r="T15" s="1219" t="s">
        <v>1393</v>
      </c>
      <c r="U15" s="1220">
        <f t="shared" si="1"/>
        <v>100</v>
      </c>
      <c r="V15" s="1219" t="s">
        <v>1393</v>
      </c>
      <c r="W15" s="1220">
        <f t="shared" si="2"/>
        <v>100</v>
      </c>
      <c r="X15" s="1214"/>
      <c r="Y15" s="3390" t="s">
        <v>1406</v>
      </c>
      <c r="Z15" s="1204" t="str">
        <f t="shared" si="7"/>
        <v>办公集聚程度</v>
      </c>
      <c r="AA15" s="1204">
        <f t="shared" si="3"/>
        <v>1</v>
      </c>
      <c r="AB15" s="1204">
        <f t="shared" si="4"/>
        <v>1</v>
      </c>
      <c r="AC15" s="2097">
        <f t="shared" si="5"/>
        <v>1</v>
      </c>
    </row>
    <row r="16" spans="1:29" ht="15">
      <c r="A16" s="1049"/>
      <c r="B16" s="1067"/>
      <c r="C16" s="1070" t="s">
        <v>1407</v>
      </c>
      <c r="D16" s="1069"/>
      <c r="E16" s="1070" t="s">
        <v>1407</v>
      </c>
      <c r="F16" s="1069"/>
      <c r="G16" s="1070" t="s">
        <v>1407</v>
      </c>
      <c r="H16" s="1071"/>
      <c r="I16" s="1070" t="s">
        <v>1407</v>
      </c>
      <c r="J16" s="1069"/>
      <c r="K16" s="1413"/>
      <c r="L16" s="1184"/>
      <c r="M16" s="1122"/>
      <c r="N16" s="1122"/>
      <c r="O16" s="1122"/>
      <c r="P16" s="3386"/>
      <c r="Q16" s="625"/>
      <c r="R16" s="1219"/>
      <c r="S16" s="1220"/>
      <c r="T16" s="1219"/>
      <c r="U16" s="1220"/>
      <c r="V16" s="1219"/>
      <c r="W16" s="1220"/>
      <c r="X16" s="1214"/>
      <c r="Y16" s="3391"/>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86"/>
      <c r="Q17" s="625" t="str">
        <f>B17</f>
        <v>交通便捷度</v>
      </c>
      <c r="R17" s="1219" t="s">
        <v>1393</v>
      </c>
      <c r="S17" s="1220">
        <f>F17</f>
        <v>100</v>
      </c>
      <c r="T17" s="1219" t="s">
        <v>1393</v>
      </c>
      <c r="U17" s="1220">
        <f>H17</f>
        <v>100</v>
      </c>
      <c r="V17" s="1219" t="s">
        <v>1393</v>
      </c>
      <c r="W17" s="1220">
        <f>J17</f>
        <v>100</v>
      </c>
      <c r="X17" s="1214"/>
      <c r="Y17" s="3391"/>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86"/>
      <c r="Q18" s="625"/>
      <c r="R18" s="1219"/>
      <c r="S18" s="1220"/>
      <c r="T18" s="1219"/>
      <c r="U18" s="1220"/>
      <c r="V18" s="1219"/>
      <c r="W18" s="1220"/>
      <c r="X18" s="1214"/>
      <c r="Y18" s="3391"/>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86"/>
      <c r="Q19" s="625" t="str">
        <f>B19</f>
        <v>公共配套设施</v>
      </c>
      <c r="R19" s="1219" t="s">
        <v>1393</v>
      </c>
      <c r="S19" s="1220">
        <f>F19</f>
        <v>100</v>
      </c>
      <c r="T19" s="1219" t="s">
        <v>1393</v>
      </c>
      <c r="U19" s="1220">
        <f>H19</f>
        <v>100</v>
      </c>
      <c r="V19" s="1219" t="s">
        <v>1393</v>
      </c>
      <c r="W19" s="1220">
        <f>J19</f>
        <v>100</v>
      </c>
      <c r="X19" s="1214"/>
      <c r="Y19" s="3391"/>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86"/>
      <c r="Q20" s="625"/>
      <c r="R20" s="1219"/>
      <c r="S20" s="1220"/>
      <c r="T20" s="1219"/>
      <c r="U20" s="1220"/>
      <c r="V20" s="1219"/>
      <c r="W20" s="1220"/>
      <c r="X20" s="1214"/>
      <c r="Y20" s="3391"/>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86"/>
      <c r="Q21" s="625" t="str">
        <f>B21</f>
        <v>基础设施水平</v>
      </c>
      <c r="R21" s="1219" t="s">
        <v>1393</v>
      </c>
      <c r="S21" s="1220">
        <f>F21</f>
        <v>100</v>
      </c>
      <c r="T21" s="1219" t="s">
        <v>1393</v>
      </c>
      <c r="U21" s="1220">
        <f>H21</f>
        <v>100</v>
      </c>
      <c r="V21" s="1219" t="s">
        <v>1393</v>
      </c>
      <c r="W21" s="1220">
        <f>J21</f>
        <v>100</v>
      </c>
      <c r="X21" s="1214"/>
      <c r="Y21" s="3391"/>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86"/>
      <c r="Q22" s="625"/>
      <c r="R22" s="1219"/>
      <c r="S22" s="1220"/>
      <c r="T22" s="1219"/>
      <c r="U22" s="1220"/>
      <c r="V22" s="1219"/>
      <c r="W22" s="1220"/>
      <c r="X22" s="1214"/>
      <c r="Y22" s="3391"/>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86"/>
      <c r="Q23" s="625" t="str">
        <f>B23</f>
        <v>环境质量</v>
      </c>
      <c r="R23" s="1219" t="s">
        <v>1393</v>
      </c>
      <c r="S23" s="1220">
        <f>F23</f>
        <v>100</v>
      </c>
      <c r="T23" s="1219" t="s">
        <v>1393</v>
      </c>
      <c r="U23" s="1220">
        <f>H23</f>
        <v>100</v>
      </c>
      <c r="V23" s="1219" t="s">
        <v>1393</v>
      </c>
      <c r="W23" s="1220">
        <f>J23</f>
        <v>100</v>
      </c>
      <c r="X23" s="1214"/>
      <c r="Y23" s="3391"/>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86"/>
      <c r="Q24" s="625"/>
      <c r="R24" s="1219"/>
      <c r="S24" s="1220"/>
      <c r="T24" s="1219"/>
      <c r="U24" s="1220"/>
      <c r="V24" s="1219"/>
      <c r="W24" s="1220"/>
      <c r="X24" s="1214"/>
      <c r="Y24" s="3391"/>
      <c r="Z24" s="1204"/>
      <c r="AA24" s="1204">
        <v>1</v>
      </c>
      <c r="AB24" s="1204">
        <v>1</v>
      </c>
      <c r="AC24" s="2097">
        <v>1</v>
      </c>
    </row>
    <row r="25" spans="1:29" ht="28.8">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86"/>
      <c r="Q25" s="625" t="str">
        <f>B25</f>
        <v>毗邻道路的类型与等级</v>
      </c>
      <c r="R25" s="1219" t="s">
        <v>1393</v>
      </c>
      <c r="S25" s="1220">
        <f>F25</f>
        <v>100</v>
      </c>
      <c r="T25" s="1219" t="s">
        <v>1393</v>
      </c>
      <c r="U25" s="1220">
        <f>H25</f>
        <v>100</v>
      </c>
      <c r="V25" s="1219" t="s">
        <v>1393</v>
      </c>
      <c r="W25" s="1220">
        <f>J25</f>
        <v>100</v>
      </c>
      <c r="X25" s="1214"/>
      <c r="Y25" s="3391"/>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86"/>
      <c r="Q26" s="625"/>
      <c r="R26" s="1219"/>
      <c r="S26" s="1220"/>
      <c r="T26" s="1219"/>
      <c r="U26" s="1220"/>
      <c r="V26" s="1219"/>
      <c r="W26" s="1220"/>
      <c r="X26" s="1214"/>
      <c r="Y26" s="3391"/>
      <c r="Z26" s="1204"/>
      <c r="AA26" s="1204">
        <v>1</v>
      </c>
      <c r="AB26" s="1204">
        <v>1</v>
      </c>
      <c r="AC26" s="2097">
        <v>1</v>
      </c>
    </row>
    <row r="27" spans="1:29" ht="15">
      <c r="A27" s="1049"/>
      <c r="B27" s="1076" t="s">
        <v>1413</v>
      </c>
      <c r="C27" s="1083" t="s">
        <v>1414</v>
      </c>
      <c r="D27" s="759">
        <v>100</v>
      </c>
      <c r="E27" s="1083" t="s">
        <v>1415</v>
      </c>
      <c r="F27" s="759">
        <f>SUMIF(89:89,E27,90:90)-SUMIF(89:89,C27,90:90)+100</f>
        <v>94</v>
      </c>
      <c r="G27" s="1083" t="s">
        <v>1415</v>
      </c>
      <c r="H27" s="759">
        <f>SUMIF(89:89,G27,90:90)-SUMIF(89:89,C27,90:90)+100</f>
        <v>94</v>
      </c>
      <c r="I27" s="1083" t="s">
        <v>1416</v>
      </c>
      <c r="J27" s="759">
        <f>SUMIF(89:89,I27,90:90)-SUMIF(89:89,C27,90:90)+100</f>
        <v>97</v>
      </c>
      <c r="K27" s="1190">
        <v>3</v>
      </c>
      <c r="L27" s="1184"/>
      <c r="M27" s="1122"/>
      <c r="N27" s="1122"/>
      <c r="O27" s="1122"/>
      <c r="P27" s="3386"/>
      <c r="Q27" s="625" t="str">
        <f t="shared" ref="Q27:Q47" si="11">B27</f>
        <v>楼层</v>
      </c>
      <c r="R27" s="1219" t="s">
        <v>1393</v>
      </c>
      <c r="S27" s="1220">
        <f>F27</f>
        <v>94</v>
      </c>
      <c r="T27" s="1219" t="s">
        <v>1393</v>
      </c>
      <c r="U27" s="1220">
        <f>H27</f>
        <v>94</v>
      </c>
      <c r="V27" s="1219" t="s">
        <v>1393</v>
      </c>
      <c r="W27" s="1220">
        <f>J27</f>
        <v>97</v>
      </c>
      <c r="X27" s="1214"/>
      <c r="Y27" s="3391"/>
      <c r="Z27" s="1204" t="str">
        <f>Q27</f>
        <v>楼层</v>
      </c>
      <c r="AA27" s="1204">
        <f t="shared" si="3"/>
        <v>1.0638297872340425</v>
      </c>
      <c r="AB27" s="1204">
        <f t="shared" si="4"/>
        <v>1.0638297872340425</v>
      </c>
      <c r="AC27" s="2097">
        <f t="shared" si="5"/>
        <v>1.0309278350515463</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86"/>
      <c r="Q28" s="794" t="str">
        <f t="shared" si="11"/>
        <v>朝向</v>
      </c>
      <c r="R28" s="1215" t="s">
        <v>1393</v>
      </c>
      <c r="S28" s="1216">
        <f>F28</f>
        <v>100</v>
      </c>
      <c r="T28" s="1215" t="s">
        <v>1393</v>
      </c>
      <c r="U28" s="1216">
        <f>H28</f>
        <v>100</v>
      </c>
      <c r="V28" s="1215" t="s">
        <v>1393</v>
      </c>
      <c r="W28" s="1216">
        <f>J28</f>
        <v>100</v>
      </c>
      <c r="X28" s="1217"/>
      <c r="Y28" s="3391"/>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86"/>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91"/>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86"/>
      <c r="Q30" s="625">
        <f t="shared" si="11"/>
        <v>111</v>
      </c>
      <c r="R30" s="1219" t="s">
        <v>1393</v>
      </c>
      <c r="S30" s="1220">
        <f t="shared" si="12"/>
        <v>100</v>
      </c>
      <c r="T30" s="1219" t="s">
        <v>1393</v>
      </c>
      <c r="U30" s="1220">
        <f t="shared" si="13"/>
        <v>100</v>
      </c>
      <c r="V30" s="1219" t="s">
        <v>1393</v>
      </c>
      <c r="W30" s="1220">
        <f t="shared" si="14"/>
        <v>100</v>
      </c>
      <c r="X30" s="1214"/>
      <c r="Y30" s="3391"/>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86"/>
      <c r="Q31" s="625">
        <f t="shared" si="11"/>
        <v>111</v>
      </c>
      <c r="R31" s="1219" t="s">
        <v>1393</v>
      </c>
      <c r="S31" s="1220">
        <f t="shared" si="12"/>
        <v>100</v>
      </c>
      <c r="T31" s="1219" t="s">
        <v>1393</v>
      </c>
      <c r="U31" s="1220">
        <f t="shared" si="13"/>
        <v>100</v>
      </c>
      <c r="V31" s="1219" t="s">
        <v>1393</v>
      </c>
      <c r="W31" s="1220">
        <f t="shared" si="14"/>
        <v>100</v>
      </c>
      <c r="X31" s="1214"/>
      <c r="Y31" s="3391"/>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86"/>
      <c r="Q32" s="625">
        <f t="shared" si="11"/>
        <v>111</v>
      </c>
      <c r="R32" s="1219" t="s">
        <v>1393</v>
      </c>
      <c r="S32" s="1220">
        <f t="shared" si="12"/>
        <v>100</v>
      </c>
      <c r="T32" s="1219" t="s">
        <v>1393</v>
      </c>
      <c r="U32" s="1220">
        <f t="shared" si="13"/>
        <v>100</v>
      </c>
      <c r="V32" s="1219" t="s">
        <v>1393</v>
      </c>
      <c r="W32" s="1220">
        <f t="shared" si="14"/>
        <v>100</v>
      </c>
      <c r="X32" s="1214"/>
      <c r="Y32" s="3391"/>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87" t="s">
        <v>1421</v>
      </c>
      <c r="Q33" s="625" t="str">
        <f t="shared" si="11"/>
        <v>建筑类型</v>
      </c>
      <c r="R33" s="1219" t="s">
        <v>1393</v>
      </c>
      <c r="S33" s="1220">
        <f t="shared" si="12"/>
        <v>100</v>
      </c>
      <c r="T33" s="1219" t="s">
        <v>1393</v>
      </c>
      <c r="U33" s="1220">
        <f t="shared" si="13"/>
        <v>100</v>
      </c>
      <c r="V33" s="1219" t="s">
        <v>1393</v>
      </c>
      <c r="W33" s="1220">
        <f t="shared" si="14"/>
        <v>100</v>
      </c>
      <c r="X33" s="1214"/>
      <c r="Y33" s="3392"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240.83</v>
      </c>
      <c r="D34" s="1048">
        <v>100</v>
      </c>
      <c r="E34" s="1381">
        <v>281.39</v>
      </c>
      <c r="F34" s="1046">
        <f>LOOKUP(E34,104:104,105:105)-LOOKUP(C34,104:104,105:105)+100</f>
        <v>100</v>
      </c>
      <c r="G34" s="1381">
        <v>166.28</v>
      </c>
      <c r="H34" s="1048">
        <f>LOOKUP(G34,104:104,105:105)-LOOKUP(C34,104:104,105:105)+100</f>
        <v>100</v>
      </c>
      <c r="I34" s="1381">
        <v>304</v>
      </c>
      <c r="J34" s="1048">
        <f>LOOKUP(I34,104:104,105:105)-LOOKUP(C34,104:104,105:105)+100</f>
        <v>101</v>
      </c>
      <c r="K34" s="1189"/>
      <c r="L34" s="1182"/>
      <c r="M34" s="1191"/>
      <c r="N34" s="1191"/>
      <c r="O34" s="1191"/>
      <c r="P34" s="3388"/>
      <c r="Q34" s="1415" t="str">
        <f t="shared" si="11"/>
        <v>项目建筑规模</v>
      </c>
      <c r="R34" s="1221" t="s">
        <v>1393</v>
      </c>
      <c r="S34" s="1222">
        <f t="shared" si="12"/>
        <v>100</v>
      </c>
      <c r="T34" s="1221" t="s">
        <v>1393</v>
      </c>
      <c r="U34" s="1222">
        <f t="shared" si="13"/>
        <v>100</v>
      </c>
      <c r="V34" s="1221" t="s">
        <v>1393</v>
      </c>
      <c r="W34" s="1222">
        <f t="shared" si="14"/>
        <v>101</v>
      </c>
      <c r="X34" s="1223"/>
      <c r="Y34" s="3392"/>
      <c r="Z34" s="1228" t="str">
        <f t="shared" si="15"/>
        <v>项目建筑规模</v>
      </c>
      <c r="AA34" s="1204">
        <f t="shared" si="3"/>
        <v>1</v>
      </c>
      <c r="AB34" s="1204">
        <f t="shared" si="4"/>
        <v>1</v>
      </c>
      <c r="AC34" s="2097">
        <f t="shared" si="5"/>
        <v>0.99009900990099009</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8"/>
      <c r="Q35" s="625" t="str">
        <f t="shared" si="11"/>
        <v>建筑结构</v>
      </c>
      <c r="R35" s="1219" t="s">
        <v>1393</v>
      </c>
      <c r="S35" s="1220">
        <f t="shared" si="12"/>
        <v>100</v>
      </c>
      <c r="T35" s="1219" t="s">
        <v>1393</v>
      </c>
      <c r="U35" s="1220">
        <f t="shared" si="13"/>
        <v>100</v>
      </c>
      <c r="V35" s="1219" t="s">
        <v>1393</v>
      </c>
      <c r="W35" s="1220">
        <f t="shared" si="14"/>
        <v>100</v>
      </c>
      <c r="X35" s="1214"/>
      <c r="Y35" s="3392"/>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8"/>
      <c r="Q36" s="625" t="str">
        <f t="shared" si="11"/>
        <v>公共部分装修</v>
      </c>
      <c r="R36" s="1219" t="s">
        <v>1393</v>
      </c>
      <c r="S36" s="1220">
        <f t="shared" si="12"/>
        <v>100</v>
      </c>
      <c r="T36" s="1219" t="s">
        <v>1393</v>
      </c>
      <c r="U36" s="1220">
        <f t="shared" si="13"/>
        <v>100</v>
      </c>
      <c r="V36" s="1219" t="s">
        <v>1393</v>
      </c>
      <c r="W36" s="1220">
        <f t="shared" si="14"/>
        <v>100</v>
      </c>
      <c r="X36" s="1214"/>
      <c r="Y36" s="3392"/>
      <c r="Z36" s="1204" t="str">
        <f t="shared" si="15"/>
        <v>公共部分装修</v>
      </c>
      <c r="AA36" s="1204">
        <f t="shared" si="3"/>
        <v>1</v>
      </c>
      <c r="AB36" s="1204">
        <f t="shared" si="4"/>
        <v>1</v>
      </c>
      <c r="AC36" s="2097">
        <f t="shared" si="5"/>
        <v>1</v>
      </c>
    </row>
    <row r="37" spans="1:29" ht="15">
      <c r="A37" s="1098"/>
      <c r="B37" s="1046" t="s">
        <v>683</v>
      </c>
      <c r="C37" s="1391">
        <f>'数据-取费表'!N6</f>
        <v>0.74</v>
      </c>
      <c r="D37" s="759">
        <v>100</v>
      </c>
      <c r="E37" s="1391">
        <f>C37</f>
        <v>0.74</v>
      </c>
      <c r="F37" s="1199">
        <f>LOOKUP(E37,111:111,112:112)-LOOKUP(C37,111:111,112:112)+100</f>
        <v>100</v>
      </c>
      <c r="G37" s="1391">
        <f>E37</f>
        <v>0.74</v>
      </c>
      <c r="H37" s="1199">
        <f>LOOKUP(G37,111:111,112:112)-LOOKUP(C37,111:111,112:112)+100</f>
        <v>100</v>
      </c>
      <c r="I37" s="1391">
        <f>G37</f>
        <v>0.74</v>
      </c>
      <c r="J37" s="759">
        <f>LOOKUP(I37,111:111,112:112)-LOOKUP(C37,111:111,112:112)+100</f>
        <v>100</v>
      </c>
      <c r="K37" s="1190"/>
      <c r="L37" s="1184"/>
      <c r="M37" s="1122"/>
      <c r="N37" s="1122"/>
      <c r="O37" s="1122"/>
      <c r="P37" s="3388"/>
      <c r="Q37" s="625" t="str">
        <f t="shared" si="11"/>
        <v>成新度</v>
      </c>
      <c r="R37" s="1219" t="s">
        <v>1393</v>
      </c>
      <c r="S37" s="1220">
        <f t="shared" si="12"/>
        <v>100</v>
      </c>
      <c r="T37" s="1219" t="s">
        <v>1393</v>
      </c>
      <c r="U37" s="1220">
        <f t="shared" si="13"/>
        <v>100</v>
      </c>
      <c r="V37" s="1219" t="s">
        <v>1393</v>
      </c>
      <c r="W37" s="1220">
        <f t="shared" si="14"/>
        <v>100</v>
      </c>
      <c r="X37" s="1214"/>
      <c r="Y37" s="3392"/>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8"/>
      <c r="Q38" s="794" t="str">
        <f t="shared" si="11"/>
        <v>写字楼等级</v>
      </c>
      <c r="R38" s="1215" t="s">
        <v>1393</v>
      </c>
      <c r="S38" s="1216">
        <f t="shared" si="12"/>
        <v>100</v>
      </c>
      <c r="T38" s="1215" t="s">
        <v>1393</v>
      </c>
      <c r="U38" s="1216">
        <f t="shared" si="13"/>
        <v>100</v>
      </c>
      <c r="V38" s="1215" t="s">
        <v>1393</v>
      </c>
      <c r="W38" s="1216">
        <f t="shared" si="14"/>
        <v>100</v>
      </c>
      <c r="X38" s="1217"/>
      <c r="Y38" s="3392"/>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8" t="s">
        <v>1421</v>
      </c>
      <c r="Q39" s="625" t="str">
        <f t="shared" si="11"/>
        <v>物业管理</v>
      </c>
      <c r="R39" s="1219" t="s">
        <v>1393</v>
      </c>
      <c r="S39" s="1220">
        <f t="shared" si="12"/>
        <v>100</v>
      </c>
      <c r="T39" s="1219" t="s">
        <v>1393</v>
      </c>
      <c r="U39" s="1220">
        <f t="shared" si="13"/>
        <v>100</v>
      </c>
      <c r="V39" s="1219" t="s">
        <v>1393</v>
      </c>
      <c r="W39" s="1220">
        <f t="shared" si="14"/>
        <v>100</v>
      </c>
      <c r="X39" s="1214"/>
      <c r="Y39" s="3392"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8"/>
      <c r="Q40" s="625" t="str">
        <f t="shared" si="11"/>
        <v>市政基础设施</v>
      </c>
      <c r="R40" s="1219" t="s">
        <v>1393</v>
      </c>
      <c r="S40" s="1220">
        <f t="shared" si="12"/>
        <v>100</v>
      </c>
      <c r="T40" s="1219" t="s">
        <v>1393</v>
      </c>
      <c r="U40" s="1220">
        <f t="shared" si="13"/>
        <v>100</v>
      </c>
      <c r="V40" s="1219" t="s">
        <v>1393</v>
      </c>
      <c r="W40" s="1220">
        <f t="shared" si="14"/>
        <v>100</v>
      </c>
      <c r="X40" s="1214"/>
      <c r="Y40" s="3392"/>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8"/>
      <c r="Q41" s="625" t="str">
        <f t="shared" si="11"/>
        <v>层高</v>
      </c>
      <c r="R41" s="1219" t="s">
        <v>1393</v>
      </c>
      <c r="S41" s="1220">
        <f t="shared" si="12"/>
        <v>100</v>
      </c>
      <c r="T41" s="1219" t="s">
        <v>1393</v>
      </c>
      <c r="U41" s="1220">
        <f t="shared" si="13"/>
        <v>100</v>
      </c>
      <c r="V41" s="1219" t="s">
        <v>1393</v>
      </c>
      <c r="W41" s="1220">
        <f t="shared" si="14"/>
        <v>100</v>
      </c>
      <c r="X41" s="1214"/>
      <c r="Y41" s="3392"/>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8"/>
      <c r="Q42" s="1415" t="str">
        <f t="shared" si="11"/>
        <v>单套建筑面积</v>
      </c>
      <c r="R42" s="1221" t="s">
        <v>1393</v>
      </c>
      <c r="S42" s="1222">
        <f t="shared" si="12"/>
        <v>100</v>
      </c>
      <c r="T42" s="1221" t="s">
        <v>1393</v>
      </c>
      <c r="U42" s="1222">
        <f t="shared" si="13"/>
        <v>100</v>
      </c>
      <c r="V42" s="1221" t="s">
        <v>1393</v>
      </c>
      <c r="W42" s="1222">
        <f t="shared" si="14"/>
        <v>100</v>
      </c>
      <c r="X42" s="1223"/>
      <c r="Y42" s="3392"/>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c r="L43" s="1184"/>
      <c r="M43" s="1122"/>
      <c r="N43" s="1122"/>
      <c r="O43" s="1122"/>
      <c r="P43" s="3388"/>
      <c r="Q43" s="625" t="str">
        <f t="shared" si="11"/>
        <v>内部装修</v>
      </c>
      <c r="R43" s="1219" t="s">
        <v>1393</v>
      </c>
      <c r="S43" s="1220">
        <f t="shared" si="12"/>
        <v>100</v>
      </c>
      <c r="T43" s="1219" t="s">
        <v>1393</v>
      </c>
      <c r="U43" s="1220">
        <f t="shared" si="13"/>
        <v>100</v>
      </c>
      <c r="V43" s="1219" t="s">
        <v>1393</v>
      </c>
      <c r="W43" s="1220">
        <f t="shared" si="14"/>
        <v>100</v>
      </c>
      <c r="X43" s="1214"/>
      <c r="Y43" s="3392"/>
      <c r="Z43" s="1204" t="str">
        <f t="shared" si="15"/>
        <v>内部装修</v>
      </c>
      <c r="AA43" s="1204">
        <f t="shared" si="3"/>
        <v>1</v>
      </c>
      <c r="AB43" s="1204">
        <f t="shared" si="4"/>
        <v>1</v>
      </c>
      <c r="AC43" s="2097">
        <f t="shared" si="5"/>
        <v>1</v>
      </c>
    </row>
    <row r="44" spans="1:29" ht="28.8">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c r="L44" s="1184"/>
      <c r="M44" s="1122"/>
      <c r="N44" s="1122"/>
      <c r="O44" s="1122"/>
      <c r="P44" s="3388"/>
      <c r="Q44" s="625" t="str">
        <f t="shared" si="11"/>
        <v>内部装修维护情况</v>
      </c>
      <c r="R44" s="1219" t="s">
        <v>1393</v>
      </c>
      <c r="S44" s="1220">
        <f t="shared" si="12"/>
        <v>100</v>
      </c>
      <c r="T44" s="1219" t="s">
        <v>1393</v>
      </c>
      <c r="U44" s="1220">
        <f t="shared" si="13"/>
        <v>100</v>
      </c>
      <c r="V44" s="1219" t="s">
        <v>1393</v>
      </c>
      <c r="W44" s="1220">
        <f t="shared" si="14"/>
        <v>100</v>
      </c>
      <c r="X44" s="1214"/>
      <c r="Y44" s="3392"/>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8"/>
      <c r="Q45" s="794">
        <f t="shared" si="11"/>
        <v>111</v>
      </c>
      <c r="R45" s="1215" t="s">
        <v>1393</v>
      </c>
      <c r="S45" s="1216">
        <f t="shared" si="12"/>
        <v>100</v>
      </c>
      <c r="T45" s="1215" t="s">
        <v>1393</v>
      </c>
      <c r="U45" s="1216">
        <f t="shared" si="13"/>
        <v>100</v>
      </c>
      <c r="V45" s="1215" t="s">
        <v>1393</v>
      </c>
      <c r="W45" s="1216">
        <f t="shared" si="14"/>
        <v>100</v>
      </c>
      <c r="X45" s="1217"/>
      <c r="Y45" s="3392"/>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8"/>
      <c r="Q46" s="625">
        <f t="shared" si="11"/>
        <v>111</v>
      </c>
      <c r="R46" s="1219" t="s">
        <v>1393</v>
      </c>
      <c r="S46" s="1220">
        <f t="shared" si="12"/>
        <v>100</v>
      </c>
      <c r="T46" s="1219" t="s">
        <v>1393</v>
      </c>
      <c r="U46" s="1220">
        <f t="shared" si="13"/>
        <v>100</v>
      </c>
      <c r="V46" s="1219" t="s">
        <v>1393</v>
      </c>
      <c r="W46" s="1220">
        <f t="shared" si="14"/>
        <v>100</v>
      </c>
      <c r="X46" s="1214"/>
      <c r="Y46" s="3392"/>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9"/>
      <c r="Q47" s="625">
        <f t="shared" si="11"/>
        <v>111</v>
      </c>
      <c r="R47" s="1219" t="s">
        <v>1393</v>
      </c>
      <c r="S47" s="1220">
        <f t="shared" si="12"/>
        <v>100</v>
      </c>
      <c r="T47" s="1219" t="s">
        <v>1393</v>
      </c>
      <c r="U47" s="1220">
        <f t="shared" si="13"/>
        <v>100</v>
      </c>
      <c r="V47" s="1219" t="s">
        <v>1393</v>
      </c>
      <c r="W47" s="1220">
        <f t="shared" si="14"/>
        <v>100</v>
      </c>
      <c r="X47" s="1214"/>
      <c r="Y47" s="3393"/>
      <c r="Z47" s="1204">
        <f t="shared" si="15"/>
        <v>111</v>
      </c>
      <c r="AA47" s="1204">
        <f t="shared" si="3"/>
        <v>1</v>
      </c>
      <c r="AB47" s="1204">
        <f t="shared" si="4"/>
        <v>1</v>
      </c>
      <c r="AC47" s="2097">
        <f t="shared" si="5"/>
        <v>1</v>
      </c>
    </row>
    <row r="48" spans="1:29" ht="14.4">
      <c r="A48" s="1105" t="s">
        <v>1437</v>
      </c>
      <c r="B48" s="1398"/>
      <c r="C48" s="1399" t="s">
        <v>124</v>
      </c>
      <c r="D48" s="1108"/>
      <c r="E48" s="1109">
        <v>44990</v>
      </c>
      <c r="F48" s="1110"/>
      <c r="G48" s="1111">
        <v>44984</v>
      </c>
      <c r="H48" s="1112"/>
      <c r="I48" s="1109">
        <v>42998</v>
      </c>
      <c r="J48" s="1112"/>
      <c r="K48" s="1195"/>
      <c r="L48" s="1196"/>
      <c r="M48" s="1122"/>
      <c r="N48" s="1122"/>
      <c r="O48" s="1122"/>
      <c r="P48" s="3377" t="str">
        <f>A48</f>
        <v>成交单价（元/平方米）</v>
      </c>
      <c r="Q48" s="3378"/>
      <c r="R48" s="3376">
        <f>E48</f>
        <v>44990</v>
      </c>
      <c r="S48" s="3376"/>
      <c r="T48" s="3376">
        <f>G48</f>
        <v>44984</v>
      </c>
      <c r="U48" s="3376"/>
      <c r="V48" s="3376">
        <f>I48</f>
        <v>42998</v>
      </c>
      <c r="W48" s="3376"/>
      <c r="X48" s="1162"/>
      <c r="Y48" s="1229"/>
      <c r="Z48" s="1162"/>
      <c r="AA48" s="1162"/>
      <c r="AB48" s="1162"/>
      <c r="AC48" s="1067"/>
    </row>
    <row r="49" spans="1:29" ht="14.4">
      <c r="A49" s="1113" t="s">
        <v>1438</v>
      </c>
      <c r="B49" s="1400"/>
      <c r="C49" s="1401">
        <f>R50</f>
        <v>44319</v>
      </c>
      <c r="D49" s="1116" t="s">
        <v>1439</v>
      </c>
      <c r="E49" s="1402">
        <f>R49</f>
        <v>45583</v>
      </c>
      <c r="F49" s="1117"/>
      <c r="G49" s="1401">
        <f>T49</f>
        <v>45576</v>
      </c>
      <c r="H49" s="1117"/>
      <c r="I49" s="1402">
        <f>V49</f>
        <v>41799</v>
      </c>
      <c r="J49" s="1117"/>
      <c r="K49" s="1197">
        <f>F49+H49+J49</f>
        <v>0</v>
      </c>
      <c r="L49" s="1196"/>
      <c r="M49" s="1122"/>
      <c r="N49" s="1122"/>
      <c r="O49" s="1122"/>
      <c r="P49" s="3377" t="str">
        <f>A49</f>
        <v>比较价值（元/平方米）</v>
      </c>
      <c r="Q49" s="3378"/>
      <c r="R49" s="3376">
        <f>IF(F1="售价",ROUND(PRODUCT(R48,AA7:AA47),0),ROUND(PRODUCT(R48,AA7:AA47),1))</f>
        <v>45583</v>
      </c>
      <c r="S49" s="3376"/>
      <c r="T49" s="3376">
        <f>IF(F1="售价",ROUND(PRODUCT(T48,AB7:AB47),0),ROUND(PRODUCT(T48,AB7:AB47),1))</f>
        <v>45576</v>
      </c>
      <c r="U49" s="3376"/>
      <c r="V49" s="3376">
        <f>IF(F1="售价",ROUND(PRODUCT(V48,AC7:AC47),0),ROUND(PRODUCT(V48,AC7:AC47),1))</f>
        <v>41799</v>
      </c>
      <c r="W49" s="3376"/>
      <c r="X49" s="1162"/>
      <c r="Y49" s="1162"/>
      <c r="Z49" s="1162"/>
      <c r="AA49" s="1162"/>
      <c r="AB49" s="1162"/>
      <c r="AC49" s="1067"/>
    </row>
    <row r="50" spans="1:29" ht="14.4">
      <c r="A50" s="1119" t="s">
        <v>1440</v>
      </c>
      <c r="B50" s="1120"/>
      <c r="C50" s="1032">
        <f>R50</f>
        <v>44319</v>
      </c>
      <c r="D50" s="1032"/>
      <c r="E50" s="1032"/>
      <c r="F50" s="1032"/>
      <c r="G50" s="1032"/>
      <c r="H50" s="1032"/>
      <c r="I50" s="1032"/>
      <c r="J50" s="1121"/>
      <c r="K50" s="1198"/>
      <c r="L50" s="1196"/>
      <c r="M50" s="1122"/>
      <c r="N50" s="1122"/>
      <c r="O50" s="1122"/>
      <c r="P50" s="3379" t="str">
        <f>A50</f>
        <v>估价对象XX用房的比较价值（楼面单价，元/平方米）</v>
      </c>
      <c r="Q50" s="3380"/>
      <c r="R50" s="3381">
        <f>IF(F1="售价",ROUND(IF(D49="简单平均",AVERAGE(R49:V49),R49*F49+T49*H49+V49*J49),0),ROUND(IF(D49="简单平均",AVERAGE(R49:V49),R49*F49+T49*H49+V49*J49),1))</f>
        <v>44319</v>
      </c>
      <c r="S50" s="3381"/>
      <c r="T50" s="3381"/>
      <c r="U50" s="3381"/>
      <c r="V50" s="3381"/>
      <c r="W50" s="3381"/>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1.3180706823738619E-2</v>
      </c>
      <c r="F53" s="1126" t="str">
        <f>IF(OR(E53&gt;=0.3,E53&lt;=-0.3),"超过30%","")</f>
        <v/>
      </c>
      <c r="G53" s="1125">
        <f>IF(G48&lt;G49,G49/G48-1,G48/G49-1)</f>
        <v>1.3160234750133393E-2</v>
      </c>
      <c r="H53" s="1126" t="str">
        <f>IF(OR(G53&gt;=0.3,G53&lt;=-0.3),"超过30%","")</f>
        <v/>
      </c>
      <c r="I53" s="1125">
        <f>IF(I48&lt;I49,I49/I48-1,I48/I49-1)</f>
        <v>2.8684896767865231E-2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1.5358960856581838E-4</v>
      </c>
      <c r="F54" s="1126" t="str">
        <f>IF(OR(E54&gt;=0.2,E54&lt;=-0.2),"超过20%","")</f>
        <v/>
      </c>
      <c r="G54" s="1125">
        <f>IF(G49&lt;I49,I49/G49-1,G49/I49-1)</f>
        <v>9.0361013421373704E-2</v>
      </c>
      <c r="H54" s="1126" t="str">
        <f>IF(OR(G54&gt;=0.2,G54&lt;=-0.2),"超过20%","")</f>
        <v/>
      </c>
      <c r="I54" s="1125">
        <f>IF(I49&lt;E49,E49/I49-1,I49/E49-1)</f>
        <v>9.0528481542620609E-2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1.3338075760271906E-4</v>
      </c>
      <c r="F55" s="1126" t="str">
        <f>IF(OR(E55&gt;=0.3,E55&lt;=-0.3),"超过30%","")</f>
        <v/>
      </c>
      <c r="G55" s="1125">
        <f>IF(G48&lt;I48,I48/G48-1,G48/I48-1)</f>
        <v>4.618819479975822E-2</v>
      </c>
      <c r="H55" s="1126" t="str">
        <f>IF(OR(G55&gt;=0.3,G55&lt;=-0.3),"超过30%","")</f>
        <v/>
      </c>
      <c r="I55" s="1125">
        <f>IF(I48&lt;E48,E48/I48-1,I48/E48-1)</f>
        <v>4.6327736173775502E-2</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6">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4.4">
      <c r="A59" s="1404" t="s">
        <v>1391</v>
      </c>
      <c r="B59" s="1405"/>
      <c r="C59" s="1406" t="str">
        <f>YEAR(C7)&amp;"-"&amp;MONTH(C7)</f>
        <v>2025-9</v>
      </c>
      <c r="D59" s="1407">
        <f>EDATE(C59,-1)</f>
        <v>45870</v>
      </c>
      <c r="E59" s="1407">
        <f>EDATE(D59,-1)</f>
        <v>45839</v>
      </c>
      <c r="F59" s="1407">
        <f t="shared" ref="F59:O59" si="16">EDATE(E59,-1)</f>
        <v>45809</v>
      </c>
      <c r="G59" s="1407">
        <f t="shared" si="16"/>
        <v>45778</v>
      </c>
      <c r="H59" s="1407">
        <f t="shared" si="16"/>
        <v>45748</v>
      </c>
      <c r="I59" s="1407">
        <f t="shared" si="16"/>
        <v>45717</v>
      </c>
      <c r="J59" s="1407">
        <f t="shared" si="16"/>
        <v>45689</v>
      </c>
      <c r="K59" s="1407">
        <f t="shared" si="16"/>
        <v>45658</v>
      </c>
      <c r="L59" s="1407">
        <f t="shared" si="16"/>
        <v>45627</v>
      </c>
      <c r="M59" s="1407">
        <f t="shared" si="16"/>
        <v>45597</v>
      </c>
      <c r="N59" s="1407">
        <f t="shared" si="16"/>
        <v>45566</v>
      </c>
      <c r="O59" s="1407">
        <f t="shared" si="16"/>
        <v>45536</v>
      </c>
      <c r="P59" s="1467"/>
      <c r="Q59" s="1278"/>
      <c r="R59" s="1278"/>
      <c r="S59" s="1278"/>
      <c r="T59" s="1278"/>
      <c r="U59" s="1278"/>
      <c r="V59" s="1278"/>
      <c r="W59" s="1278"/>
      <c r="X59" s="1278"/>
      <c r="Y59" s="1278"/>
      <c r="Z59" s="1278"/>
      <c r="AA59" s="1278"/>
      <c r="AB59" s="1278"/>
      <c r="AC59" s="1278"/>
    </row>
    <row r="60" spans="1:29" s="1008" customFormat="1">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4.4">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4.4">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c r="A63" s="1240"/>
      <c r="B63" s="1241"/>
      <c r="C63" s="1526">
        <v>100</v>
      </c>
      <c r="D63" s="1245">
        <v>105</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ht="14.4">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8.8">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4.4">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ht="14.4">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4.4">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4.4">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4.4">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4.4">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8.8">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4.4">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ht="14.4">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4.4">
      <c r="A103" s="1049"/>
      <c r="B103" s="1249" t="s">
        <v>1422</v>
      </c>
      <c r="C103" s="1267" t="str">
        <f>C104&amp;"(含)"&amp;"-"&amp;D104</f>
        <v>0(含)-300</v>
      </c>
      <c r="D103" s="1267" t="str">
        <f t="shared" ref="D103:L103" si="23">D104&amp;"(含)"&amp;"-"&amp;E104</f>
        <v>300(含)-500</v>
      </c>
      <c r="E103" s="1267" t="str">
        <f t="shared" si="23"/>
        <v>500(含)-</v>
      </c>
      <c r="F103" s="1267" t="str">
        <f t="shared" si="23"/>
        <v>(含)-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c r="A105" s="1256"/>
      <c r="B105" s="1251"/>
      <c r="C105" s="1259">
        <v>99</v>
      </c>
      <c r="D105" s="1248">
        <v>100</v>
      </c>
      <c r="E105" s="1248">
        <v>99</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ht="14.4">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ht="14.4">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ht="14.4">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ht="14.4">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ht="14.4">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ht="14.4">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ht="14.4">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ht="14.4">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ht="14.4">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c r="A124" s="1049"/>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5">
        <f t="shared" si="30"/>
        <v>100</v>
      </c>
      <c r="N124" s="1291"/>
      <c r="O124" s="1291"/>
      <c r="P124" s="1470"/>
      <c r="Q124" s="1224"/>
      <c r="R124" s="1122"/>
      <c r="S124" s="1122"/>
      <c r="T124" s="1122"/>
      <c r="U124" s="1122"/>
      <c r="V124" s="1122"/>
      <c r="W124" s="1122"/>
      <c r="X124" s="1122"/>
      <c r="Y124" s="1122"/>
      <c r="Z124" s="1122"/>
      <c r="AA124" s="1122"/>
      <c r="AB124" s="1122"/>
      <c r="AC124" s="1122"/>
    </row>
    <row r="125" spans="1:29" ht="28.8">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c r="A126" s="1049"/>
      <c r="B126" s="1251"/>
      <c r="C126" s="1252">
        <v>100</v>
      </c>
      <c r="D126" s="1252">
        <f>C126-$K44</f>
        <v>100</v>
      </c>
      <c r="E126" s="1252">
        <f>D126-$K44</f>
        <v>100</v>
      </c>
      <c r="F126" s="1252">
        <f>E126-$K44</f>
        <v>100</v>
      </c>
      <c r="G126" s="1252">
        <f>F126-$K44</f>
        <v>100</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topLeftCell="A22" zoomScale="85" zoomScaleNormal="70" zoomScaleSheetLayoutView="85" workbookViewId="0">
      <selection activeCell="D63" sqref="D63"/>
    </sheetView>
  </sheetViews>
  <sheetFormatPr defaultColWidth="9" defaultRowHeight="13.8"/>
  <cols>
    <col min="1" max="1" width="10.44140625" style="1014" customWidth="1"/>
    <col min="2" max="2" width="15.77734375" style="1014" customWidth="1"/>
    <col min="3" max="3" width="17.441406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51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1413.5758000000001</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58696</v>
      </c>
      <c r="C3" s="1376" t="s">
        <v>1377</v>
      </c>
      <c r="D3" s="1377">
        <f>IF(D1="",'数据-汇总表'!E3,SUMIF('数据-汇总表'!$C19:$C33,D1,'数据-汇总表'!$E19:$E33))</f>
        <v>240.83</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4.4">
      <c r="A4" s="1027" t="s">
        <v>1378</v>
      </c>
      <c r="B4" s="1028"/>
      <c r="C4" s="3399" t="s">
        <v>1379</v>
      </c>
      <c r="D4" s="3400"/>
      <c r="E4" s="3401" t="s">
        <v>1380</v>
      </c>
      <c r="F4" s="3402"/>
      <c r="G4" s="3399" t="s">
        <v>1381</v>
      </c>
      <c r="H4" s="3400"/>
      <c r="I4" s="3399" t="s">
        <v>1382</v>
      </c>
      <c r="J4" s="3400"/>
      <c r="K4" s="1171" t="s">
        <v>1383</v>
      </c>
      <c r="L4" s="1172"/>
      <c r="M4" s="1122"/>
      <c r="N4" s="1122"/>
      <c r="O4" s="1122"/>
      <c r="P4" s="3408" t="s">
        <v>1384</v>
      </c>
      <c r="Q4" s="3409"/>
      <c r="R4" s="3412" t="s">
        <v>1380</v>
      </c>
      <c r="S4" s="3413"/>
      <c r="T4" s="3412" t="s">
        <v>1381</v>
      </c>
      <c r="U4" s="3413"/>
      <c r="V4" s="3376" t="s">
        <v>1382</v>
      </c>
      <c r="W4" s="3376"/>
      <c r="X4" s="1214"/>
      <c r="Y4" s="3412" t="s">
        <v>1384</v>
      </c>
      <c r="Z4" s="3413"/>
      <c r="AA4" s="3407" t="s">
        <v>1380</v>
      </c>
      <c r="AB4" s="3376" t="s">
        <v>1381</v>
      </c>
      <c r="AC4" s="3407" t="s">
        <v>1382</v>
      </c>
    </row>
    <row r="5" spans="1:29">
      <c r="A5" s="1029"/>
      <c r="B5" s="1030"/>
      <c r="C5" s="3403" t="s">
        <v>1385</v>
      </c>
      <c r="D5" s="3404"/>
      <c r="E5" s="3405"/>
      <c r="F5" s="3406"/>
      <c r="G5" s="3403"/>
      <c r="H5" s="3404"/>
      <c r="I5" s="3403"/>
      <c r="J5" s="3404"/>
      <c r="K5" s="1171"/>
      <c r="L5" s="1172"/>
      <c r="M5" s="1122"/>
      <c r="N5" s="1122"/>
      <c r="O5" s="1122"/>
      <c r="P5" s="3410"/>
      <c r="Q5" s="3366"/>
      <c r="R5" s="3371"/>
      <c r="S5" s="3372"/>
      <c r="T5" s="3371"/>
      <c r="U5" s="3372"/>
      <c r="V5" s="3376"/>
      <c r="W5" s="3376"/>
      <c r="X5" s="1214"/>
      <c r="Y5" s="3371"/>
      <c r="Z5" s="3372"/>
      <c r="AA5" s="3358"/>
      <c r="AB5" s="3376"/>
      <c r="AC5" s="3358"/>
    </row>
    <row r="6" spans="1:29" ht="14.4">
      <c r="A6" s="1031"/>
      <c r="B6" s="1032"/>
      <c r="C6" s="3394" t="s">
        <v>1389</v>
      </c>
      <c r="D6" s="3395"/>
      <c r="E6" s="3396" t="s">
        <v>1389</v>
      </c>
      <c r="F6" s="3397"/>
      <c r="G6" s="3394" t="s">
        <v>1389</v>
      </c>
      <c r="H6" s="3395"/>
      <c r="I6" s="3394" t="s">
        <v>1389</v>
      </c>
      <c r="J6" s="3395"/>
      <c r="K6" s="1171" t="s">
        <v>1390</v>
      </c>
      <c r="L6" s="1172"/>
      <c r="M6" s="1122"/>
      <c r="N6" s="1122"/>
      <c r="O6" s="1122"/>
      <c r="P6" s="3411"/>
      <c r="Q6" s="3368"/>
      <c r="R6" s="3371"/>
      <c r="S6" s="3372"/>
      <c r="T6" s="3373"/>
      <c r="U6" s="3374"/>
      <c r="V6" s="3376"/>
      <c r="W6" s="3376"/>
      <c r="X6" s="1214"/>
      <c r="Y6" s="3373"/>
      <c r="Z6" s="3374"/>
      <c r="AA6" s="3359"/>
      <c r="AB6" s="3376"/>
      <c r="AC6" s="3359"/>
    </row>
    <row r="7" spans="1:29" s="1008" customFormat="1" ht="14.4">
      <c r="A7" s="1033" t="s">
        <v>1391</v>
      </c>
      <c r="B7" s="1034"/>
      <c r="C7" s="1035">
        <f>'数据-取费表'!B2</f>
        <v>45924</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82" t="s">
        <v>1392</v>
      </c>
      <c r="Q7" s="3398"/>
      <c r="R7" s="1215" t="s">
        <v>1393</v>
      </c>
      <c r="S7" s="1216">
        <f t="shared" ref="S7:S15" si="0">F7</f>
        <v>100</v>
      </c>
      <c r="T7" s="1215" t="s">
        <v>1393</v>
      </c>
      <c r="U7" s="1216">
        <f t="shared" ref="U7:U15" si="1">H7</f>
        <v>100</v>
      </c>
      <c r="V7" s="1215" t="s">
        <v>1393</v>
      </c>
      <c r="W7" s="1216">
        <f t="shared" ref="W7:W15" si="2">J7</f>
        <v>100</v>
      </c>
      <c r="X7" s="1217"/>
      <c r="Y7" s="3382" t="s">
        <v>1392</v>
      </c>
      <c r="Z7" s="3383"/>
      <c r="AA7" s="1227">
        <f>D7/F7</f>
        <v>1</v>
      </c>
      <c r="AB7" s="1227">
        <f>D7/H7</f>
        <v>1</v>
      </c>
      <c r="AC7" s="1227">
        <f>D7/J7</f>
        <v>1</v>
      </c>
    </row>
    <row r="8" spans="1:29" s="1008" customFormat="1" ht="14.4">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82" t="s">
        <v>1397</v>
      </c>
      <c r="Q8" s="3383"/>
      <c r="R8" s="1215" t="s">
        <v>1393</v>
      </c>
      <c r="S8" s="1216">
        <f t="shared" si="0"/>
        <v>102</v>
      </c>
      <c r="T8" s="1215" t="s">
        <v>1393</v>
      </c>
      <c r="U8" s="1216">
        <f t="shared" si="1"/>
        <v>102</v>
      </c>
      <c r="V8" s="1215" t="s">
        <v>1393</v>
      </c>
      <c r="W8" s="1216">
        <f t="shared" si="2"/>
        <v>102</v>
      </c>
      <c r="X8" s="1217"/>
      <c r="Y8" s="3382" t="s">
        <v>1397</v>
      </c>
      <c r="Z8" s="3383"/>
      <c r="AA8" s="1227">
        <f t="shared" ref="AA8:AA46" si="3">D8/F8</f>
        <v>0.98039215686274506</v>
      </c>
      <c r="AB8" s="1227">
        <f t="shared" ref="AB8:AB46" si="4">D8/H8</f>
        <v>0.98039215686274506</v>
      </c>
      <c r="AC8" s="1227">
        <f t="shared" ref="AC8:AC46" si="5">D8/J8</f>
        <v>0.98039215686274506</v>
      </c>
    </row>
    <row r="9" spans="1:29" s="1008" customFormat="1" ht="14.4">
      <c r="A9" s="1041" t="s">
        <v>1398</v>
      </c>
      <c r="B9" s="1042" t="s">
        <v>1399</v>
      </c>
      <c r="C9" s="2088" t="s">
        <v>2764</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264" t="s">
        <v>1401</v>
      </c>
      <c r="Z9" s="1227" t="str">
        <f t="shared" ref="Z9:Z15" si="7">Q9</f>
        <v>用途</v>
      </c>
      <c r="AA9" s="1227">
        <f t="shared" si="3"/>
        <v>1</v>
      </c>
      <c r="AB9" s="1227">
        <f t="shared" si="4"/>
        <v>1</v>
      </c>
      <c r="AC9" s="1227">
        <f t="shared" si="5"/>
        <v>1</v>
      </c>
    </row>
    <row r="10" spans="1:29" s="1009" customFormat="1" ht="28.8">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264"/>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7"/>
      <c r="Q11" s="794" t="str">
        <f t="shared" si="6"/>
        <v>容积率</v>
      </c>
      <c r="R11" s="1215" t="s">
        <v>1393</v>
      </c>
      <c r="S11" s="1216">
        <f t="shared" si="0"/>
        <v>100</v>
      </c>
      <c r="T11" s="1215" t="s">
        <v>1393</v>
      </c>
      <c r="U11" s="1216">
        <f t="shared" si="1"/>
        <v>100</v>
      </c>
      <c r="V11" s="1215" t="s">
        <v>1393</v>
      </c>
      <c r="W11" s="1216">
        <f t="shared" si="2"/>
        <v>100</v>
      </c>
      <c r="X11" s="1217"/>
      <c r="Y11" s="3264"/>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264"/>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264"/>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264"/>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100</v>
      </c>
      <c r="K15" s="1412">
        <v>5</v>
      </c>
      <c r="L15" s="1184"/>
      <c r="M15" s="1122"/>
      <c r="N15" s="1122"/>
      <c r="O15" s="1122"/>
      <c r="P15" s="3385" t="s">
        <v>1406</v>
      </c>
      <c r="Q15" s="625" t="str">
        <f t="shared" si="6"/>
        <v>商业繁华度</v>
      </c>
      <c r="R15" s="1219" t="s">
        <v>1393</v>
      </c>
      <c r="S15" s="1220">
        <f t="shared" si="0"/>
        <v>100</v>
      </c>
      <c r="T15" s="1219" t="s">
        <v>1393</v>
      </c>
      <c r="U15" s="1220">
        <f t="shared" si="1"/>
        <v>100</v>
      </c>
      <c r="V15" s="1219" t="s">
        <v>1393</v>
      </c>
      <c r="W15" s="1220">
        <f t="shared" si="2"/>
        <v>100</v>
      </c>
      <c r="X15" s="1214"/>
      <c r="Y15" s="3390" t="s">
        <v>1406</v>
      </c>
      <c r="Z15" s="1204" t="str">
        <f t="shared" si="7"/>
        <v>商业繁华度</v>
      </c>
      <c r="AA15" s="1204">
        <f t="shared" si="3"/>
        <v>1</v>
      </c>
      <c r="AB15" s="1204">
        <f t="shared" si="4"/>
        <v>1</v>
      </c>
      <c r="AC15" s="1204">
        <f t="shared" si="5"/>
        <v>1</v>
      </c>
    </row>
    <row r="16" spans="1:29" ht="15">
      <c r="A16" s="1049"/>
      <c r="B16" s="1162"/>
      <c r="C16" s="1068" t="s">
        <v>1407</v>
      </c>
      <c r="D16" s="1069"/>
      <c r="E16" s="1338" t="s">
        <v>1407</v>
      </c>
      <c r="F16" s="1384"/>
      <c r="G16" s="1068" t="s">
        <v>1407</v>
      </c>
      <c r="H16" s="1071"/>
      <c r="I16" s="1338" t="s">
        <v>1407</v>
      </c>
      <c r="J16" s="1069"/>
      <c r="K16" s="1413"/>
      <c r="L16" s="1184"/>
      <c r="M16" s="1122"/>
      <c r="N16" s="1122"/>
      <c r="O16" s="1122"/>
      <c r="P16" s="3386"/>
      <c r="Q16" s="625"/>
      <c r="R16" s="1219"/>
      <c r="S16" s="1220"/>
      <c r="T16" s="1219"/>
      <c r="U16" s="1220"/>
      <c r="V16" s="1219"/>
      <c r="W16" s="1220"/>
      <c r="X16" s="1214"/>
      <c r="Y16" s="3391"/>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100</v>
      </c>
      <c r="K17" s="1412"/>
      <c r="L17" s="1184"/>
      <c r="M17" s="1122"/>
      <c r="N17" s="1122"/>
      <c r="O17" s="1122"/>
      <c r="P17" s="3386"/>
      <c r="Q17" s="625" t="str">
        <f>B17</f>
        <v>交通便捷度</v>
      </c>
      <c r="R17" s="1219" t="s">
        <v>1393</v>
      </c>
      <c r="S17" s="1220">
        <f>F17</f>
        <v>100</v>
      </c>
      <c r="T17" s="1219" t="s">
        <v>1393</v>
      </c>
      <c r="U17" s="1220">
        <f>H17</f>
        <v>100</v>
      </c>
      <c r="V17" s="1219" t="s">
        <v>1393</v>
      </c>
      <c r="W17" s="1220">
        <f>J17</f>
        <v>100</v>
      </c>
      <c r="X17" s="1214"/>
      <c r="Y17" s="3391"/>
      <c r="Z17" s="1204" t="str">
        <f>Q17</f>
        <v>交通便捷度</v>
      </c>
      <c r="AA17" s="1204">
        <f t="shared" si="3"/>
        <v>1</v>
      </c>
      <c r="AB17" s="1204">
        <f t="shared" si="4"/>
        <v>1</v>
      </c>
      <c r="AC17" s="1204">
        <f t="shared" si="5"/>
        <v>1</v>
      </c>
    </row>
    <row r="18" spans="1:29" ht="15">
      <c r="A18" s="1049"/>
      <c r="B18" s="1095"/>
      <c r="C18" s="1338" t="s">
        <v>1407</v>
      </c>
      <c r="D18" s="1071"/>
      <c r="E18" s="1338" t="s">
        <v>1407</v>
      </c>
      <c r="F18" s="1386"/>
      <c r="G18" s="1338" t="s">
        <v>1407</v>
      </c>
      <c r="H18" s="1069"/>
      <c r="I18" s="1338" t="s">
        <v>1407</v>
      </c>
      <c r="J18" s="1069"/>
      <c r="K18" s="1413"/>
      <c r="L18" s="1184"/>
      <c r="M18" s="1122"/>
      <c r="N18" s="1122"/>
      <c r="O18" s="1122"/>
      <c r="P18" s="3386"/>
      <c r="Q18" s="625"/>
      <c r="R18" s="1219"/>
      <c r="S18" s="1220"/>
      <c r="T18" s="1219"/>
      <c r="U18" s="1220"/>
      <c r="V18" s="1219"/>
      <c r="W18" s="1220"/>
      <c r="X18" s="1214"/>
      <c r="Y18" s="3391"/>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86"/>
      <c r="Q19" s="625" t="str">
        <f>B19</f>
        <v>公共配套设施</v>
      </c>
      <c r="R19" s="1219" t="s">
        <v>1393</v>
      </c>
      <c r="S19" s="1220">
        <f>F19</f>
        <v>100</v>
      </c>
      <c r="T19" s="1219" t="s">
        <v>1393</v>
      </c>
      <c r="U19" s="1220">
        <f>H19</f>
        <v>100</v>
      </c>
      <c r="V19" s="1219" t="s">
        <v>1393</v>
      </c>
      <c r="W19" s="1220">
        <f>J19</f>
        <v>100</v>
      </c>
      <c r="X19" s="1214"/>
      <c r="Y19" s="3391"/>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86"/>
      <c r="Q20" s="625"/>
      <c r="R20" s="1219"/>
      <c r="S20" s="1220"/>
      <c r="T20" s="1219"/>
      <c r="U20" s="1220"/>
      <c r="V20" s="1219"/>
      <c r="W20" s="1220"/>
      <c r="X20" s="1214"/>
      <c r="Y20" s="3391"/>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86"/>
      <c r="Q21" s="625" t="str">
        <f>B21</f>
        <v>基础设施水平</v>
      </c>
      <c r="R21" s="1219" t="s">
        <v>1393</v>
      </c>
      <c r="S21" s="1220">
        <f>F21</f>
        <v>100</v>
      </c>
      <c r="T21" s="1219" t="s">
        <v>1393</v>
      </c>
      <c r="U21" s="1220">
        <f>H21</f>
        <v>100</v>
      </c>
      <c r="V21" s="1219" t="s">
        <v>1393</v>
      </c>
      <c r="W21" s="1220">
        <f>J21</f>
        <v>100</v>
      </c>
      <c r="X21" s="1214"/>
      <c r="Y21" s="3391"/>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86"/>
      <c r="Q22" s="625"/>
      <c r="R22" s="1219"/>
      <c r="S22" s="1220"/>
      <c r="T22" s="1219"/>
      <c r="U22" s="1220"/>
      <c r="V22" s="1219"/>
      <c r="W22" s="1220"/>
      <c r="X22" s="1214"/>
      <c r="Y22" s="3391"/>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86"/>
      <c r="Q23" s="625" t="str">
        <f>B23</f>
        <v>自然及人文环境</v>
      </c>
      <c r="R23" s="1219" t="s">
        <v>1393</v>
      </c>
      <c r="S23" s="1220">
        <f>F23</f>
        <v>100</v>
      </c>
      <c r="T23" s="1219" t="s">
        <v>1393</v>
      </c>
      <c r="U23" s="1220">
        <f>H23</f>
        <v>100</v>
      </c>
      <c r="V23" s="1219" t="s">
        <v>1393</v>
      </c>
      <c r="W23" s="1220">
        <f>J23</f>
        <v>100</v>
      </c>
      <c r="X23" s="1214"/>
      <c r="Y23" s="3391"/>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86"/>
      <c r="Q24" s="625"/>
      <c r="R24" s="1219"/>
      <c r="S24" s="1220"/>
      <c r="T24" s="1219"/>
      <c r="U24" s="1220"/>
      <c r="V24" s="1219"/>
      <c r="W24" s="1220"/>
      <c r="X24" s="1214"/>
      <c r="Y24" s="3391"/>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6"/>
      <c r="Q25" s="625" t="str">
        <f t="shared" ref="Q25:Q46" si="11">B25</f>
        <v>临街状况</v>
      </c>
      <c r="R25" s="1219" t="s">
        <v>1393</v>
      </c>
      <c r="S25" s="1220">
        <f>F25</f>
        <v>100</v>
      </c>
      <c r="T25" s="1219" t="s">
        <v>1393</v>
      </c>
      <c r="U25" s="1220">
        <f>H25</f>
        <v>100</v>
      </c>
      <c r="V25" s="1219" t="s">
        <v>1393</v>
      </c>
      <c r="W25" s="1220">
        <f>J25</f>
        <v>100</v>
      </c>
      <c r="X25" s="1214"/>
      <c r="Y25" s="3391"/>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6"/>
      <c r="Q26" s="625" t="str">
        <f t="shared" si="11"/>
        <v>平面位置/可视性</v>
      </c>
      <c r="R26" s="1219" t="s">
        <v>1393</v>
      </c>
      <c r="S26" s="1220">
        <f>F26</f>
        <v>100</v>
      </c>
      <c r="T26" s="1219" t="s">
        <v>1393</v>
      </c>
      <c r="U26" s="1220">
        <f>H26</f>
        <v>100</v>
      </c>
      <c r="V26" s="1219" t="s">
        <v>1393</v>
      </c>
      <c r="W26" s="1220">
        <f>J26</f>
        <v>100</v>
      </c>
      <c r="X26" s="1214"/>
      <c r="Y26" s="3391"/>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86"/>
      <c r="Q27" s="794" t="str">
        <f t="shared" si="11"/>
        <v>人流量</v>
      </c>
      <c r="R27" s="1215" t="s">
        <v>1393</v>
      </c>
      <c r="S27" s="1216">
        <f>F27</f>
        <v>100</v>
      </c>
      <c r="T27" s="1215" t="s">
        <v>1393</v>
      </c>
      <c r="U27" s="1216">
        <f>H27</f>
        <v>100</v>
      </c>
      <c r="V27" s="1215" t="s">
        <v>1393</v>
      </c>
      <c r="W27" s="1216">
        <f>J27</f>
        <v>100</v>
      </c>
      <c r="X27" s="1217"/>
      <c r="Y27" s="3391"/>
      <c r="Z27" s="1227" t="str">
        <f>Q27</f>
        <v>人流量</v>
      </c>
      <c r="AA27" s="1204">
        <f t="shared" si="3"/>
        <v>1</v>
      </c>
      <c r="AB27" s="1204">
        <f t="shared" si="4"/>
        <v>1</v>
      </c>
      <c r="AC27" s="1204">
        <f t="shared" si="5"/>
        <v>1</v>
      </c>
    </row>
    <row r="28" spans="1:29" ht="15">
      <c r="A28" s="1049"/>
      <c r="B28" s="1046" t="s">
        <v>1413</v>
      </c>
      <c r="C28" s="1082" t="s">
        <v>2792</v>
      </c>
      <c r="D28" s="759">
        <v>100</v>
      </c>
      <c r="E28" s="1082" t="s">
        <v>2792</v>
      </c>
      <c r="F28" s="1199">
        <f>SUMIF(92:92,E28,93:93)-SUMIF(92:92,C28,93:93)+100</f>
        <v>100</v>
      </c>
      <c r="G28" s="1082" t="s">
        <v>2792</v>
      </c>
      <c r="H28" s="759">
        <f>SUMIF(92:92,G28,93:93)-SUMIF(92:92,C28,93:93)+100</f>
        <v>100</v>
      </c>
      <c r="I28" s="1082" t="s">
        <v>2792</v>
      </c>
      <c r="J28" s="759">
        <f>SUMIF(92:92,I28,93:93)-SUMIF(92:92,C28,93:93)+100</f>
        <v>100</v>
      </c>
      <c r="K28" s="1189"/>
      <c r="L28" s="1184"/>
      <c r="M28" s="1122"/>
      <c r="N28" s="1122"/>
      <c r="O28" s="1122"/>
      <c r="P28" s="3386"/>
      <c r="Q28" s="625" t="str">
        <f t="shared" si="11"/>
        <v>楼层</v>
      </c>
      <c r="R28" s="1219" t="s">
        <v>1393</v>
      </c>
      <c r="S28" s="1220">
        <f t="shared" ref="S28:S46" si="12">F28</f>
        <v>100</v>
      </c>
      <c r="T28" s="1219" t="s">
        <v>1393</v>
      </c>
      <c r="U28" s="1220">
        <f t="shared" ref="U28:U46" si="13">H28</f>
        <v>100</v>
      </c>
      <c r="V28" s="1219" t="s">
        <v>1393</v>
      </c>
      <c r="W28" s="1220">
        <f t="shared" ref="W28:W46" si="14">J28</f>
        <v>100</v>
      </c>
      <c r="X28" s="1214"/>
      <c r="Y28" s="3391"/>
      <c r="Z28" s="1204" t="str">
        <f t="shared" ref="Z28:Z46" si="15">Q28</f>
        <v>楼层</v>
      </c>
      <c r="AA28" s="1204">
        <f t="shared" si="3"/>
        <v>1</v>
      </c>
      <c r="AB28" s="1204">
        <f t="shared" si="4"/>
        <v>1</v>
      </c>
      <c r="AC28" s="1204">
        <f t="shared" si="5"/>
        <v>1</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6"/>
      <c r="Q29" s="625">
        <f t="shared" si="11"/>
        <v>111</v>
      </c>
      <c r="R29" s="1219" t="s">
        <v>1393</v>
      </c>
      <c r="S29" s="1220">
        <f t="shared" si="12"/>
        <v>100</v>
      </c>
      <c r="T29" s="1219" t="s">
        <v>1393</v>
      </c>
      <c r="U29" s="1220">
        <f t="shared" si="13"/>
        <v>100</v>
      </c>
      <c r="V29" s="1219" t="s">
        <v>1393</v>
      </c>
      <c r="W29" s="1220">
        <f t="shared" si="14"/>
        <v>100</v>
      </c>
      <c r="X29" s="1214"/>
      <c r="Y29" s="3391"/>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6"/>
      <c r="Q30" s="625">
        <f t="shared" si="11"/>
        <v>111</v>
      </c>
      <c r="R30" s="1219" t="s">
        <v>1393</v>
      </c>
      <c r="S30" s="1220">
        <f t="shared" si="12"/>
        <v>100</v>
      </c>
      <c r="T30" s="1219" t="s">
        <v>1393</v>
      </c>
      <c r="U30" s="1220">
        <f t="shared" si="13"/>
        <v>100</v>
      </c>
      <c r="V30" s="1219" t="s">
        <v>1393</v>
      </c>
      <c r="W30" s="1220">
        <f t="shared" si="14"/>
        <v>100</v>
      </c>
      <c r="X30" s="1214"/>
      <c r="Y30" s="3391"/>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86"/>
      <c r="Q31" s="625">
        <f t="shared" si="11"/>
        <v>111</v>
      </c>
      <c r="R31" s="1219" t="s">
        <v>1393</v>
      </c>
      <c r="S31" s="1220">
        <f t="shared" si="12"/>
        <v>100</v>
      </c>
      <c r="T31" s="1219" t="s">
        <v>1393</v>
      </c>
      <c r="U31" s="1220">
        <f t="shared" si="13"/>
        <v>100</v>
      </c>
      <c r="V31" s="1219" t="s">
        <v>1393</v>
      </c>
      <c r="W31" s="1220">
        <f t="shared" si="14"/>
        <v>100</v>
      </c>
      <c r="X31" s="1214"/>
      <c r="Y31" s="3391"/>
      <c r="Z31" s="1204">
        <f t="shared" si="15"/>
        <v>111</v>
      </c>
      <c r="AA31" s="1204">
        <f t="shared" si="3"/>
        <v>1</v>
      </c>
      <c r="AB31" s="1204">
        <f t="shared" si="4"/>
        <v>1</v>
      </c>
      <c r="AC31" s="1204">
        <f t="shared" si="5"/>
        <v>1</v>
      </c>
    </row>
    <row r="32" spans="1:29" ht="15">
      <c r="A32" s="1062" t="s">
        <v>1418</v>
      </c>
      <c r="B32" s="1042" t="s">
        <v>1630</v>
      </c>
      <c r="C32" s="1389" t="s">
        <v>2783</v>
      </c>
      <c r="D32" s="1097">
        <v>100</v>
      </c>
      <c r="E32" s="1389" t="s">
        <v>2783</v>
      </c>
      <c r="F32" s="1199">
        <f>SUMIF(100:100,E32,101:101)-SUMIF(100:100,C32,101:101)+100</f>
        <v>100</v>
      </c>
      <c r="G32" s="1389" t="s">
        <v>2783</v>
      </c>
      <c r="H32" s="759">
        <f>SUMIF(100:100,G32,101:101)-SUMIF(100:100,C32,101:101)+100</f>
        <v>100</v>
      </c>
      <c r="I32" s="1389" t="s">
        <v>2783</v>
      </c>
      <c r="J32" s="1097">
        <f>SUMIF(100:100,I32,101:101)-SUMIF(100:100,C32,101:101)+100</f>
        <v>100</v>
      </c>
      <c r="K32" s="1190"/>
      <c r="L32" s="1184"/>
      <c r="M32" s="1122"/>
      <c r="N32" s="1122"/>
      <c r="O32" s="1122"/>
      <c r="P32" s="3387" t="s">
        <v>1421</v>
      </c>
      <c r="Q32" s="625" t="str">
        <f t="shared" si="11"/>
        <v>商业类型</v>
      </c>
      <c r="R32" s="1219" t="s">
        <v>1393</v>
      </c>
      <c r="S32" s="1220">
        <f t="shared" si="12"/>
        <v>100</v>
      </c>
      <c r="T32" s="1219" t="s">
        <v>1393</v>
      </c>
      <c r="U32" s="1220">
        <f t="shared" si="13"/>
        <v>100</v>
      </c>
      <c r="V32" s="1219" t="s">
        <v>1393</v>
      </c>
      <c r="W32" s="1220">
        <f t="shared" si="14"/>
        <v>100</v>
      </c>
      <c r="X32" s="1214"/>
      <c r="Y32" s="3392"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240.83</v>
      </c>
      <c r="D33" s="1048">
        <v>100</v>
      </c>
      <c r="E33" s="1051">
        <v>273.54000000000002</v>
      </c>
      <c r="F33" s="1046">
        <f>LOOKUP(E33,103:103,104:104)-LOOKUP(C33,103:103,104:104)+100</f>
        <v>100</v>
      </c>
      <c r="G33" s="1050">
        <v>190.71</v>
      </c>
      <c r="H33" s="1048">
        <f>LOOKUP(G33,103:103,104:104)-LOOKUP(C33,103:103,104:104)+100</f>
        <v>102</v>
      </c>
      <c r="I33" s="1050">
        <v>173.88</v>
      </c>
      <c r="J33" s="1048">
        <f>LOOKUP(I33,103:103,104:104)-LOOKUP(C33,103:103,104:104)+100</f>
        <v>102</v>
      </c>
      <c r="K33" s="1189"/>
      <c r="L33" s="1182"/>
      <c r="M33" s="1191"/>
      <c r="N33" s="1191"/>
      <c r="O33" s="1191"/>
      <c r="P33" s="3388"/>
      <c r="Q33" s="1415" t="str">
        <f t="shared" si="11"/>
        <v>项目建筑规模</v>
      </c>
      <c r="R33" s="1221" t="s">
        <v>1393</v>
      </c>
      <c r="S33" s="1222">
        <f t="shared" si="12"/>
        <v>100</v>
      </c>
      <c r="T33" s="1221" t="s">
        <v>1393</v>
      </c>
      <c r="U33" s="1222">
        <f t="shared" si="13"/>
        <v>102</v>
      </c>
      <c r="V33" s="1221" t="s">
        <v>1393</v>
      </c>
      <c r="W33" s="1222">
        <f t="shared" si="14"/>
        <v>102</v>
      </c>
      <c r="X33" s="1223"/>
      <c r="Y33" s="3392"/>
      <c r="Z33" s="1228" t="str">
        <f t="shared" si="15"/>
        <v>项目建筑规模</v>
      </c>
      <c r="AA33" s="1204">
        <f t="shared" si="3"/>
        <v>1</v>
      </c>
      <c r="AB33" s="1204">
        <f t="shared" si="4"/>
        <v>0.98039215686274506</v>
      </c>
      <c r="AC33" s="1204">
        <f t="shared" si="5"/>
        <v>0.98039215686274506</v>
      </c>
    </row>
    <row r="34" spans="1:29" ht="15">
      <c r="A34" s="1098"/>
      <c r="B34" s="1046" t="s">
        <v>1423</v>
      </c>
      <c r="C34" s="1394" t="s">
        <v>1424</v>
      </c>
      <c r="D34" s="759">
        <v>100</v>
      </c>
      <c r="E34" s="1394" t="s">
        <v>1424</v>
      </c>
      <c r="F34" s="1199">
        <f>SUMIF(105:105,E34,106:106)-SUMIF(105:105,C34,106:106)+100</f>
        <v>100</v>
      </c>
      <c r="G34" s="1394" t="s">
        <v>1424</v>
      </c>
      <c r="H34" s="759">
        <f>SUMIF(105:105,G34,106:106)-SUMIF(105:105,C34,106:106)+100</f>
        <v>100</v>
      </c>
      <c r="I34" s="1394" t="s">
        <v>1424</v>
      </c>
      <c r="J34" s="759">
        <f>SUMIF(105:105,I34,106:106)-SUMIF(105:105,C34,106:106)+100</f>
        <v>100</v>
      </c>
      <c r="K34" s="1190"/>
      <c r="L34" s="1184"/>
      <c r="M34" s="1122"/>
      <c r="N34" s="1122"/>
      <c r="O34" s="1122"/>
      <c r="P34" s="3388"/>
      <c r="Q34" s="625" t="str">
        <f t="shared" si="11"/>
        <v>建筑结构</v>
      </c>
      <c r="R34" s="1219" t="s">
        <v>1393</v>
      </c>
      <c r="S34" s="1220">
        <f t="shared" si="12"/>
        <v>100</v>
      </c>
      <c r="T34" s="1219" t="s">
        <v>1393</v>
      </c>
      <c r="U34" s="1220">
        <f t="shared" si="13"/>
        <v>100</v>
      </c>
      <c r="V34" s="1219" t="s">
        <v>1393</v>
      </c>
      <c r="W34" s="1220">
        <f t="shared" si="14"/>
        <v>100</v>
      </c>
      <c r="X34" s="1214"/>
      <c r="Y34" s="3392"/>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8"/>
      <c r="Q35" s="625" t="str">
        <f t="shared" si="11"/>
        <v>公共部分装修</v>
      </c>
      <c r="R35" s="1219" t="s">
        <v>1393</v>
      </c>
      <c r="S35" s="1220">
        <f t="shared" si="12"/>
        <v>100</v>
      </c>
      <c r="T35" s="1219" t="s">
        <v>1393</v>
      </c>
      <c r="U35" s="1220">
        <f t="shared" si="13"/>
        <v>100</v>
      </c>
      <c r="V35" s="1219" t="s">
        <v>1393</v>
      </c>
      <c r="W35" s="1220">
        <f t="shared" si="14"/>
        <v>100</v>
      </c>
      <c r="X35" s="1214"/>
      <c r="Y35" s="3392"/>
      <c r="Z35" s="1204" t="str">
        <f t="shared" si="15"/>
        <v>公共部分装修</v>
      </c>
      <c r="AA35" s="1204">
        <f t="shared" si="3"/>
        <v>1</v>
      </c>
      <c r="AB35" s="1204">
        <f t="shared" si="4"/>
        <v>1</v>
      </c>
      <c r="AC35" s="1204">
        <f t="shared" si="5"/>
        <v>1</v>
      </c>
    </row>
    <row r="36" spans="1:29" ht="15">
      <c r="A36" s="1098"/>
      <c r="B36" s="1046" t="s">
        <v>683</v>
      </c>
      <c r="C36" s="1391">
        <f>'数据-取费表'!N6</f>
        <v>0.74</v>
      </c>
      <c r="D36" s="759">
        <v>100</v>
      </c>
      <c r="E36" s="1391">
        <f>C36</f>
        <v>0.74</v>
      </c>
      <c r="F36" s="1199">
        <f>LOOKUP(E36,110:110,111:111)-LOOKUP(C36,110:110,111:111)+100</f>
        <v>100</v>
      </c>
      <c r="G36" s="1391">
        <f>E36</f>
        <v>0.74</v>
      </c>
      <c r="H36" s="1199">
        <f>LOOKUP(G36,110:110,111:111)-LOOKUP(C36,110:110,111:111)+100</f>
        <v>100</v>
      </c>
      <c r="I36" s="1391">
        <f>G36</f>
        <v>0.74</v>
      </c>
      <c r="J36" s="759">
        <f>LOOKUP(I36,110:110,111:111)-LOOKUP(C36,110:110,111:111)+100</f>
        <v>100</v>
      </c>
      <c r="K36" s="1190"/>
      <c r="L36" s="1184"/>
      <c r="M36" s="1122"/>
      <c r="N36" s="1122"/>
      <c r="O36" s="1122"/>
      <c r="P36" s="3388"/>
      <c r="Q36" s="625" t="str">
        <f t="shared" si="11"/>
        <v>成新度</v>
      </c>
      <c r="R36" s="1219" t="s">
        <v>1393</v>
      </c>
      <c r="S36" s="1220">
        <f t="shared" si="12"/>
        <v>100</v>
      </c>
      <c r="T36" s="1219" t="s">
        <v>1393</v>
      </c>
      <c r="U36" s="1220">
        <f t="shared" si="13"/>
        <v>100</v>
      </c>
      <c r="V36" s="1219" t="s">
        <v>1393</v>
      </c>
      <c r="W36" s="1220">
        <f t="shared" si="14"/>
        <v>100</v>
      </c>
      <c r="X36" s="1214"/>
      <c r="Y36" s="3392"/>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8"/>
      <c r="Q37" s="794" t="str">
        <f t="shared" si="11"/>
        <v>市政基础设施</v>
      </c>
      <c r="R37" s="1215" t="s">
        <v>1393</v>
      </c>
      <c r="S37" s="1216">
        <f t="shared" si="12"/>
        <v>100</v>
      </c>
      <c r="T37" s="1215" t="s">
        <v>1393</v>
      </c>
      <c r="U37" s="1216">
        <f t="shared" si="13"/>
        <v>100</v>
      </c>
      <c r="V37" s="1215" t="s">
        <v>1393</v>
      </c>
      <c r="W37" s="1216">
        <f t="shared" si="14"/>
        <v>100</v>
      </c>
      <c r="X37" s="1217"/>
      <c r="Y37" s="3392"/>
      <c r="Z37" s="1227" t="str">
        <f t="shared" si="15"/>
        <v>市政基础设施</v>
      </c>
      <c r="AA37" s="1227">
        <f t="shared" si="3"/>
        <v>1</v>
      </c>
      <c r="AB37" s="1227">
        <f t="shared" si="4"/>
        <v>1</v>
      </c>
      <c r="AC37" s="1227">
        <f t="shared" si="5"/>
        <v>1</v>
      </c>
    </row>
    <row r="38" spans="1:29" ht="15">
      <c r="A38" s="1098"/>
      <c r="B38" s="1046" t="s">
        <v>1631</v>
      </c>
      <c r="C38" s="1099" t="s">
        <v>2779</v>
      </c>
      <c r="D38" s="759">
        <v>100</v>
      </c>
      <c r="E38" s="1099" t="s">
        <v>2779</v>
      </c>
      <c r="F38" s="1199">
        <f>SUMIF(114:114,E38,115:115)-SUMIF(114:114,C38,115:115)+100</f>
        <v>100</v>
      </c>
      <c r="G38" s="1099" t="s">
        <v>2779</v>
      </c>
      <c r="H38" s="759">
        <f>SUMIF(114:114,G38,115:115)-SUMIF(114:114,C38,115:115)+100</f>
        <v>100</v>
      </c>
      <c r="I38" s="1099" t="s">
        <v>2779</v>
      </c>
      <c r="J38" s="759">
        <f>SUMIF(114:114,I38,115:115)-SUMIF(114:114,C38,115:115)+100</f>
        <v>100</v>
      </c>
      <c r="K38" s="1190">
        <v>5</v>
      </c>
      <c r="L38" s="1184"/>
      <c r="M38" s="1122"/>
      <c r="N38" s="1122"/>
      <c r="O38" s="1122"/>
      <c r="P38" s="3388" t="s">
        <v>1421</v>
      </c>
      <c r="Q38" s="625" t="str">
        <f t="shared" si="11"/>
        <v>业态</v>
      </c>
      <c r="R38" s="1219" t="s">
        <v>1393</v>
      </c>
      <c r="S38" s="1220">
        <f t="shared" si="12"/>
        <v>100</v>
      </c>
      <c r="T38" s="1219" t="s">
        <v>1393</v>
      </c>
      <c r="U38" s="1220">
        <f t="shared" si="13"/>
        <v>100</v>
      </c>
      <c r="V38" s="1219" t="s">
        <v>1393</v>
      </c>
      <c r="W38" s="1220">
        <f t="shared" si="14"/>
        <v>100</v>
      </c>
      <c r="X38" s="1214"/>
      <c r="Y38" s="3392" t="s">
        <v>1421</v>
      </c>
      <c r="Z38" s="1204" t="str">
        <f t="shared" si="15"/>
        <v>业态</v>
      </c>
      <c r="AA38" s="1204">
        <f t="shared" si="3"/>
        <v>1</v>
      </c>
      <c r="AB38" s="1204">
        <f t="shared" si="4"/>
        <v>1</v>
      </c>
      <c r="AC38" s="1204">
        <f t="shared" si="5"/>
        <v>1</v>
      </c>
    </row>
    <row r="39" spans="1:29" ht="15">
      <c r="A39" s="1098"/>
      <c r="B39" s="1046" t="s">
        <v>1432</v>
      </c>
      <c r="C39" s="1099"/>
      <c r="D39" s="759">
        <v>100</v>
      </c>
      <c r="E39" s="1099"/>
      <c r="F39" s="1199">
        <f>SUMIF(116:116,E39,117:117)-SUMIF(116:116,C39,117:117)+100</f>
        <v>100</v>
      </c>
      <c r="G39" s="1099"/>
      <c r="H39" s="759">
        <f>SUMIF(116:116,G39,117:117)-SUMIF(116:116,C39,117:117)+100</f>
        <v>100</v>
      </c>
      <c r="I39" s="1099"/>
      <c r="J39" s="759">
        <f>SUMIF(116:116,I39,117:117)-SUMIF(116:116,C39,117:117)+100</f>
        <v>100</v>
      </c>
      <c r="K39" s="1190"/>
      <c r="L39" s="1184"/>
      <c r="M39" s="1122"/>
      <c r="N39" s="1122"/>
      <c r="O39" s="1122"/>
      <c r="P39" s="3388"/>
      <c r="Q39" s="625" t="str">
        <f t="shared" si="11"/>
        <v>层高</v>
      </c>
      <c r="R39" s="1219" t="s">
        <v>1393</v>
      </c>
      <c r="S39" s="1220">
        <f t="shared" si="12"/>
        <v>100</v>
      </c>
      <c r="T39" s="1219" t="s">
        <v>1393</v>
      </c>
      <c r="U39" s="1220">
        <f t="shared" si="13"/>
        <v>100</v>
      </c>
      <c r="V39" s="1219" t="s">
        <v>1393</v>
      </c>
      <c r="W39" s="1220">
        <f t="shared" si="14"/>
        <v>100</v>
      </c>
      <c r="X39" s="1214"/>
      <c r="Y39" s="3392"/>
      <c r="Z39" s="1204" t="str">
        <f t="shared" si="15"/>
        <v>层高</v>
      </c>
      <c r="AA39" s="1204">
        <f t="shared" si="3"/>
        <v>1</v>
      </c>
      <c r="AB39" s="1204">
        <f t="shared" si="4"/>
        <v>1</v>
      </c>
      <c r="AC39" s="1204">
        <f t="shared" si="5"/>
        <v>1</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8"/>
      <c r="Q40" s="625" t="str">
        <f t="shared" si="11"/>
        <v>单套建筑面积</v>
      </c>
      <c r="R40" s="1219" t="s">
        <v>1393</v>
      </c>
      <c r="S40" s="1220">
        <f t="shared" si="12"/>
        <v>100</v>
      </c>
      <c r="T40" s="1219" t="s">
        <v>1393</v>
      </c>
      <c r="U40" s="1220">
        <f t="shared" si="13"/>
        <v>100</v>
      </c>
      <c r="V40" s="1219" t="s">
        <v>1393</v>
      </c>
      <c r="W40" s="1220">
        <f t="shared" si="14"/>
        <v>100</v>
      </c>
      <c r="X40" s="1214"/>
      <c r="Y40" s="3392"/>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8"/>
      <c r="Q41" s="1415" t="str">
        <f t="shared" si="11"/>
        <v>进深比</v>
      </c>
      <c r="R41" s="1221" t="s">
        <v>1393</v>
      </c>
      <c r="S41" s="1222">
        <f t="shared" si="12"/>
        <v>100</v>
      </c>
      <c r="T41" s="1221" t="s">
        <v>1393</v>
      </c>
      <c r="U41" s="1222">
        <f t="shared" si="13"/>
        <v>100</v>
      </c>
      <c r="V41" s="1221" t="s">
        <v>1393</v>
      </c>
      <c r="W41" s="1222">
        <f t="shared" si="14"/>
        <v>100</v>
      </c>
      <c r="X41" s="1223"/>
      <c r="Y41" s="3392"/>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c r="L42" s="1184"/>
      <c r="M42" s="1122"/>
      <c r="N42" s="1122"/>
      <c r="O42" s="1122"/>
      <c r="P42" s="3388"/>
      <c r="Q42" s="625" t="str">
        <f t="shared" si="11"/>
        <v>内部装修</v>
      </c>
      <c r="R42" s="1219" t="s">
        <v>1393</v>
      </c>
      <c r="S42" s="1220">
        <f t="shared" si="12"/>
        <v>100</v>
      </c>
      <c r="T42" s="1219" t="s">
        <v>1393</v>
      </c>
      <c r="U42" s="1220">
        <f t="shared" si="13"/>
        <v>100</v>
      </c>
      <c r="V42" s="1219" t="s">
        <v>1393</v>
      </c>
      <c r="W42" s="1220">
        <f t="shared" si="14"/>
        <v>100</v>
      </c>
      <c r="X42" s="1214"/>
      <c r="Y42" s="3392"/>
      <c r="Z42" s="1204" t="str">
        <f t="shared" si="15"/>
        <v>内部装修</v>
      </c>
      <c r="AA42" s="1204">
        <f t="shared" si="3"/>
        <v>1</v>
      </c>
      <c r="AB42" s="1204">
        <f t="shared" si="4"/>
        <v>1</v>
      </c>
      <c r="AC42" s="1204">
        <f t="shared" si="5"/>
        <v>1</v>
      </c>
    </row>
    <row r="43" spans="1:29" ht="28.8">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c r="L43" s="1184"/>
      <c r="M43" s="1122"/>
      <c r="N43" s="1122"/>
      <c r="O43" s="1122"/>
      <c r="P43" s="3388"/>
      <c r="Q43" s="625" t="str">
        <f t="shared" si="11"/>
        <v>内部装修维护情况</v>
      </c>
      <c r="R43" s="1219" t="s">
        <v>1393</v>
      </c>
      <c r="S43" s="1220">
        <f t="shared" si="12"/>
        <v>100</v>
      </c>
      <c r="T43" s="1219" t="s">
        <v>1393</v>
      </c>
      <c r="U43" s="1220">
        <f t="shared" si="13"/>
        <v>100</v>
      </c>
      <c r="V43" s="1219" t="s">
        <v>1393</v>
      </c>
      <c r="W43" s="1220">
        <f t="shared" si="14"/>
        <v>100</v>
      </c>
      <c r="X43" s="1214"/>
      <c r="Y43" s="3392"/>
      <c r="Z43" s="1204" t="str">
        <f t="shared" si="15"/>
        <v>内部装修维护情况</v>
      </c>
      <c r="AA43" s="1204">
        <f t="shared" si="3"/>
        <v>1</v>
      </c>
      <c r="AB43" s="1204">
        <f t="shared" si="4"/>
        <v>1</v>
      </c>
      <c r="AC43" s="1204">
        <f t="shared" si="5"/>
        <v>1</v>
      </c>
    </row>
    <row r="44" spans="1:29" s="1008" customFormat="1" ht="15">
      <c r="A44" s="1100"/>
      <c r="B44" s="1279">
        <v>111</v>
      </c>
      <c r="C44" s="1381"/>
      <c r="D44" s="1048">
        <v>100</v>
      </c>
      <c r="E44" s="1057"/>
      <c r="F44" s="1046">
        <f>SUMIF(126:126,E44,127:127)-SUMIF(126:126,C44,127:127)+100</f>
        <v>100</v>
      </c>
      <c r="G44" s="1057"/>
      <c r="H44" s="1048">
        <f>SUMIF(126:126,G44,127:127)-SUMIF(126:126,C44,127:127)+100</f>
        <v>100</v>
      </c>
      <c r="I44" s="1057"/>
      <c r="J44" s="1048">
        <f>SUMIF(126:126,I44,127:127)-SUMIF(126:126,C44,127:127)+100</f>
        <v>100</v>
      </c>
      <c r="K44" s="1189"/>
      <c r="L44" s="1174"/>
      <c r="M44" s="1175"/>
      <c r="N44" s="1175"/>
      <c r="O44" s="1175"/>
      <c r="P44" s="3388"/>
      <c r="Q44" s="794">
        <f t="shared" si="11"/>
        <v>111</v>
      </c>
      <c r="R44" s="1215" t="s">
        <v>1393</v>
      </c>
      <c r="S44" s="1216">
        <f t="shared" si="12"/>
        <v>100</v>
      </c>
      <c r="T44" s="1215" t="s">
        <v>1393</v>
      </c>
      <c r="U44" s="1216">
        <f t="shared" si="13"/>
        <v>100</v>
      </c>
      <c r="V44" s="1215" t="s">
        <v>1393</v>
      </c>
      <c r="W44" s="1216">
        <f t="shared" si="14"/>
        <v>100</v>
      </c>
      <c r="X44" s="1217"/>
      <c r="Y44" s="3392"/>
      <c r="Z44" s="1227">
        <f t="shared" si="15"/>
        <v>111</v>
      </c>
      <c r="AA44" s="1227">
        <f t="shared" si="3"/>
        <v>1</v>
      </c>
      <c r="AB44" s="1227">
        <f t="shared" si="4"/>
        <v>1</v>
      </c>
      <c r="AC44" s="1227">
        <f t="shared" si="5"/>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8"/>
      <c r="Q45" s="625">
        <f t="shared" si="11"/>
        <v>111</v>
      </c>
      <c r="R45" s="1219" t="s">
        <v>1393</v>
      </c>
      <c r="S45" s="1220">
        <f t="shared" si="12"/>
        <v>100</v>
      </c>
      <c r="T45" s="1219" t="s">
        <v>1393</v>
      </c>
      <c r="U45" s="1220">
        <f t="shared" si="13"/>
        <v>100</v>
      </c>
      <c r="V45" s="1219" t="s">
        <v>1393</v>
      </c>
      <c r="W45" s="1220">
        <f t="shared" si="14"/>
        <v>100</v>
      </c>
      <c r="X45" s="1214"/>
      <c r="Y45" s="3392"/>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9"/>
      <c r="Q46" s="625">
        <f t="shared" si="11"/>
        <v>111</v>
      </c>
      <c r="R46" s="1219" t="s">
        <v>1393</v>
      </c>
      <c r="S46" s="1220">
        <f t="shared" si="12"/>
        <v>100</v>
      </c>
      <c r="T46" s="1219" t="s">
        <v>1393</v>
      </c>
      <c r="U46" s="1220">
        <f t="shared" si="13"/>
        <v>100</v>
      </c>
      <c r="V46" s="1219" t="s">
        <v>1393</v>
      </c>
      <c r="W46" s="1220">
        <f t="shared" si="14"/>
        <v>100</v>
      </c>
      <c r="X46" s="1214"/>
      <c r="Y46" s="3393"/>
      <c r="Z46" s="1204">
        <f t="shared" si="15"/>
        <v>111</v>
      </c>
      <c r="AA46" s="1204">
        <f t="shared" si="3"/>
        <v>1</v>
      </c>
      <c r="AB46" s="1204">
        <f t="shared" si="4"/>
        <v>1</v>
      </c>
      <c r="AC46" s="1204">
        <f t="shared" si="5"/>
        <v>1</v>
      </c>
    </row>
    <row r="47" spans="1:29" ht="14.4">
      <c r="A47" s="1105" t="s">
        <v>1437</v>
      </c>
      <c r="B47" s="1398"/>
      <c r="C47" s="1399" t="s">
        <v>124</v>
      </c>
      <c r="D47" s="1108"/>
      <c r="E47" s="1109">
        <v>60000</v>
      </c>
      <c r="F47" s="1110"/>
      <c r="G47" s="1109">
        <v>65000</v>
      </c>
      <c r="H47" s="1112"/>
      <c r="I47" s="1109">
        <v>57000</v>
      </c>
      <c r="J47" s="1112"/>
      <c r="K47" s="1195"/>
      <c r="L47" s="1196"/>
      <c r="M47" s="1122"/>
      <c r="N47" s="1122"/>
      <c r="O47" s="1122"/>
      <c r="P47" s="3378" t="str">
        <f>A47</f>
        <v>成交单价（元/平方米）</v>
      </c>
      <c r="Q47" s="3378"/>
      <c r="R47" s="3376">
        <f>E47</f>
        <v>60000</v>
      </c>
      <c r="S47" s="3376"/>
      <c r="T47" s="3376">
        <f>G47</f>
        <v>65000</v>
      </c>
      <c r="U47" s="3376"/>
      <c r="V47" s="3376">
        <f>I47</f>
        <v>57000</v>
      </c>
      <c r="W47" s="3376"/>
      <c r="X47" s="1162"/>
      <c r="Y47" s="1229"/>
      <c r="Z47" s="1162"/>
      <c r="AA47" s="1162"/>
      <c r="AB47" s="1162"/>
      <c r="AC47" s="1162"/>
    </row>
    <row r="48" spans="1:29" ht="14.4">
      <c r="A48" s="1113" t="s">
        <v>1438</v>
      </c>
      <c r="B48" s="1400"/>
      <c r="C48" s="1401">
        <f>R49</f>
        <v>58696</v>
      </c>
      <c r="D48" s="1116" t="s">
        <v>1439</v>
      </c>
      <c r="E48" s="1402">
        <f>R48</f>
        <v>58824</v>
      </c>
      <c r="F48" s="1117"/>
      <c r="G48" s="1401">
        <f>T48</f>
        <v>62476</v>
      </c>
      <c r="H48" s="1117"/>
      <c r="I48" s="1402">
        <f>V48</f>
        <v>54787</v>
      </c>
      <c r="J48" s="1117"/>
      <c r="K48" s="1197">
        <f>F48+H48+J48</f>
        <v>0</v>
      </c>
      <c r="L48" s="1196"/>
      <c r="M48" s="1122"/>
      <c r="N48" s="1122"/>
      <c r="O48" s="1122"/>
      <c r="P48" s="3378" t="str">
        <f>A48</f>
        <v>比较价值（元/平方米）</v>
      </c>
      <c r="Q48" s="3378"/>
      <c r="R48" s="3376">
        <f>IF(F1="售价",ROUND(PRODUCT(R47,AA7:AA46),0),ROUND(PRODUCT(R47,AA7:AA46),1))</f>
        <v>58824</v>
      </c>
      <c r="S48" s="3376"/>
      <c r="T48" s="3376">
        <f>IF(F1="售价",ROUND(PRODUCT(T47,AB7:AB46),0),ROUND(PRODUCT(T47,AB7:AB46),1))</f>
        <v>62476</v>
      </c>
      <c r="U48" s="3376"/>
      <c r="V48" s="3376">
        <f>IF(F1="售价",ROUND(PRODUCT(V47,AC7:AC46),0),ROUND(PRODUCT(V47,AC7:AC46),1))</f>
        <v>54787</v>
      </c>
      <c r="W48" s="3376"/>
      <c r="X48" s="1162"/>
      <c r="Y48" s="1162"/>
      <c r="Z48" s="1162"/>
      <c r="AA48" s="1162"/>
      <c r="AB48" s="1162"/>
      <c r="AC48" s="1162"/>
    </row>
    <row r="49" spans="1:29" ht="14.4">
      <c r="A49" s="1119" t="s">
        <v>1440</v>
      </c>
      <c r="B49" s="1120"/>
      <c r="C49" s="1032">
        <f>R49</f>
        <v>58696</v>
      </c>
      <c r="D49" s="1032"/>
      <c r="E49" s="1032"/>
      <c r="F49" s="1032"/>
      <c r="G49" s="1032"/>
      <c r="H49" s="1032"/>
      <c r="I49" s="1032"/>
      <c r="J49" s="1032"/>
      <c r="K49" s="1198"/>
      <c r="L49" s="1196"/>
      <c r="M49" s="1122"/>
      <c r="N49" s="1122"/>
      <c r="O49" s="1122"/>
      <c r="P49" s="3414" t="str">
        <f>A49</f>
        <v>估价对象XX用房的比较价值（楼面单价，元/平方米）</v>
      </c>
      <c r="Q49" s="3415"/>
      <c r="R49" s="3416">
        <f>IF(F1="售价",ROUND(IF(D48="简单平均",AVERAGE(R48:V48),R48*F48+T48*H48+V48*J48),0),ROUND(IF(D48="简单平均",AVERAGE(R48:V48),R48*F48+T48*H48+V48*J48),1))</f>
        <v>58696</v>
      </c>
      <c r="S49" s="3416"/>
      <c r="T49" s="3416"/>
      <c r="U49" s="3416"/>
      <c r="V49" s="3416"/>
      <c r="W49" s="3416"/>
      <c r="X49" s="1162"/>
      <c r="Y49" s="1162"/>
      <c r="Z49" s="1162"/>
      <c r="AA49" s="1162"/>
      <c r="AB49" s="1162"/>
      <c r="AC49" s="1162"/>
    </row>
    <row r="50" spans="1:29">
      <c r="A50" s="1122"/>
      <c r="B50" s="1122"/>
      <c r="C50" s="1122"/>
      <c r="D50" s="1122"/>
      <c r="E50" s="1122"/>
      <c r="F50" s="1122"/>
      <c r="G50" s="1122"/>
      <c r="H50" s="1122"/>
      <c r="I50" s="1122"/>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1.9991840065279431E-2</v>
      </c>
      <c r="F52" s="1126" t="str">
        <f>IF(OR(E52&gt;=0.3,E52&lt;=-0.3),"超过30%","")</f>
        <v/>
      </c>
      <c r="G52" s="1125">
        <f>IF(G47&lt;G48,G48/G47-1,G47/G48-1)</f>
        <v>4.0399513413150734E-2</v>
      </c>
      <c r="H52" s="1126" t="str">
        <f>IF(OR(G52&gt;=0.3,G52&lt;=-0.3),"超过30%","")</f>
        <v/>
      </c>
      <c r="I52" s="1125">
        <f>IF(I47&lt;I48,I48/I47-1,I47/I48-1)</f>
        <v>4.0392793910964286E-2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6.2083503331973322E-2</v>
      </c>
      <c r="F53" s="1126" t="str">
        <f>IF(OR(E53&gt;=0.2,E53&lt;=-0.2),"超过20%","")</f>
        <v/>
      </c>
      <c r="G53" s="1125">
        <f>IF(G48&lt;I48,I48/G48-1,G48/I48-1)</f>
        <v>0.14034351214704222</v>
      </c>
      <c r="H53" s="1126" t="str">
        <f>IF(OR(G53&gt;=0.2,G53&lt;=-0.2),"超过20%","")</f>
        <v/>
      </c>
      <c r="I53" s="1125">
        <f>IF(I48&lt;E48,E48/I48-1,I48/E48-1)</f>
        <v>7.3685363316115193E-2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8.3333333333333259E-2</v>
      </c>
      <c r="F54" s="1126" t="str">
        <f>IF(OR(E54&gt;=0.3,E54&lt;=-0.3),"超过30%","")</f>
        <v/>
      </c>
      <c r="G54" s="1125">
        <f>IF(G47&lt;I47,I47/G47-1,G47/I47-1)</f>
        <v>0.14035087719298245</v>
      </c>
      <c r="H54" s="1126" t="str">
        <f>IF(OR(G54&gt;=0.3,G54&lt;=-0.3),"超过30%","")</f>
        <v/>
      </c>
      <c r="I54" s="1125">
        <f>IF(I47&lt;E47,E47/I47-1,I47/E47-1)</f>
        <v>5.2631578947368363E-2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6">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4.4">
      <c r="A58" s="1404" t="s">
        <v>1391</v>
      </c>
      <c r="B58" s="1405"/>
      <c r="C58" s="1406" t="str">
        <f>YEAR(C7)&amp;"-"&amp;MONTH(C7)</f>
        <v>2025-9</v>
      </c>
      <c r="D58" s="1407">
        <f>EDATE(C58,-1)</f>
        <v>45870</v>
      </c>
      <c r="E58" s="1407">
        <f t="shared" ref="E58:O58" si="16">EDATE(D58,-1)</f>
        <v>45839</v>
      </c>
      <c r="F58" s="1407">
        <f t="shared" si="16"/>
        <v>45809</v>
      </c>
      <c r="G58" s="1407">
        <f t="shared" si="16"/>
        <v>45778</v>
      </c>
      <c r="H58" s="1407">
        <f t="shared" si="16"/>
        <v>45748</v>
      </c>
      <c r="I58" s="1407">
        <f t="shared" si="16"/>
        <v>45717</v>
      </c>
      <c r="J58" s="1407">
        <f t="shared" si="16"/>
        <v>45689</v>
      </c>
      <c r="K58" s="1407">
        <f t="shared" si="16"/>
        <v>45658</v>
      </c>
      <c r="L58" s="1407">
        <f t="shared" si="16"/>
        <v>45627</v>
      </c>
      <c r="M58" s="1407">
        <f t="shared" si="16"/>
        <v>45597</v>
      </c>
      <c r="N58" s="1407">
        <f t="shared" si="16"/>
        <v>45566</v>
      </c>
      <c r="O58" s="1407">
        <f t="shared" si="16"/>
        <v>45536</v>
      </c>
      <c r="P58" s="1532"/>
      <c r="Q58" s="1278"/>
      <c r="R58" s="1278"/>
      <c r="S58" s="1278"/>
      <c r="T58" s="1278"/>
      <c r="U58" s="1278"/>
      <c r="V58" s="1278"/>
      <c r="W58" s="1278"/>
      <c r="X58" s="1278"/>
      <c r="Y58" s="1278"/>
      <c r="Z58" s="1278"/>
      <c r="AA58" s="1278"/>
      <c r="AB58" s="1278"/>
      <c r="AC58" s="1278"/>
    </row>
    <row r="59" spans="1:29" s="1008" customFormat="1">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4.4">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4.4">
      <c r="A61" s="1240" t="s">
        <v>1394</v>
      </c>
      <c r="B61" s="1241"/>
      <c r="C61" s="1242" t="s">
        <v>1446</v>
      </c>
      <c r="D61" s="2094" t="s">
        <v>2765</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ht="14.4">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8.8">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4.4">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ht="14.4">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c r="A77" s="1049"/>
      <c r="B77" s="1251"/>
      <c r="C77" s="1252">
        <v>100</v>
      </c>
      <c r="D77" s="1252">
        <f>C77-$K15</f>
        <v>95</v>
      </c>
      <c r="E77" s="1252">
        <f>D77-$K15</f>
        <v>90</v>
      </c>
      <c r="F77" s="1252">
        <f>E77-$K15</f>
        <v>85</v>
      </c>
      <c r="G77" s="1252">
        <f>F77-$K15</f>
        <v>80</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4.4">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c r="A79" s="1049"/>
      <c r="B79" s="1251"/>
      <c r="C79" s="1252">
        <v>100</v>
      </c>
      <c r="D79" s="1252">
        <f>C79-$K17</f>
        <v>100</v>
      </c>
      <c r="E79" s="1252">
        <f>D79-$K17</f>
        <v>100</v>
      </c>
      <c r="F79" s="1252">
        <f>E79-$K17</f>
        <v>100</v>
      </c>
      <c r="G79" s="1252">
        <f>F79-$K17</f>
        <v>100</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4.4">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4.4">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4.4">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4.4">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c r="A90" s="1256"/>
      <c r="B90" s="1249" t="str">
        <f>B27</f>
        <v>人流量</v>
      </c>
      <c r="C90" s="1257" t="s">
        <v>2766</v>
      </c>
      <c r="D90" s="1257" t="s">
        <v>1407</v>
      </c>
      <c r="E90" s="1257" t="s">
        <v>2767</v>
      </c>
      <c r="F90" s="1257" t="s">
        <v>2768</v>
      </c>
      <c r="G90" s="1257" t="s">
        <v>2769</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4.4">
      <c r="A92" s="1049"/>
      <c r="B92" s="1249" t="str">
        <f>B28</f>
        <v>楼层</v>
      </c>
      <c r="C92" s="3165" t="s">
        <v>2770</v>
      </c>
      <c r="D92" s="3165" t="s">
        <v>2771</v>
      </c>
      <c r="E92" s="3165" t="s">
        <v>2772</v>
      </c>
      <c r="F92" s="3165"/>
      <c r="G92" s="3165"/>
      <c r="H92" s="1257"/>
      <c r="I92" s="1257"/>
      <c r="J92" s="1257"/>
      <c r="K92" s="1257"/>
      <c r="L92" s="1420"/>
      <c r="M92" s="1421"/>
      <c r="N92" s="1289" t="s">
        <v>2773</v>
      </c>
      <c r="O92" s="1289">
        <v>100</v>
      </c>
      <c r="P92" s="1535">
        <f>ROUND(O92/O96*P96,2)</f>
        <v>135.59</v>
      </c>
      <c r="Q92" s="1224"/>
      <c r="R92" s="1122"/>
      <c r="S92" s="1122"/>
      <c r="T92" s="1122"/>
      <c r="U92" s="1122"/>
      <c r="V92" s="1122"/>
      <c r="W92" s="1122"/>
      <c r="X92" s="1122"/>
      <c r="Y92" s="1122"/>
      <c r="Z92" s="1122"/>
      <c r="AA92" s="1122"/>
      <c r="AB92" s="1122"/>
      <c r="AC92" s="1122"/>
    </row>
    <row r="93" spans="1:29">
      <c r="A93" s="1049"/>
      <c r="B93" s="1251"/>
      <c r="C93" s="1248">
        <v>100</v>
      </c>
      <c r="D93" s="1248">
        <v>102</v>
      </c>
      <c r="E93" s="1248">
        <v>100</v>
      </c>
      <c r="F93" s="1248"/>
      <c r="G93" s="1248"/>
      <c r="H93" s="1248"/>
      <c r="I93" s="1248"/>
      <c r="J93" s="1248"/>
      <c r="K93" s="1248"/>
      <c r="L93" s="1248"/>
      <c r="M93" s="1290"/>
      <c r="N93" s="1289" t="s">
        <v>2774</v>
      </c>
      <c r="O93" s="1291">
        <v>75</v>
      </c>
      <c r="P93" s="1535">
        <f>ROUND(O93/O96*P96,2)</f>
        <v>101.69</v>
      </c>
      <c r="Q93" s="1224"/>
      <c r="R93" s="1122"/>
      <c r="S93" s="1122"/>
      <c r="T93" s="1122"/>
      <c r="U93" s="1122"/>
      <c r="V93" s="1122"/>
      <c r="W93" s="1122"/>
      <c r="X93" s="1122"/>
      <c r="Y93" s="1122"/>
      <c r="Z93" s="1122"/>
      <c r="AA93" s="1122"/>
      <c r="AB93" s="1122"/>
      <c r="AC93" s="1122"/>
    </row>
    <row r="94" spans="1:29">
      <c r="A94" s="1049"/>
      <c r="B94" s="1249">
        <f>B29</f>
        <v>111</v>
      </c>
      <c r="C94" s="1257"/>
      <c r="D94" s="1257"/>
      <c r="E94" s="1257"/>
      <c r="F94" s="1257"/>
      <c r="G94" s="1272"/>
      <c r="H94" s="1272"/>
      <c r="I94" s="1272"/>
      <c r="J94" s="1272"/>
      <c r="K94" s="1317"/>
      <c r="L94" s="1318"/>
      <c r="M94" s="1319"/>
      <c r="N94" s="1289" t="s">
        <v>2775</v>
      </c>
      <c r="O94" s="1289">
        <v>65</v>
      </c>
      <c r="P94" s="1535"/>
      <c r="Q94" s="1224"/>
      <c r="R94" s="1122"/>
      <c r="S94" s="1122"/>
      <c r="T94" s="1122"/>
      <c r="U94" s="1122"/>
      <c r="V94" s="1122"/>
      <c r="W94" s="1122"/>
      <c r="X94" s="1122"/>
      <c r="Y94" s="1122"/>
      <c r="Z94" s="1122"/>
      <c r="AA94" s="1122"/>
      <c r="AB94" s="1122"/>
      <c r="AC94" s="1122"/>
    </row>
    <row r="95" spans="1:29">
      <c r="A95" s="1049"/>
      <c r="B95" s="1251"/>
      <c r="C95" s="1259"/>
      <c r="D95" s="1248"/>
      <c r="E95" s="1248"/>
      <c r="F95" s="1248"/>
      <c r="G95" s="1248"/>
      <c r="H95" s="1248"/>
      <c r="I95" s="1248"/>
      <c r="J95" s="1248"/>
      <c r="K95" s="1248"/>
      <c r="L95" s="1248"/>
      <c r="M95" s="1290"/>
      <c r="N95" s="1289" t="s">
        <v>2776</v>
      </c>
      <c r="O95" s="1291">
        <v>55</v>
      </c>
      <c r="P95" s="1535"/>
      <c r="Q95" s="1224"/>
      <c r="R95" s="1122"/>
      <c r="S95" s="1122"/>
      <c r="T95" s="1122"/>
      <c r="U95" s="1122"/>
      <c r="V95" s="1122"/>
      <c r="W95" s="1122"/>
      <c r="X95" s="1122"/>
      <c r="Y95" s="1122"/>
      <c r="Z95" s="1122"/>
      <c r="AA95" s="1122"/>
      <c r="AB95" s="1122"/>
      <c r="AC95" s="1122"/>
    </row>
    <row r="96" spans="1:29" ht="14.4">
      <c r="A96" s="1049"/>
      <c r="B96" s="1249">
        <f>B30</f>
        <v>111</v>
      </c>
      <c r="C96" s="1257"/>
      <c r="D96" s="1257"/>
      <c r="E96" s="1257"/>
      <c r="F96" s="1257"/>
      <c r="G96" s="1272"/>
      <c r="H96" s="1272"/>
      <c r="I96" s="1272"/>
      <c r="J96" s="1272"/>
      <c r="K96" s="1317"/>
      <c r="L96" s="1318"/>
      <c r="M96" s="1319"/>
      <c r="N96" s="1289" t="s">
        <v>2777</v>
      </c>
      <c r="O96" s="3166">
        <f>(O92+O93+O94+O95)/4</f>
        <v>73.75</v>
      </c>
      <c r="P96" s="1535">
        <v>100</v>
      </c>
      <c r="Q96" s="1224"/>
      <c r="R96" s="1122"/>
      <c r="S96" s="1122"/>
      <c r="T96" s="1122"/>
      <c r="U96" s="1122"/>
      <c r="V96" s="1122"/>
      <c r="W96" s="1122"/>
      <c r="X96" s="1122"/>
      <c r="Y96" s="1122"/>
      <c r="Z96" s="1122"/>
      <c r="AA96" s="1122"/>
      <c r="AB96" s="1122"/>
      <c r="AC96" s="1122"/>
    </row>
    <row r="97" spans="1:29" ht="14.4">
      <c r="A97" s="1049"/>
      <c r="B97" s="1251"/>
      <c r="C97" s="1259"/>
      <c r="D97" s="1248"/>
      <c r="E97" s="1248"/>
      <c r="F97" s="1248"/>
      <c r="G97" s="1248"/>
      <c r="H97" s="1248"/>
      <c r="I97" s="1248"/>
      <c r="J97" s="1248"/>
      <c r="K97" s="1248"/>
      <c r="L97" s="1248"/>
      <c r="M97" s="1290"/>
      <c r="N97" s="1291" t="s">
        <v>2781</v>
      </c>
      <c r="O97" s="3166">
        <f>(O92+O93+O94)/3</f>
        <v>80</v>
      </c>
      <c r="P97" s="1535">
        <f>ROUND(O92/O97*P96,2)</f>
        <v>125</v>
      </c>
      <c r="Q97" s="1224"/>
      <c r="R97" s="1122"/>
      <c r="S97" s="1122"/>
      <c r="T97" s="1122"/>
      <c r="U97" s="1122"/>
      <c r="V97" s="1122"/>
      <c r="W97" s="1122"/>
      <c r="X97" s="1122"/>
      <c r="Y97" s="1122"/>
      <c r="Z97" s="1122"/>
      <c r="AA97" s="1122"/>
      <c r="AB97" s="1122"/>
      <c r="AC97" s="1122"/>
    </row>
    <row r="98" spans="1:29">
      <c r="A98" s="1049"/>
      <c r="B98" s="1253">
        <f>B31</f>
        <v>111</v>
      </c>
      <c r="C98" s="1257"/>
      <c r="D98" s="1257"/>
      <c r="E98" s="1257"/>
      <c r="F98" s="1257"/>
      <c r="G98" s="1273"/>
      <c r="H98" s="1273"/>
      <c r="I98" s="1273"/>
      <c r="J98" s="1273"/>
      <c r="K98" s="1320"/>
      <c r="L98" s="1321"/>
      <c r="M98" s="1322"/>
      <c r="N98" s="1289"/>
      <c r="O98" s="1289"/>
      <c r="P98" s="1535"/>
      <c r="Q98" s="1224"/>
      <c r="R98" s="1122"/>
      <c r="S98" s="1122"/>
      <c r="T98" s="1122"/>
      <c r="U98" s="1122"/>
      <c r="V98" s="1122"/>
      <c r="W98" s="1122"/>
      <c r="X98" s="1122"/>
      <c r="Y98" s="1122"/>
      <c r="Z98" s="1122"/>
      <c r="AA98" s="1122"/>
      <c r="AB98" s="1122"/>
      <c r="AC98" s="1122"/>
    </row>
    <row r="99" spans="1:29">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ht="14.4">
      <c r="A100" s="1062" t="s">
        <v>1418</v>
      </c>
      <c r="B100" s="1246" t="s">
        <v>1630</v>
      </c>
      <c r="C100" s="2099" t="s">
        <v>2784</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4.4">
      <c r="A102" s="1049"/>
      <c r="B102" s="1249" t="s">
        <v>1422</v>
      </c>
      <c r="C102" s="1267" t="str">
        <f>C103&amp;"(含)"&amp;"-"&amp;D103</f>
        <v>0(含)-100</v>
      </c>
      <c r="D102" s="1267" t="str">
        <f t="shared" ref="D102:L102" si="24">D103&amp;"(含)"&amp;"-"&amp;E103</f>
        <v>100(含)-200</v>
      </c>
      <c r="E102" s="1267" t="str">
        <f t="shared" si="24"/>
        <v>200(含)-300</v>
      </c>
      <c r="F102" s="1267" t="str">
        <f t="shared" si="24"/>
        <v>300(含)-400</v>
      </c>
      <c r="G102" s="1267" t="str">
        <f t="shared" si="24"/>
        <v>400(含)-900</v>
      </c>
      <c r="H102" s="1267" t="str">
        <f t="shared" si="24"/>
        <v>900(含)-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200</v>
      </c>
      <c r="F103" s="1235">
        <v>300</v>
      </c>
      <c r="G103" s="1235">
        <v>400</v>
      </c>
      <c r="H103" s="1235">
        <v>900</v>
      </c>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c r="A104" s="1256"/>
      <c r="B104" s="1251"/>
      <c r="C104" s="1259">
        <v>100</v>
      </c>
      <c r="D104" s="1248">
        <f>C104-2</f>
        <v>98</v>
      </c>
      <c r="E104" s="1248">
        <f t="shared" ref="E104:F104" si="25">D104-2</f>
        <v>96</v>
      </c>
      <c r="F104" s="1248">
        <f t="shared" si="25"/>
        <v>94</v>
      </c>
      <c r="G104" s="1248">
        <v>94</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ht="14.4">
      <c r="A105" s="1098"/>
      <c r="B105" s="1249" t="s">
        <v>1423</v>
      </c>
      <c r="C105" s="2098" t="s">
        <v>2785</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c r="A106" s="1049"/>
      <c r="B106" s="1251"/>
      <c r="C106" s="1252">
        <v>100</v>
      </c>
      <c r="D106" s="1252">
        <f t="shared" ref="D106:M106" si="26">C106-$K34</f>
        <v>100</v>
      </c>
      <c r="E106" s="1252">
        <f t="shared" si="26"/>
        <v>100</v>
      </c>
      <c r="F106" s="1252">
        <f t="shared" si="26"/>
        <v>100</v>
      </c>
      <c r="G106" s="1252">
        <f t="shared" si="26"/>
        <v>100</v>
      </c>
      <c r="H106" s="1252">
        <f t="shared" si="26"/>
        <v>100</v>
      </c>
      <c r="I106" s="1252">
        <f t="shared" si="26"/>
        <v>100</v>
      </c>
      <c r="J106" s="1252">
        <f t="shared" si="26"/>
        <v>100</v>
      </c>
      <c r="K106" s="1252">
        <f t="shared" si="26"/>
        <v>100</v>
      </c>
      <c r="L106" s="1252">
        <f t="shared" si="26"/>
        <v>100</v>
      </c>
      <c r="M106" s="1295">
        <f t="shared" si="26"/>
        <v>100</v>
      </c>
      <c r="N106" s="1291"/>
      <c r="O106" s="1291"/>
      <c r="P106" s="1535"/>
      <c r="Q106" s="1224"/>
      <c r="R106" s="1122"/>
      <c r="S106" s="1122"/>
      <c r="T106" s="1122"/>
      <c r="U106" s="1122"/>
      <c r="V106" s="1122"/>
      <c r="W106" s="1122"/>
      <c r="X106" s="1122"/>
      <c r="Y106" s="1122"/>
      <c r="Z106" s="1122"/>
      <c r="AA106" s="1122"/>
      <c r="AB106" s="1122"/>
      <c r="AC106" s="1122"/>
    </row>
    <row r="107" spans="1:29" ht="14.4">
      <c r="A107" s="1098"/>
      <c r="B107" s="1249" t="s">
        <v>1425</v>
      </c>
      <c r="C107" s="2098" t="s">
        <v>2786</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c r="A108" s="1049"/>
      <c r="B108" s="1251"/>
      <c r="C108" s="1252">
        <v>100</v>
      </c>
      <c r="D108" s="1252">
        <f t="shared" ref="D108:M108" si="27">C108-$K35</f>
        <v>100</v>
      </c>
      <c r="E108" s="1252">
        <f t="shared" si="27"/>
        <v>100</v>
      </c>
      <c r="F108" s="1252">
        <f t="shared" si="27"/>
        <v>100</v>
      </c>
      <c r="G108" s="1252">
        <f t="shared" si="27"/>
        <v>100</v>
      </c>
      <c r="H108" s="1252">
        <f t="shared" si="27"/>
        <v>100</v>
      </c>
      <c r="I108" s="1252">
        <f t="shared" si="27"/>
        <v>100</v>
      </c>
      <c r="J108" s="1252">
        <f t="shared" si="27"/>
        <v>100</v>
      </c>
      <c r="K108" s="1252">
        <f t="shared" si="27"/>
        <v>100</v>
      </c>
      <c r="L108" s="1252">
        <f t="shared" si="27"/>
        <v>100</v>
      </c>
      <c r="M108" s="1295">
        <f t="shared" si="27"/>
        <v>100</v>
      </c>
      <c r="N108" s="1291"/>
      <c r="O108" s="1291"/>
      <c r="P108" s="1535"/>
      <c r="Q108" s="1224"/>
      <c r="R108" s="1122"/>
      <c r="S108" s="1122"/>
      <c r="T108" s="1122"/>
      <c r="U108" s="1122"/>
      <c r="V108" s="1122"/>
      <c r="W108" s="1122"/>
      <c r="X108" s="1122"/>
      <c r="Y108" s="1122"/>
      <c r="Z108" s="1122"/>
      <c r="AA108" s="1122"/>
      <c r="AB108" s="1122"/>
      <c r="AC108" s="1122"/>
    </row>
    <row r="109" spans="1:29" ht="14.4">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c r="A111" s="1049"/>
      <c r="B111" s="1251"/>
      <c r="C111" s="1268">
        <v>100</v>
      </c>
      <c r="D111" s="1252">
        <f>C111+$K36</f>
        <v>100</v>
      </c>
      <c r="E111" s="1252">
        <f t="shared" ref="E111:M111" si="28">D111+$K36</f>
        <v>100</v>
      </c>
      <c r="F111" s="1252">
        <f t="shared" si="28"/>
        <v>100</v>
      </c>
      <c r="G111" s="1252">
        <f t="shared" si="28"/>
        <v>100</v>
      </c>
      <c r="H111" s="1252">
        <f t="shared" si="28"/>
        <v>100</v>
      </c>
      <c r="I111" s="1252">
        <f t="shared" si="28"/>
        <v>100</v>
      </c>
      <c r="J111" s="1252">
        <f t="shared" si="28"/>
        <v>100</v>
      </c>
      <c r="K111" s="1252">
        <f t="shared" si="28"/>
        <v>100</v>
      </c>
      <c r="L111" s="1252">
        <f t="shared" si="28"/>
        <v>100</v>
      </c>
      <c r="M111" s="1252">
        <f t="shared" si="28"/>
        <v>100</v>
      </c>
      <c r="N111" s="1291"/>
      <c r="O111" s="1291"/>
      <c r="P111" s="1535"/>
      <c r="Q111" s="1224"/>
      <c r="R111" s="1122"/>
      <c r="S111" s="1122"/>
      <c r="T111" s="1122"/>
      <c r="U111" s="1122"/>
      <c r="V111" s="1122"/>
      <c r="W111" s="1122"/>
      <c r="X111" s="1122"/>
      <c r="Y111" s="1122"/>
      <c r="Z111" s="1122"/>
      <c r="AA111" s="1122"/>
      <c r="AB111" s="1122"/>
      <c r="AC111" s="1122"/>
    </row>
    <row r="112" spans="1:29" s="1010" customFormat="1" ht="14.4">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c r="A113" s="1256"/>
      <c r="B113" s="1251"/>
      <c r="C113" s="1252">
        <v>100</v>
      </c>
      <c r="D113" s="1252">
        <f>C113-$K37</f>
        <v>100</v>
      </c>
      <c r="E113" s="1252">
        <f t="shared" ref="E113:M113" si="29">D113-$K37</f>
        <v>100</v>
      </c>
      <c r="F113" s="1252">
        <f t="shared" si="29"/>
        <v>100</v>
      </c>
      <c r="G113" s="1252">
        <f t="shared" si="29"/>
        <v>100</v>
      </c>
      <c r="H113" s="1252">
        <f t="shared" si="29"/>
        <v>100</v>
      </c>
      <c r="I113" s="1252">
        <f t="shared" si="29"/>
        <v>100</v>
      </c>
      <c r="J113" s="1252">
        <f t="shared" si="29"/>
        <v>100</v>
      </c>
      <c r="K113" s="1252">
        <f t="shared" si="29"/>
        <v>100</v>
      </c>
      <c r="L113" s="1252">
        <f t="shared" si="29"/>
        <v>100</v>
      </c>
      <c r="M113" s="1252">
        <f t="shared" si="29"/>
        <v>100</v>
      </c>
      <c r="N113" s="1301"/>
      <c r="O113" s="1301"/>
      <c r="P113" s="1540"/>
      <c r="Q113" s="1330"/>
      <c r="R113" s="1191"/>
      <c r="S113" s="1191"/>
      <c r="T113" s="1191"/>
      <c r="U113" s="1191"/>
      <c r="V113" s="1191"/>
      <c r="W113" s="1191"/>
      <c r="X113" s="1191"/>
      <c r="Y113" s="1191"/>
      <c r="Z113" s="1191"/>
      <c r="AA113" s="1191"/>
      <c r="AB113" s="1191"/>
      <c r="AC113" s="1191"/>
    </row>
    <row r="114" spans="1:29" ht="14.4">
      <c r="A114" s="1098"/>
      <c r="B114" s="1249" t="s">
        <v>1631</v>
      </c>
      <c r="C114" s="2098" t="s">
        <v>2778</v>
      </c>
      <c r="D114" s="2098" t="s">
        <v>2780</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c r="A115" s="1049"/>
      <c r="B115" s="1251"/>
      <c r="C115" s="1252">
        <v>100</v>
      </c>
      <c r="D115" s="1252">
        <f t="shared" ref="D115:M115" si="30">C115-$K38</f>
        <v>95</v>
      </c>
      <c r="E115" s="1252">
        <f t="shared" si="30"/>
        <v>90</v>
      </c>
      <c r="F115" s="1252">
        <f t="shared" si="30"/>
        <v>85</v>
      </c>
      <c r="G115" s="1252">
        <f t="shared" si="30"/>
        <v>80</v>
      </c>
      <c r="H115" s="1252">
        <f t="shared" si="30"/>
        <v>75</v>
      </c>
      <c r="I115" s="1252">
        <f t="shared" si="30"/>
        <v>70</v>
      </c>
      <c r="J115" s="1252">
        <f t="shared" si="30"/>
        <v>65</v>
      </c>
      <c r="K115" s="1252">
        <f t="shared" si="30"/>
        <v>60</v>
      </c>
      <c r="L115" s="1252">
        <f t="shared" si="30"/>
        <v>55</v>
      </c>
      <c r="M115" s="1295">
        <f t="shared" si="30"/>
        <v>50</v>
      </c>
      <c r="N115" s="1291"/>
      <c r="O115" s="1291"/>
      <c r="P115" s="1535"/>
      <c r="Q115" s="1224"/>
      <c r="R115" s="1122"/>
      <c r="S115" s="1122"/>
      <c r="T115" s="1122"/>
      <c r="U115" s="1122"/>
      <c r="V115" s="1122"/>
      <c r="W115" s="1122"/>
      <c r="X115" s="1122"/>
      <c r="Y115" s="1122"/>
      <c r="Z115" s="1122"/>
      <c r="AA115" s="1122"/>
      <c r="AB115" s="1122"/>
      <c r="AC115" s="1122"/>
    </row>
    <row r="116" spans="1:29" ht="14.4">
      <c r="A116" s="1098"/>
      <c r="B116" s="1249" t="s">
        <v>1432</v>
      </c>
      <c r="C116" s="2098" t="s">
        <v>2787</v>
      </c>
      <c r="D116" s="1257"/>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c r="A117" s="1049"/>
      <c r="B117" s="1251"/>
      <c r="C117" s="1252">
        <v>100</v>
      </c>
      <c r="D117" s="1252">
        <f>C117-$K39</f>
        <v>100</v>
      </c>
      <c r="E117" s="1252">
        <f>D117-$K39</f>
        <v>100</v>
      </c>
      <c r="F117" s="1252">
        <f>E117-$K39</f>
        <v>100</v>
      </c>
      <c r="G117" s="1252">
        <f>F117-$K39</f>
        <v>100</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ht="14.4">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ht="14.4">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c r="A121" s="1256"/>
      <c r="B121" s="1247"/>
      <c r="C121" s="1268">
        <v>100</v>
      </c>
      <c r="D121" s="1252">
        <f>C121-$K41</f>
        <v>100</v>
      </c>
      <c r="E121" s="1252">
        <f t="shared" ref="E121:M121" si="31">D121-$K41</f>
        <v>100</v>
      </c>
      <c r="F121" s="1252">
        <f t="shared" si="31"/>
        <v>100</v>
      </c>
      <c r="G121" s="1252">
        <f t="shared" si="31"/>
        <v>100</v>
      </c>
      <c r="H121" s="1252">
        <f t="shared" si="31"/>
        <v>100</v>
      </c>
      <c r="I121" s="1252">
        <f t="shared" si="31"/>
        <v>100</v>
      </c>
      <c r="J121" s="1252">
        <f t="shared" si="31"/>
        <v>100</v>
      </c>
      <c r="K121" s="1252">
        <f t="shared" si="31"/>
        <v>100</v>
      </c>
      <c r="L121" s="1252">
        <f t="shared" si="31"/>
        <v>100</v>
      </c>
      <c r="M121" s="1295">
        <f t="shared" si="31"/>
        <v>100</v>
      </c>
      <c r="N121" s="1301"/>
      <c r="O121" s="1301"/>
      <c r="P121" s="1540"/>
      <c r="Q121" s="1330"/>
      <c r="R121" s="1191"/>
      <c r="S121" s="1191"/>
      <c r="T121" s="1191"/>
      <c r="U121" s="1191"/>
      <c r="V121" s="1191"/>
      <c r="W121" s="1191"/>
      <c r="X121" s="1191"/>
      <c r="Y121" s="1191"/>
      <c r="Z121" s="1191"/>
      <c r="AA121" s="1191"/>
      <c r="AB121" s="1191"/>
      <c r="AC121" s="1191"/>
    </row>
    <row r="122" spans="1:29" ht="14.4">
      <c r="A122" s="1098"/>
      <c r="B122" s="1249" t="s">
        <v>1434</v>
      </c>
      <c r="C122" s="2098" t="s">
        <v>2786</v>
      </c>
      <c r="D122" s="2098" t="s">
        <v>2788</v>
      </c>
      <c r="E122" s="2098" t="s">
        <v>2789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95">
        <f t="shared" si="32"/>
        <v>100</v>
      </c>
      <c r="N123" s="1291"/>
      <c r="O123" s="1291"/>
      <c r="P123" s="1535"/>
      <c r="Q123" s="1224"/>
      <c r="R123" s="1122"/>
      <c r="S123" s="1122"/>
      <c r="T123" s="1122"/>
      <c r="U123" s="1122"/>
      <c r="V123" s="1122"/>
      <c r="W123" s="1122"/>
      <c r="X123" s="1122"/>
      <c r="Y123" s="1122"/>
      <c r="Z123" s="1122"/>
      <c r="AA123" s="1122"/>
      <c r="AB123" s="1122"/>
      <c r="AC123" s="1122"/>
    </row>
    <row r="124" spans="1:29" ht="28.8">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c r="A125" s="1049"/>
      <c r="B125" s="1251"/>
      <c r="C125" s="1252">
        <v>100</v>
      </c>
      <c r="D125" s="1252">
        <f>C125-$K43</f>
        <v>100</v>
      </c>
      <c r="E125" s="1252">
        <f>D125-$K43</f>
        <v>100</v>
      </c>
      <c r="F125" s="1252">
        <f>E125-$K43</f>
        <v>100</v>
      </c>
      <c r="G125" s="1252">
        <f>F125-$K43</f>
        <v>100</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f>B44</f>
        <v>111</v>
      </c>
      <c r="C126" s="1257"/>
      <c r="D126" s="1257"/>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c r="A127" s="1256"/>
      <c r="B127" s="1251"/>
      <c r="C127" s="1259"/>
      <c r="D127" s="1248"/>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商业交易情况</formula1>
    </dataValidation>
    <dataValidation type="list" allowBlank="1" showInputMessage="1" showErrorMessage="1" sqref="E9 G9 I9" xr:uid="{00000000-0002-0000-1700-000006000000}">
      <formula1>商业用途</formula1>
    </dataValidation>
    <dataValidation type="list" allowBlank="1" showInputMessage="1" showErrorMessage="1" sqref="C16 E16 G16 I16" xr:uid="{00000000-0002-0000-1700-000007000000}">
      <formula1>商业繁华度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5 E25 G25 I25" xr:uid="{00000000-0002-0000-1700-00000C000000}">
      <formula1>商业临街状况</formula1>
    </dataValidation>
    <dataValidation type="list" allowBlank="1" showInputMessage="1" showErrorMessage="1" sqref="C27 E27 G27 I27" xr:uid="{00000000-0002-0000-1700-00000D000000}">
      <formula1>商业人流量</formula1>
    </dataValidation>
    <dataValidation type="list" allowBlank="1" showInputMessage="1" showErrorMessage="1" sqref="C28 E28 G28 I28" xr:uid="{00000000-0002-0000-1700-00000E000000}">
      <formula1>商业楼层</formula1>
    </dataValidation>
    <dataValidation type="list" allowBlank="1" showInputMessage="1" showErrorMessage="1" sqref="C32 E32 G32 I32" xr:uid="{00000000-0002-0000-1700-00000F000000}">
      <formula1>商业类型</formula1>
    </dataValidation>
    <dataValidation type="list" allowBlank="1" showInputMessage="1" showErrorMessage="1" sqref="C34 E34 G34 I34" xr:uid="{00000000-0002-0000-1700-000010000000}">
      <formula1>商业建筑结构</formula1>
    </dataValidation>
    <dataValidation type="list" allowBlank="1" showInputMessage="1" showErrorMessage="1" sqref="C35 E35 G35 I35" xr:uid="{00000000-0002-0000-1700-000011000000}">
      <formula1>商业公共部分装修</formula1>
    </dataValidation>
    <dataValidation type="list" allowBlank="1" showInputMessage="1" showErrorMessage="1" sqref="C37 E37 G37 I37" xr:uid="{00000000-0002-0000-1700-000012000000}">
      <formula1>商业基础设施水平</formula1>
    </dataValidation>
    <dataValidation type="list" allowBlank="1" showInputMessage="1" showErrorMessage="1" sqref="C38 E38 G38 I38" xr:uid="{00000000-0002-0000-1700-000013000000}">
      <formula1>商业业态</formula1>
    </dataValidation>
    <dataValidation type="list" allowBlank="1" showInputMessage="1" showErrorMessage="1" sqref="C39 E39 G39 I39" xr:uid="{00000000-0002-0000-1700-000014000000}">
      <formula1>商业层高</formula1>
    </dataValidation>
    <dataValidation type="list" allowBlank="1" showInputMessage="1" showErrorMessage="1" sqref="C41 E41 G41 I41" xr:uid="{00000000-0002-0000-1700-000015000000}">
      <formula1>商业进深比</formula1>
    </dataValidation>
    <dataValidation type="list" allowBlank="1" showInputMessage="1" showErrorMessage="1" sqref="C42 E42 G42 I42" xr:uid="{00000000-0002-0000-1700-000016000000}">
      <formula1>商业内部装修</formula1>
    </dataValidation>
    <dataValidation type="list" allowBlank="1" showInputMessage="1" showErrorMessage="1" sqref="C43 E43 G43 I43" xr:uid="{00000000-0002-0000-1700-000017000000}">
      <formula1>内部装修维护情况</formula1>
    </dataValidation>
    <dataValidation type="list" allowBlank="1" showInputMessage="1" showErrorMessage="1" sqref="D48"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31" zoomScale="70" zoomScaleNormal="70" workbookViewId="0">
      <selection activeCell="I39" sqref="I39"/>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817"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815" customFormat="1" ht="21.6">
      <c r="A1" s="1818" t="s">
        <v>1184</v>
      </c>
      <c r="B1" s="1225"/>
      <c r="C1" s="1819" t="s">
        <v>229</v>
      </c>
      <c r="D1" s="1820" t="s">
        <v>124</v>
      </c>
      <c r="E1" s="1821" t="s">
        <v>1185</v>
      </c>
      <c r="F1" s="1822">
        <f ca="1">J53</f>
        <v>16</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1104.403</v>
      </c>
      <c r="C2" s="1826" t="s">
        <v>1187</v>
      </c>
      <c r="D2" s="1827">
        <f ca="1">C40+J29+L46</f>
        <v>11044030</v>
      </c>
      <c r="E2" s="1828" t="s">
        <v>1462</v>
      </c>
      <c r="F2" s="1829"/>
      <c r="G2" s="1830"/>
      <c r="H2" s="1831"/>
      <c r="I2" s="1831"/>
      <c r="J2" s="1831"/>
      <c r="K2" s="1986"/>
      <c r="L2" s="1831"/>
      <c r="M2" s="1831"/>
    </row>
    <row r="3" spans="1:37" ht="18" customHeight="1">
      <c r="A3" s="1832" t="s">
        <v>1188</v>
      </c>
      <c r="B3" s="1833">
        <f ca="1">IF(ISERROR(D2/F43),0,ROUND(D2/F43,0))</f>
        <v>45858</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990144</v>
      </c>
      <c r="D5" s="1842" t="s">
        <v>1197</v>
      </c>
      <c r="E5" s="1843"/>
      <c r="F5" s="1844"/>
      <c r="G5" s="718"/>
      <c r="H5" s="1839">
        <v>1</v>
      </c>
      <c r="I5" s="1840" t="s">
        <v>1196</v>
      </c>
      <c r="J5" s="1841">
        <f ca="1">J6+J10+J12</f>
        <v>0</v>
      </c>
      <c r="K5" s="1842" t="s">
        <v>1197</v>
      </c>
      <c r="L5" s="1843"/>
      <c r="M5" s="1844"/>
    </row>
    <row r="6" spans="1:37" ht="18" customHeight="1">
      <c r="A6" s="1845" t="s">
        <v>939</v>
      </c>
      <c r="B6" s="3354" t="s">
        <v>1198</v>
      </c>
      <c r="C6" s="1846">
        <f ca="1">ROUND(F6*F8*F7*(1-F9),0)</f>
        <v>988908</v>
      </c>
      <c r="D6" s="1847" t="s">
        <v>1463</v>
      </c>
      <c r="E6" s="1848" t="s">
        <v>1200</v>
      </c>
      <c r="F6" s="1849">
        <f ca="1">INDIRECT("'数据-取费表'!u"&amp;$G$1)</f>
        <v>12.5</v>
      </c>
      <c r="G6" s="718"/>
      <c r="H6" s="1845" t="s">
        <v>939</v>
      </c>
      <c r="I6" s="3354" t="s">
        <v>1198</v>
      </c>
      <c r="J6" s="1919">
        <f ca="1">ROUND(M6*M8*M7*(1-M9),0)</f>
        <v>0</v>
      </c>
      <c r="K6" s="1989" t="s">
        <v>1464</v>
      </c>
      <c r="L6" s="1848" t="s">
        <v>1200</v>
      </c>
      <c r="M6" s="1849">
        <f ca="1">INDIRECT("'数据-取费表'!z"&amp;$G$1)</f>
        <v>0</v>
      </c>
    </row>
    <row r="7" spans="1:37" ht="18" customHeight="1">
      <c r="A7" s="1850"/>
      <c r="B7" s="3355"/>
      <c r="C7" s="1851"/>
      <c r="D7" s="1852"/>
      <c r="E7" s="1853" t="s">
        <v>1202</v>
      </c>
      <c r="F7" s="1849">
        <f ca="1">IF(INDIRECT("'数据-取费表'!ah"&amp;$G$1)="",INDIRECT("'数据-取费表'!k"&amp;$G$1),INDIRECT("'数据-取费表'!ah"&amp;$G$1))</f>
        <v>240.83</v>
      </c>
      <c r="G7" s="718"/>
      <c r="H7" s="1854"/>
      <c r="I7" s="3355"/>
      <c r="J7" s="1855"/>
      <c r="K7" s="1852"/>
      <c r="L7" s="1848" t="s">
        <v>1202</v>
      </c>
      <c r="M7" s="1849">
        <f ca="1">F7</f>
        <v>240.83</v>
      </c>
    </row>
    <row r="8" spans="1:37" ht="18" customHeight="1">
      <c r="A8" s="1854"/>
      <c r="B8" s="3355"/>
      <c r="C8" s="1855"/>
      <c r="D8" s="1852"/>
      <c r="E8" s="1848" t="s">
        <v>1203</v>
      </c>
      <c r="F8" s="1849">
        <f ca="1">INDIRECT("'数据-取费表'!ai"&amp;$G$1)</f>
        <v>365</v>
      </c>
      <c r="G8" s="718"/>
      <c r="H8" s="1854"/>
      <c r="I8" s="3355"/>
      <c r="J8" s="1855"/>
      <c r="K8" s="1852"/>
      <c r="L8" s="1848" t="s">
        <v>1203</v>
      </c>
      <c r="M8" s="1849">
        <f ca="1">INDIRECT("'数据-取费表'!ai"&amp;$G$1)</f>
        <v>365</v>
      </c>
    </row>
    <row r="9" spans="1:37" ht="18" customHeight="1">
      <c r="A9" s="1854"/>
      <c r="B9" s="3356"/>
      <c r="C9" s="1855"/>
      <c r="D9" s="1852"/>
      <c r="E9" s="1848" t="s">
        <v>1204</v>
      </c>
      <c r="F9" s="1856">
        <f ca="1">INDIRECT("'数据-取费表'!w"&amp;$G$1)</f>
        <v>0.1</v>
      </c>
      <c r="G9" s="718"/>
      <c r="H9" s="1854"/>
      <c r="I9" s="3356"/>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1236</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1229239</v>
      </c>
      <c r="D13" s="1875" t="s">
        <v>1212</v>
      </c>
      <c r="E13" s="1875" t="s">
        <v>1213</v>
      </c>
      <c r="F13" s="1876">
        <f ca="1">INDIRECT("'数据-取费表'!y"&amp;$G$1)</f>
        <v>0.74</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1083735</v>
      </c>
      <c r="D14" s="1879" t="s">
        <v>1215</v>
      </c>
      <c r="E14" s="1880"/>
      <c r="F14" s="1881"/>
      <c r="G14" s="718"/>
      <c r="H14" s="1877" t="s">
        <v>939</v>
      </c>
      <c r="I14" s="1848" t="s">
        <v>1216</v>
      </c>
      <c r="J14" s="950">
        <f ca="1">C29</f>
        <v>1661134</v>
      </c>
      <c r="K14" s="1998"/>
      <c r="L14" s="1999"/>
      <c r="M14" s="2000"/>
    </row>
    <row r="15" spans="1:37" s="1816" customFormat="1" ht="18" customHeight="1">
      <c r="A15" s="1877" t="s">
        <v>966</v>
      </c>
      <c r="B15" s="1848" t="s">
        <v>1145</v>
      </c>
      <c r="C15" s="950">
        <f ca="1">ROUND(C14*F15,0)</f>
        <v>54187</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8306</v>
      </c>
      <c r="K16" s="1897" t="s">
        <v>1221</v>
      </c>
      <c r="L16" s="1898"/>
      <c r="M16" s="1844"/>
    </row>
    <row r="17" spans="1:37" s="1816" customFormat="1" ht="18" customHeight="1">
      <c r="A17" s="1877" t="s">
        <v>1222</v>
      </c>
      <c r="B17" s="1848" t="s">
        <v>1223</v>
      </c>
      <c r="C17" s="950">
        <f ca="1">ROUND(F17*(F43+INDIRECT("'数据-取费表'!S"&amp;$G$1)),0)</f>
        <v>48166</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21675</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1207763</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36233</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8306</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38937</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1.5E-3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-8306</v>
      </c>
      <c r="K25" s="1916" t="s">
        <v>1259</v>
      </c>
      <c r="L25" s="1917"/>
      <c r="M25" s="1918"/>
    </row>
    <row r="26" spans="1:37" ht="18" customHeight="1">
      <c r="A26" s="1877" t="s">
        <v>962</v>
      </c>
      <c r="B26" s="1848" t="s">
        <v>1260</v>
      </c>
      <c r="C26" s="950">
        <f ca="1">ROUND((C19+C20)*F26,0)</f>
        <v>248799</v>
      </c>
      <c r="D26" s="1889" t="s">
        <v>1261</v>
      </c>
      <c r="E26" s="1859" t="s">
        <v>1262</v>
      </c>
      <c r="F26" s="1856">
        <f ca="1">INDIRECT("'数据-取费表'!q"&amp;$G$1)</f>
        <v>0.2</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4.0000000000000001E-3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1661134</v>
      </c>
      <c r="D29" s="1894"/>
      <c r="E29" s="1870"/>
      <c r="F29" s="1895"/>
      <c r="G29" s="1884"/>
      <c r="H29" s="1896" t="s">
        <v>1275</v>
      </c>
      <c r="I29" s="1925" t="s">
        <v>1276</v>
      </c>
      <c r="J29" s="1926">
        <f ca="1">ROUND(J26/(1+F40)^F41,0)</f>
        <v>0</v>
      </c>
      <c r="K29" s="1927" t="s">
        <v>1277</v>
      </c>
      <c r="L29" s="1928"/>
      <c r="M29" s="1929">
        <f ca="1">INDIRECT("'数据-取费表'!k"&amp;$G$1)</f>
        <v>240.83</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81028</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65927</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IF(项目基本情况!B11="自然人","——",ROUND(C6*F32/(1+'数据-取费表'!C42),0))</f>
        <v>——</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IF(项目基本情况!B11="自然人","——",IF(D33="按租金收入计税",ROUND(C6*F33/(1+'数据-取费表'!C42),0),IF(D33="按房产原值计税",ROUND(C29*F33*0.7,0),INDIRECT("'数据-取费表'!Aj"&amp;$G$1))))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IF(项目基本情况!B11="自然人","——",ROUND(F34*F35,0))</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8306</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1844</v>
      </c>
      <c r="D37" s="1901" t="s">
        <v>1251</v>
      </c>
      <c r="E37" s="1848" t="s">
        <v>1218</v>
      </c>
      <c r="F37" s="1914">
        <f ca="1">INDIRECT("'数据-取费表'!Al"&amp;$G$1)</f>
        <v>1.5E-3</v>
      </c>
      <c r="G37" s="718"/>
      <c r="H37" s="1905"/>
      <c r="I37" s="2005"/>
      <c r="J37" s="2006"/>
      <c r="K37" s="2012"/>
      <c r="L37" s="1905"/>
      <c r="M37" s="1905"/>
    </row>
    <row r="38" spans="1:18" ht="18" customHeight="1">
      <c r="A38" s="1885" t="s">
        <v>991</v>
      </c>
      <c r="B38" s="1870" t="s">
        <v>1236</v>
      </c>
      <c r="C38" s="1893">
        <f ca="1">ROUND(C5*F38,0)</f>
        <v>4951</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909116</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10835134</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16</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44991</v>
      </c>
      <c r="D43" s="1927" t="s">
        <v>1282</v>
      </c>
      <c r="E43" s="1928" t="s">
        <v>1283</v>
      </c>
      <c r="F43" s="1929">
        <f ca="1">INDIRECT("'数据-取费表'!k"&amp;$G$1)</f>
        <v>240.83</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-1094.1324999999999</v>
      </c>
      <c r="D45" s="1934" t="s">
        <v>1470</v>
      </c>
      <c r="E45" s="1930"/>
      <c r="F45" s="1930"/>
      <c r="O45" s="2014" t="s">
        <v>1284</v>
      </c>
      <c r="P45" s="1920"/>
      <c r="Q45" s="1920"/>
      <c r="R45" s="1920"/>
    </row>
    <row r="46" spans="1:18" s="718" customFormat="1">
      <c r="A46" s="1935" t="s">
        <v>1285</v>
      </c>
      <c r="C46" s="1936">
        <f ca="1">ROUND(C45,0)</f>
        <v>-1094</v>
      </c>
      <c r="D46" s="1937" t="str">
        <f>C2</f>
        <v>万元</v>
      </c>
      <c r="I46" s="2015" t="s">
        <v>1286</v>
      </c>
      <c r="J46" s="2016"/>
      <c r="K46" s="2017"/>
      <c r="L46" s="2018">
        <f ca="1">IF(M47="住宅",0,IF(L48&gt;J51,L60,J60))</f>
        <v>208896</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40</v>
      </c>
      <c r="M47" s="2025" t="str">
        <f>IF(ISNUMBER(FIND("住宅",C1)),"住宅","非住宅")</f>
        <v>非住宅</v>
      </c>
      <c r="O47" s="2026" t="s">
        <v>1044</v>
      </c>
      <c r="P47" s="2027" t="s">
        <v>1293</v>
      </c>
      <c r="Q47" s="2063">
        <f ca="1">C40+J29</f>
        <v>10835134</v>
      </c>
      <c r="R47" s="2063" t="s">
        <v>1294</v>
      </c>
    </row>
    <row r="48" spans="1:18" s="718" customFormat="1" ht="39.6">
      <c r="A48" s="1942" t="s">
        <v>1295</v>
      </c>
      <c r="B48" s="1840" t="s">
        <v>1196</v>
      </c>
      <c r="C48" s="951">
        <f ca="1">C49+C53+C55</f>
        <v>0</v>
      </c>
      <c r="D48" s="1943"/>
      <c r="E48" s="1944"/>
      <c r="F48" s="1945"/>
      <c r="G48" s="1941"/>
      <c r="H48" s="1946"/>
      <c r="I48" s="2028" t="s">
        <v>1296</v>
      </c>
      <c r="J48" s="2029" t="s">
        <v>1471</v>
      </c>
      <c r="K48" s="2030" t="s">
        <v>1297</v>
      </c>
      <c r="L48" s="2031">
        <f ca="1">INDIRECT("'数据-取费表'!f"&amp;$G$1)</f>
        <v>16</v>
      </c>
      <c r="O48" s="2026" t="s">
        <v>1047</v>
      </c>
      <c r="P48" s="2027" t="s">
        <v>1298</v>
      </c>
      <c r="Q48" s="2063">
        <f ca="1">J60</f>
        <v>208896</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2003</v>
      </c>
      <c r="K49" s="2030" t="s">
        <v>1304</v>
      </c>
      <c r="L49" s="2033"/>
      <c r="O49" s="2034" t="s">
        <v>1305</v>
      </c>
      <c r="P49" s="2027" t="s">
        <v>1306</v>
      </c>
      <c r="Q49" s="2063">
        <f ca="1">C29</f>
        <v>1661134</v>
      </c>
      <c r="R49" s="2063" t="s">
        <v>1294</v>
      </c>
    </row>
    <row r="50" spans="1:18" s="718" customFormat="1">
      <c r="A50" s="1953"/>
      <c r="B50" s="915"/>
      <c r="C50" s="1954"/>
      <c r="D50" s="1955"/>
      <c r="E50" s="1956" t="s">
        <v>1202</v>
      </c>
      <c r="F50" s="1957">
        <f ca="1">F7</f>
        <v>240.83</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38</v>
      </c>
      <c r="K51" s="2038" t="s">
        <v>1312</v>
      </c>
      <c r="L51" s="2039">
        <f ca="1">ROUND(-PV(INDIRECT("'数据-取费表'!h"&amp;$G$1),J51,(C39-C13*C76),0),0)</f>
        <v>13883444</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16</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16</v>
      </c>
      <c r="K53" s="3352" t="s">
        <v>1322</v>
      </c>
      <c r="L53" s="3353"/>
      <c r="O53" s="2026" t="s">
        <v>1147</v>
      </c>
      <c r="P53" s="2027" t="s">
        <v>1323</v>
      </c>
      <c r="Q53" s="2063">
        <f ca="1">Q47+Q48</f>
        <v>11044030</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0.36699999999999999</v>
      </c>
      <c r="K55" s="2049" t="s">
        <v>1327</v>
      </c>
      <c r="L55" s="2050"/>
      <c r="O55" s="2019" t="s">
        <v>1287</v>
      </c>
      <c r="P55" s="2020" t="s">
        <v>1288</v>
      </c>
      <c r="Q55" s="2062" t="s">
        <v>1289</v>
      </c>
      <c r="R55" s="2062" t="s">
        <v>1290</v>
      </c>
    </row>
    <row r="56" spans="1:18" s="718" customFormat="1" ht="36" customHeight="1">
      <c r="A56" s="1965">
        <v>2</v>
      </c>
      <c r="B56" s="1966" t="s">
        <v>1211</v>
      </c>
      <c r="C56" s="376">
        <f ca="1">C13</f>
        <v>1229239</v>
      </c>
      <c r="D56" s="1967"/>
      <c r="E56" s="1968"/>
      <c r="F56" s="1964"/>
      <c r="I56" s="2051" t="s">
        <v>1328</v>
      </c>
      <c r="J56" s="2052" t="s">
        <v>534</v>
      </c>
      <c r="K56" s="2028" t="s">
        <v>1329</v>
      </c>
      <c r="L56" s="2031" t="str">
        <f ca="1">IF(L48&lt;J51,"——",L48-J51)</f>
        <v>——</v>
      </c>
      <c r="O56" s="2026" t="s">
        <v>1044</v>
      </c>
      <c r="P56" s="2027" t="s">
        <v>1293</v>
      </c>
      <c r="Q56" s="2063">
        <f ca="1">C40+J29</f>
        <v>10835134</v>
      </c>
      <c r="R56" s="2063" t="s">
        <v>1294</v>
      </c>
    </row>
    <row r="57" spans="1:18" s="718" customFormat="1" ht="24">
      <c r="A57" s="1969"/>
      <c r="B57" s="1970" t="s">
        <v>1274</v>
      </c>
      <c r="C57" s="386">
        <f ca="1">C29</f>
        <v>1661134</v>
      </c>
      <c r="D57" s="1971"/>
      <c r="E57" s="1972"/>
      <c r="F57" s="1973"/>
      <c r="I57" s="2053" t="s">
        <v>1330</v>
      </c>
      <c r="J57" s="2054">
        <f ca="1">IF(OR(M47="住宅",J51&lt;L48,J56="是"),"——",J51-L48)</f>
        <v>22</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10150</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f ca="1">IF(OR(M47="住宅",J51&lt;L48,J56="是"),"——",ROUND(C29*J58,0))</f>
        <v>664454</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6">
      <c r="A60" s="1877" t="s">
        <v>962</v>
      </c>
      <c r="B60" s="1970" t="s">
        <v>1230</v>
      </c>
      <c r="C60" s="950" t="str">
        <f>IF(项目基本情况!B11="自然人","——",ROUND(C48*F60/(1+'数据-取费表'!C42),0))</f>
        <v>——</v>
      </c>
      <c r="D60" s="1978" t="s">
        <v>1231</v>
      </c>
      <c r="E60" s="1970" t="s">
        <v>1218</v>
      </c>
      <c r="F60" s="1892">
        <f t="shared" ref="F60:F66" si="0">F32</f>
        <v>5.6000000000000001E-2</v>
      </c>
      <c r="I60" s="2056" t="s">
        <v>1339</v>
      </c>
      <c r="J60" s="2057">
        <f ca="1">IF(OR(M47="住宅",J51&lt;L48,J56="是"),"0",ROUND(J59/(1+J52)^J53,0))</f>
        <v>208896</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IF(项目基本情况!B11="自然人","——",IF(D61="按租金收入计税",ROUND(C49*F61/(1+'数据-取费表'!C42),0),IF(D61="按房产原值计税",ROUND(C57*F61*0.7,0),INDIRECT("'数据-取费表'!Aj"&amp;$G$1))))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IF(项目基本情况!B11="自然人","——",ROUND(F62*F63,0))</f>
        <v>——</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10835134</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8306</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1844</v>
      </c>
      <c r="D65" s="1978" t="s">
        <v>1251</v>
      </c>
      <c r="E65" s="1970" t="s">
        <v>1218</v>
      </c>
      <c r="F65" s="1914">
        <f t="shared" ca="1" si="0"/>
        <v>1.5E-3</v>
      </c>
      <c r="I65" s="2059" t="s">
        <v>1352</v>
      </c>
      <c r="J65" s="1139">
        <v>40</v>
      </c>
      <c r="K65" s="1139">
        <v>30</v>
      </c>
      <c r="L65" s="1139">
        <v>50</v>
      </c>
      <c r="M65" s="2061">
        <v>0.02</v>
      </c>
      <c r="O65" s="2026" t="s">
        <v>1044</v>
      </c>
      <c r="P65" s="2027" t="s">
        <v>1293</v>
      </c>
      <c r="Q65" s="2063">
        <f ca="1">C40+J29</f>
        <v>10835134</v>
      </c>
      <c r="R65" s="2063" t="s">
        <v>1294</v>
      </c>
    </row>
    <row r="66" spans="1:18" s="718" customFormat="1" ht="15.6">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24">
      <c r="A67" s="1965" t="s">
        <v>1257</v>
      </c>
      <c r="B67" s="2065" t="s">
        <v>1258</v>
      </c>
      <c r="C67" s="949">
        <f ca="1">C48-C58</f>
        <v>-10150</v>
      </c>
      <c r="D67" s="1977" t="s">
        <v>1259</v>
      </c>
      <c r="E67" s="2066"/>
      <c r="F67" s="2067"/>
      <c r="O67" s="2034" t="s">
        <v>1305</v>
      </c>
      <c r="P67" s="2027" t="s">
        <v>1336</v>
      </c>
      <c r="Q67" s="2087">
        <f ca="1">L51</f>
        <v>13883444</v>
      </c>
      <c r="R67" s="2063" t="s">
        <v>1353</v>
      </c>
    </row>
    <row r="68" spans="1:18" s="718" customFormat="1" ht="15.6">
      <c r="A68" s="2068" t="s">
        <v>1263</v>
      </c>
      <c r="B68" s="2069" t="s">
        <v>1280</v>
      </c>
      <c r="C68" s="1919">
        <f ca="1">ROUND(C67*(1-((1+F70)/(1+F68))^F69)/(F68-F70),0)</f>
        <v>-106191</v>
      </c>
      <c r="D68" s="1980" t="s">
        <v>1265</v>
      </c>
      <c r="E68" s="1970" t="s">
        <v>1266</v>
      </c>
      <c r="F68" s="1856">
        <f ca="1">F40</f>
        <v>5.5E-2</v>
      </c>
      <c r="O68" s="2034" t="s">
        <v>1309</v>
      </c>
      <c r="P68" s="2086" t="s">
        <v>1354</v>
      </c>
      <c r="Q68" s="2063">
        <f ca="1">ROUND(Q69-Q70*Q71,0)</f>
        <v>823069</v>
      </c>
      <c r="R68" s="2063" t="s">
        <v>1355</v>
      </c>
    </row>
    <row r="69" spans="1:18" s="718" customFormat="1">
      <c r="A69" s="2070"/>
      <c r="B69" s="2071"/>
      <c r="C69" s="1855"/>
      <c r="D69" s="2072" t="s">
        <v>1269</v>
      </c>
      <c r="E69" s="1970" t="s">
        <v>1270</v>
      </c>
      <c r="F69" s="1923">
        <f ca="1">F41</f>
        <v>16</v>
      </c>
      <c r="O69" s="2034" t="s">
        <v>1356</v>
      </c>
      <c r="P69" s="2086" t="s">
        <v>1357</v>
      </c>
      <c r="Q69" s="2063">
        <f ca="1">C39</f>
        <v>909116</v>
      </c>
      <c r="R69" s="2063" t="s">
        <v>1294</v>
      </c>
    </row>
    <row r="70" spans="1:18" s="718" customFormat="1">
      <c r="A70" s="2073"/>
      <c r="B70" s="2074"/>
      <c r="C70" s="1874"/>
      <c r="D70" s="1982"/>
      <c r="E70" s="1970" t="s">
        <v>1273</v>
      </c>
      <c r="F70" s="1960"/>
      <c r="O70" s="2034" t="s">
        <v>1358</v>
      </c>
      <c r="P70" s="2086" t="s">
        <v>1359</v>
      </c>
      <c r="Q70" s="2063">
        <f ca="1">C13</f>
        <v>1229239</v>
      </c>
      <c r="R70" s="2063" t="s">
        <v>1294</v>
      </c>
    </row>
    <row r="71" spans="1:18" s="718" customFormat="1">
      <c r="A71" s="2075" t="s">
        <v>1275</v>
      </c>
      <c r="B71" s="2076" t="s">
        <v>1281</v>
      </c>
      <c r="C71" s="1926">
        <f ca="1">ROUND(C68/F71,0)</f>
        <v>-441</v>
      </c>
      <c r="D71" s="2077" t="s">
        <v>1282</v>
      </c>
      <c r="E71" s="2078" t="s">
        <v>1283</v>
      </c>
      <c r="F71" s="1929">
        <f ca="1">F43</f>
        <v>240.83</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6">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86047</v>
      </c>
      <c r="D75" s="718"/>
      <c r="E75" s="718"/>
      <c r="F75" s="718"/>
      <c r="K75" s="2013"/>
      <c r="L75" s="718"/>
      <c r="O75" s="2026" t="s">
        <v>1147</v>
      </c>
      <c r="P75" s="2027" t="s">
        <v>1323</v>
      </c>
      <c r="Q75" s="2063">
        <f ca="1">Q65+Q66</f>
        <v>10835134</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0.90500000000000003</v>
      </c>
    </row>
    <row r="80" spans="1:18">
      <c r="B80" s="2080" t="s">
        <v>1369</v>
      </c>
      <c r="C80" s="419">
        <f ca="1">ROUND(C75/C39,3)</f>
        <v>9.5000000000000001E-2</v>
      </c>
    </row>
    <row r="81" spans="2:3">
      <c r="B81" s="416" t="s">
        <v>1370</v>
      </c>
      <c r="C81" s="386"/>
    </row>
    <row r="82" spans="2:3">
      <c r="B82" s="418" t="s">
        <v>1123</v>
      </c>
      <c r="C82" s="420">
        <f ca="1">1-C83</f>
        <v>0.88700000000000001</v>
      </c>
    </row>
    <row r="83" spans="2:3">
      <c r="B83" s="418" t="s">
        <v>1124</v>
      </c>
      <c r="C83" s="419">
        <f ca="1">ROUND(C13/C40,3)</f>
        <v>0.113</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9" sqref="F39:F48"/>
    </sheetView>
  </sheetViews>
  <sheetFormatPr defaultColWidth="9" defaultRowHeight="13.2" customHeight="1"/>
  <cols>
    <col min="1" max="1" width="9.44140625" style="1646" customWidth="1"/>
    <col min="2" max="2" width="8.88671875" style="1646"/>
    <col min="3" max="5" width="12.88671875" style="1646" customWidth="1"/>
    <col min="6" max="6" width="47.44140625" style="1646" customWidth="1"/>
    <col min="7" max="7" width="13" style="1647" customWidth="1"/>
    <col min="8" max="8" width="8.88671875" style="1647"/>
    <col min="9" max="9" width="8.88671875" style="1648"/>
    <col min="10" max="10" width="5.77734375" style="1649" customWidth="1"/>
    <col min="11" max="11" width="11.77734375" style="1649" customWidth="1"/>
    <col min="12" max="13" width="10.77734375" style="1649" customWidth="1"/>
    <col min="14" max="14" width="10" style="1649" customWidth="1"/>
    <col min="15" max="16" width="10.44140625" style="1649" customWidth="1"/>
    <col min="17" max="17" width="10" style="1649" customWidth="1"/>
    <col min="18" max="18" width="10.109375" style="1649" customWidth="1"/>
    <col min="19" max="19" width="10" style="1649" customWidth="1"/>
    <col min="20" max="20" width="26.109375" style="1649" customWidth="1"/>
    <col min="21" max="21" width="8.88671875" style="1649"/>
    <col min="22" max="22" width="8.88671875" style="1648"/>
    <col min="23" max="256" width="8.88671875" style="1646"/>
    <col min="257" max="257" width="9.44140625" style="1646" customWidth="1"/>
    <col min="258" max="258" width="8.88671875" style="1646"/>
    <col min="259" max="261" width="12.88671875" style="1646" customWidth="1"/>
    <col min="262" max="262" width="47.44140625" style="1646" customWidth="1"/>
    <col min="263" max="263" width="13" style="1646" customWidth="1"/>
    <col min="264" max="265" width="8.88671875" style="1646"/>
    <col min="266" max="266" width="5.77734375" style="1646" customWidth="1"/>
    <col min="267" max="267" width="11.77734375" style="1646" customWidth="1"/>
    <col min="268" max="269" width="10.77734375" style="1646" customWidth="1"/>
    <col min="270" max="270" width="10" style="1646" customWidth="1"/>
    <col min="271" max="272" width="10.44140625" style="1646" customWidth="1"/>
    <col min="273" max="273" width="10" style="1646" customWidth="1"/>
    <col min="274" max="274" width="10.109375" style="1646" customWidth="1"/>
    <col min="275" max="275" width="10" style="1646" customWidth="1"/>
    <col min="276" max="276" width="26.109375" style="1646" customWidth="1"/>
    <col min="277" max="512" width="8.88671875" style="1646"/>
    <col min="513" max="513" width="9.44140625" style="1646" customWidth="1"/>
    <col min="514" max="514" width="8.88671875" style="1646"/>
    <col min="515" max="517" width="12.88671875" style="1646" customWidth="1"/>
    <col min="518" max="518" width="47.44140625" style="1646" customWidth="1"/>
    <col min="519" max="519" width="13" style="1646" customWidth="1"/>
    <col min="520" max="521" width="8.88671875" style="1646"/>
    <col min="522" max="522" width="5.77734375" style="1646" customWidth="1"/>
    <col min="523" max="523" width="11.77734375" style="1646" customWidth="1"/>
    <col min="524" max="525" width="10.77734375" style="1646" customWidth="1"/>
    <col min="526" max="526" width="10" style="1646" customWidth="1"/>
    <col min="527" max="528" width="10.44140625" style="1646" customWidth="1"/>
    <col min="529" max="529" width="10" style="1646" customWidth="1"/>
    <col min="530" max="530" width="10.109375" style="1646" customWidth="1"/>
    <col min="531" max="531" width="10" style="1646" customWidth="1"/>
    <col min="532" max="532" width="26.109375" style="1646" customWidth="1"/>
    <col min="533" max="768" width="8.88671875" style="1646"/>
    <col min="769" max="769" width="9.44140625" style="1646" customWidth="1"/>
    <col min="770" max="770" width="8.88671875" style="1646"/>
    <col min="771" max="773" width="12.88671875" style="1646" customWidth="1"/>
    <col min="774" max="774" width="47.44140625" style="1646" customWidth="1"/>
    <col min="775" max="775" width="13" style="1646" customWidth="1"/>
    <col min="776" max="777" width="8.88671875" style="1646"/>
    <col min="778" max="778" width="5.77734375" style="1646" customWidth="1"/>
    <col min="779" max="779" width="11.77734375" style="1646" customWidth="1"/>
    <col min="780" max="781" width="10.77734375" style="1646" customWidth="1"/>
    <col min="782" max="782" width="10" style="1646" customWidth="1"/>
    <col min="783" max="784" width="10.44140625" style="1646" customWidth="1"/>
    <col min="785" max="785" width="10" style="1646" customWidth="1"/>
    <col min="786" max="786" width="10.109375" style="1646" customWidth="1"/>
    <col min="787" max="787" width="10" style="1646" customWidth="1"/>
    <col min="788" max="788" width="26.109375" style="1646" customWidth="1"/>
    <col min="789" max="1024" width="8.88671875" style="1646"/>
    <col min="1025" max="1025" width="9.44140625" style="1646" customWidth="1"/>
    <col min="1026" max="1026" width="8.88671875" style="1646"/>
    <col min="1027" max="1029" width="12.88671875" style="1646" customWidth="1"/>
    <col min="1030" max="1030" width="47.44140625" style="1646" customWidth="1"/>
    <col min="1031" max="1031" width="13" style="1646" customWidth="1"/>
    <col min="1032" max="1033" width="8.88671875" style="1646"/>
    <col min="1034" max="1034" width="5.77734375" style="1646" customWidth="1"/>
    <col min="1035" max="1035" width="11.77734375" style="1646" customWidth="1"/>
    <col min="1036" max="1037" width="10.77734375" style="1646" customWidth="1"/>
    <col min="1038" max="1038" width="10" style="1646" customWidth="1"/>
    <col min="1039" max="1040" width="10.44140625" style="1646" customWidth="1"/>
    <col min="1041" max="1041" width="10" style="1646" customWidth="1"/>
    <col min="1042" max="1042" width="10.109375" style="1646" customWidth="1"/>
    <col min="1043" max="1043" width="10" style="1646" customWidth="1"/>
    <col min="1044" max="1044" width="26.109375" style="1646" customWidth="1"/>
    <col min="1045" max="1280" width="8.88671875" style="1646"/>
    <col min="1281" max="1281" width="9.44140625" style="1646" customWidth="1"/>
    <col min="1282" max="1282" width="8.88671875" style="1646"/>
    <col min="1283" max="1285" width="12.88671875" style="1646" customWidth="1"/>
    <col min="1286" max="1286" width="47.44140625" style="1646" customWidth="1"/>
    <col min="1287" max="1287" width="13" style="1646" customWidth="1"/>
    <col min="1288" max="1289" width="8.88671875" style="1646"/>
    <col min="1290" max="1290" width="5.77734375" style="1646" customWidth="1"/>
    <col min="1291" max="1291" width="11.77734375" style="1646" customWidth="1"/>
    <col min="1292" max="1293" width="10.77734375" style="1646" customWidth="1"/>
    <col min="1294" max="1294" width="10" style="1646" customWidth="1"/>
    <col min="1295" max="1296" width="10.44140625" style="1646" customWidth="1"/>
    <col min="1297" max="1297" width="10" style="1646" customWidth="1"/>
    <col min="1298" max="1298" width="10.109375" style="1646" customWidth="1"/>
    <col min="1299" max="1299" width="10" style="1646" customWidth="1"/>
    <col min="1300" max="1300" width="26.109375" style="1646" customWidth="1"/>
    <col min="1301" max="1536" width="8.88671875" style="1646"/>
    <col min="1537" max="1537" width="9.44140625" style="1646" customWidth="1"/>
    <col min="1538" max="1538" width="8.88671875" style="1646"/>
    <col min="1539" max="1541" width="12.88671875" style="1646" customWidth="1"/>
    <col min="1542" max="1542" width="47.44140625" style="1646" customWidth="1"/>
    <col min="1543" max="1543" width="13" style="1646" customWidth="1"/>
    <col min="1544" max="1545" width="8.88671875" style="1646"/>
    <col min="1546" max="1546" width="5.77734375" style="1646" customWidth="1"/>
    <col min="1547" max="1547" width="11.77734375" style="1646" customWidth="1"/>
    <col min="1548" max="1549" width="10.77734375" style="1646" customWidth="1"/>
    <col min="1550" max="1550" width="10" style="1646" customWidth="1"/>
    <col min="1551" max="1552" width="10.44140625" style="1646" customWidth="1"/>
    <col min="1553" max="1553" width="10" style="1646" customWidth="1"/>
    <col min="1554" max="1554" width="10.109375" style="1646" customWidth="1"/>
    <col min="1555" max="1555" width="10" style="1646" customWidth="1"/>
    <col min="1556" max="1556" width="26.109375" style="1646" customWidth="1"/>
    <col min="1557" max="1792" width="8.88671875" style="1646"/>
    <col min="1793" max="1793" width="9.44140625" style="1646" customWidth="1"/>
    <col min="1794" max="1794" width="8.88671875" style="1646"/>
    <col min="1795" max="1797" width="12.88671875" style="1646" customWidth="1"/>
    <col min="1798" max="1798" width="47.44140625" style="1646" customWidth="1"/>
    <col min="1799" max="1799" width="13" style="1646" customWidth="1"/>
    <col min="1800" max="1801" width="8.88671875" style="1646"/>
    <col min="1802" max="1802" width="5.77734375" style="1646" customWidth="1"/>
    <col min="1803" max="1803" width="11.77734375" style="1646" customWidth="1"/>
    <col min="1804" max="1805" width="10.77734375" style="1646" customWidth="1"/>
    <col min="1806" max="1806" width="10" style="1646" customWidth="1"/>
    <col min="1807" max="1808" width="10.44140625" style="1646" customWidth="1"/>
    <col min="1809" max="1809" width="10" style="1646" customWidth="1"/>
    <col min="1810" max="1810" width="10.109375" style="1646" customWidth="1"/>
    <col min="1811" max="1811" width="10" style="1646" customWidth="1"/>
    <col min="1812" max="1812" width="26.109375" style="1646" customWidth="1"/>
    <col min="1813" max="2048" width="8.88671875" style="1646"/>
    <col min="2049" max="2049" width="9.44140625" style="1646" customWidth="1"/>
    <col min="2050" max="2050" width="8.88671875" style="1646"/>
    <col min="2051" max="2053" width="12.88671875" style="1646" customWidth="1"/>
    <col min="2054" max="2054" width="47.44140625" style="1646" customWidth="1"/>
    <col min="2055" max="2055" width="13" style="1646" customWidth="1"/>
    <col min="2056" max="2057" width="8.88671875" style="1646"/>
    <col min="2058" max="2058" width="5.77734375" style="1646" customWidth="1"/>
    <col min="2059" max="2059" width="11.77734375" style="1646" customWidth="1"/>
    <col min="2060" max="2061" width="10.77734375" style="1646" customWidth="1"/>
    <col min="2062" max="2062" width="10" style="1646" customWidth="1"/>
    <col min="2063" max="2064" width="10.44140625" style="1646" customWidth="1"/>
    <col min="2065" max="2065" width="10" style="1646" customWidth="1"/>
    <col min="2066" max="2066" width="10.109375" style="1646" customWidth="1"/>
    <col min="2067" max="2067" width="10" style="1646" customWidth="1"/>
    <col min="2068" max="2068" width="26.109375" style="1646" customWidth="1"/>
    <col min="2069" max="2304" width="8.88671875" style="1646"/>
    <col min="2305" max="2305" width="9.44140625" style="1646" customWidth="1"/>
    <col min="2306" max="2306" width="8.88671875" style="1646"/>
    <col min="2307" max="2309" width="12.88671875" style="1646" customWidth="1"/>
    <col min="2310" max="2310" width="47.44140625" style="1646" customWidth="1"/>
    <col min="2311" max="2311" width="13" style="1646" customWidth="1"/>
    <col min="2312" max="2313" width="8.88671875" style="1646"/>
    <col min="2314" max="2314" width="5.77734375" style="1646" customWidth="1"/>
    <col min="2315" max="2315" width="11.77734375" style="1646" customWidth="1"/>
    <col min="2316" max="2317" width="10.77734375" style="1646" customWidth="1"/>
    <col min="2318" max="2318" width="10" style="1646" customWidth="1"/>
    <col min="2319" max="2320" width="10.44140625" style="1646" customWidth="1"/>
    <col min="2321" max="2321" width="10" style="1646" customWidth="1"/>
    <col min="2322" max="2322" width="10.109375" style="1646" customWidth="1"/>
    <col min="2323" max="2323" width="10" style="1646" customWidth="1"/>
    <col min="2324" max="2324" width="26.109375" style="1646" customWidth="1"/>
    <col min="2325" max="2560" width="8.88671875" style="1646"/>
    <col min="2561" max="2561" width="9.44140625" style="1646" customWidth="1"/>
    <col min="2562" max="2562" width="8.88671875" style="1646"/>
    <col min="2563" max="2565" width="12.88671875" style="1646" customWidth="1"/>
    <col min="2566" max="2566" width="47.44140625" style="1646" customWidth="1"/>
    <col min="2567" max="2567" width="13" style="1646" customWidth="1"/>
    <col min="2568" max="2569" width="8.88671875" style="1646"/>
    <col min="2570" max="2570" width="5.77734375" style="1646" customWidth="1"/>
    <col min="2571" max="2571" width="11.77734375" style="1646" customWidth="1"/>
    <col min="2572" max="2573" width="10.77734375" style="1646" customWidth="1"/>
    <col min="2574" max="2574" width="10" style="1646" customWidth="1"/>
    <col min="2575" max="2576" width="10.44140625" style="1646" customWidth="1"/>
    <col min="2577" max="2577" width="10" style="1646" customWidth="1"/>
    <col min="2578" max="2578" width="10.109375" style="1646" customWidth="1"/>
    <col min="2579" max="2579" width="10" style="1646" customWidth="1"/>
    <col min="2580" max="2580" width="26.109375" style="1646" customWidth="1"/>
    <col min="2581" max="2816" width="8.88671875" style="1646"/>
    <col min="2817" max="2817" width="9.44140625" style="1646" customWidth="1"/>
    <col min="2818" max="2818" width="8.88671875" style="1646"/>
    <col min="2819" max="2821" width="12.88671875" style="1646" customWidth="1"/>
    <col min="2822" max="2822" width="47.44140625" style="1646" customWidth="1"/>
    <col min="2823" max="2823" width="13" style="1646" customWidth="1"/>
    <col min="2824" max="2825" width="8.88671875" style="1646"/>
    <col min="2826" max="2826" width="5.77734375" style="1646" customWidth="1"/>
    <col min="2827" max="2827" width="11.77734375" style="1646" customWidth="1"/>
    <col min="2828" max="2829" width="10.77734375" style="1646" customWidth="1"/>
    <col min="2830" max="2830" width="10" style="1646" customWidth="1"/>
    <col min="2831" max="2832" width="10.44140625" style="1646" customWidth="1"/>
    <col min="2833" max="2833" width="10" style="1646" customWidth="1"/>
    <col min="2834" max="2834" width="10.109375" style="1646" customWidth="1"/>
    <col min="2835" max="2835" width="10" style="1646" customWidth="1"/>
    <col min="2836" max="2836" width="26.109375" style="1646" customWidth="1"/>
    <col min="2837" max="3072" width="8.88671875" style="1646"/>
    <col min="3073" max="3073" width="9.44140625" style="1646" customWidth="1"/>
    <col min="3074" max="3074" width="8.88671875" style="1646"/>
    <col min="3075" max="3077" width="12.88671875" style="1646" customWidth="1"/>
    <col min="3078" max="3078" width="47.44140625" style="1646" customWidth="1"/>
    <col min="3079" max="3079" width="13" style="1646" customWidth="1"/>
    <col min="3080" max="3081" width="8.88671875" style="1646"/>
    <col min="3082" max="3082" width="5.77734375" style="1646" customWidth="1"/>
    <col min="3083" max="3083" width="11.77734375" style="1646" customWidth="1"/>
    <col min="3084" max="3085" width="10.77734375" style="1646" customWidth="1"/>
    <col min="3086" max="3086" width="10" style="1646" customWidth="1"/>
    <col min="3087" max="3088" width="10.44140625" style="1646" customWidth="1"/>
    <col min="3089" max="3089" width="10" style="1646" customWidth="1"/>
    <col min="3090" max="3090" width="10.109375" style="1646" customWidth="1"/>
    <col min="3091" max="3091" width="10" style="1646" customWidth="1"/>
    <col min="3092" max="3092" width="26.109375" style="1646" customWidth="1"/>
    <col min="3093" max="3328" width="8.88671875" style="1646"/>
    <col min="3329" max="3329" width="9.44140625" style="1646" customWidth="1"/>
    <col min="3330" max="3330" width="8.88671875" style="1646"/>
    <col min="3331" max="3333" width="12.88671875" style="1646" customWidth="1"/>
    <col min="3334" max="3334" width="47.44140625" style="1646" customWidth="1"/>
    <col min="3335" max="3335" width="13" style="1646" customWidth="1"/>
    <col min="3336" max="3337" width="8.88671875" style="1646"/>
    <col min="3338" max="3338" width="5.77734375" style="1646" customWidth="1"/>
    <col min="3339" max="3339" width="11.77734375" style="1646" customWidth="1"/>
    <col min="3340" max="3341" width="10.77734375" style="1646" customWidth="1"/>
    <col min="3342" max="3342" width="10" style="1646" customWidth="1"/>
    <col min="3343" max="3344" width="10.44140625" style="1646" customWidth="1"/>
    <col min="3345" max="3345" width="10" style="1646" customWidth="1"/>
    <col min="3346" max="3346" width="10.109375" style="1646" customWidth="1"/>
    <col min="3347" max="3347" width="10" style="1646" customWidth="1"/>
    <col min="3348" max="3348" width="26.109375" style="1646" customWidth="1"/>
    <col min="3349" max="3584" width="8.88671875" style="1646"/>
    <col min="3585" max="3585" width="9.44140625" style="1646" customWidth="1"/>
    <col min="3586" max="3586" width="8.88671875" style="1646"/>
    <col min="3587" max="3589" width="12.88671875" style="1646" customWidth="1"/>
    <col min="3590" max="3590" width="47.44140625" style="1646" customWidth="1"/>
    <col min="3591" max="3591" width="13" style="1646" customWidth="1"/>
    <col min="3592" max="3593" width="8.88671875" style="1646"/>
    <col min="3594" max="3594" width="5.77734375" style="1646" customWidth="1"/>
    <col min="3595" max="3595" width="11.77734375" style="1646" customWidth="1"/>
    <col min="3596" max="3597" width="10.77734375" style="1646" customWidth="1"/>
    <col min="3598" max="3598" width="10" style="1646" customWidth="1"/>
    <col min="3599" max="3600" width="10.44140625" style="1646" customWidth="1"/>
    <col min="3601" max="3601" width="10" style="1646" customWidth="1"/>
    <col min="3602" max="3602" width="10.109375" style="1646" customWidth="1"/>
    <col min="3603" max="3603" width="10" style="1646" customWidth="1"/>
    <col min="3604" max="3604" width="26.109375" style="1646" customWidth="1"/>
    <col min="3605" max="3840" width="8.88671875" style="1646"/>
    <col min="3841" max="3841" width="9.44140625" style="1646" customWidth="1"/>
    <col min="3842" max="3842" width="8.88671875" style="1646"/>
    <col min="3843" max="3845" width="12.88671875" style="1646" customWidth="1"/>
    <col min="3846" max="3846" width="47.44140625" style="1646" customWidth="1"/>
    <col min="3847" max="3847" width="13" style="1646" customWidth="1"/>
    <col min="3848" max="3849" width="8.88671875" style="1646"/>
    <col min="3850" max="3850" width="5.77734375" style="1646" customWidth="1"/>
    <col min="3851" max="3851" width="11.77734375" style="1646" customWidth="1"/>
    <col min="3852" max="3853" width="10.77734375" style="1646" customWidth="1"/>
    <col min="3854" max="3854" width="10" style="1646" customWidth="1"/>
    <col min="3855" max="3856" width="10.44140625" style="1646" customWidth="1"/>
    <col min="3857" max="3857" width="10" style="1646" customWidth="1"/>
    <col min="3858" max="3858" width="10.109375" style="1646" customWidth="1"/>
    <col min="3859" max="3859" width="10" style="1646" customWidth="1"/>
    <col min="3860" max="3860" width="26.109375" style="1646" customWidth="1"/>
    <col min="3861" max="4096" width="8.88671875" style="1646"/>
    <col min="4097" max="4097" width="9.44140625" style="1646" customWidth="1"/>
    <col min="4098" max="4098" width="8.88671875" style="1646"/>
    <col min="4099" max="4101" width="12.88671875" style="1646" customWidth="1"/>
    <col min="4102" max="4102" width="47.44140625" style="1646" customWidth="1"/>
    <col min="4103" max="4103" width="13" style="1646" customWidth="1"/>
    <col min="4104" max="4105" width="8.88671875" style="1646"/>
    <col min="4106" max="4106" width="5.77734375" style="1646" customWidth="1"/>
    <col min="4107" max="4107" width="11.77734375" style="1646" customWidth="1"/>
    <col min="4108" max="4109" width="10.77734375" style="1646" customWidth="1"/>
    <col min="4110" max="4110" width="10" style="1646" customWidth="1"/>
    <col min="4111" max="4112" width="10.44140625" style="1646" customWidth="1"/>
    <col min="4113" max="4113" width="10" style="1646" customWidth="1"/>
    <col min="4114" max="4114" width="10.109375" style="1646" customWidth="1"/>
    <col min="4115" max="4115" width="10" style="1646" customWidth="1"/>
    <col min="4116" max="4116" width="26.109375" style="1646" customWidth="1"/>
    <col min="4117" max="4352" width="8.88671875" style="1646"/>
    <col min="4353" max="4353" width="9.44140625" style="1646" customWidth="1"/>
    <col min="4354" max="4354" width="8.88671875" style="1646"/>
    <col min="4355" max="4357" width="12.88671875" style="1646" customWidth="1"/>
    <col min="4358" max="4358" width="47.44140625" style="1646" customWidth="1"/>
    <col min="4359" max="4359" width="13" style="1646" customWidth="1"/>
    <col min="4360" max="4361" width="8.88671875" style="1646"/>
    <col min="4362" max="4362" width="5.77734375" style="1646" customWidth="1"/>
    <col min="4363" max="4363" width="11.77734375" style="1646" customWidth="1"/>
    <col min="4364" max="4365" width="10.77734375" style="1646" customWidth="1"/>
    <col min="4366" max="4366" width="10" style="1646" customWidth="1"/>
    <col min="4367" max="4368" width="10.44140625" style="1646" customWidth="1"/>
    <col min="4369" max="4369" width="10" style="1646" customWidth="1"/>
    <col min="4370" max="4370" width="10.109375" style="1646" customWidth="1"/>
    <col min="4371" max="4371" width="10" style="1646" customWidth="1"/>
    <col min="4372" max="4372" width="26.109375" style="1646" customWidth="1"/>
    <col min="4373" max="4608" width="8.88671875" style="1646"/>
    <col min="4609" max="4609" width="9.44140625" style="1646" customWidth="1"/>
    <col min="4610" max="4610" width="8.88671875" style="1646"/>
    <col min="4611" max="4613" width="12.88671875" style="1646" customWidth="1"/>
    <col min="4614" max="4614" width="47.44140625" style="1646" customWidth="1"/>
    <col min="4615" max="4615" width="13" style="1646" customWidth="1"/>
    <col min="4616" max="4617" width="8.88671875" style="1646"/>
    <col min="4618" max="4618" width="5.77734375" style="1646" customWidth="1"/>
    <col min="4619" max="4619" width="11.77734375" style="1646" customWidth="1"/>
    <col min="4620" max="4621" width="10.77734375" style="1646" customWidth="1"/>
    <col min="4622" max="4622" width="10" style="1646" customWidth="1"/>
    <col min="4623" max="4624" width="10.44140625" style="1646" customWidth="1"/>
    <col min="4625" max="4625" width="10" style="1646" customWidth="1"/>
    <col min="4626" max="4626" width="10.109375" style="1646" customWidth="1"/>
    <col min="4627" max="4627" width="10" style="1646" customWidth="1"/>
    <col min="4628" max="4628" width="26.109375" style="1646" customWidth="1"/>
    <col min="4629" max="4864" width="8.88671875" style="1646"/>
    <col min="4865" max="4865" width="9.44140625" style="1646" customWidth="1"/>
    <col min="4866" max="4866" width="8.88671875" style="1646"/>
    <col min="4867" max="4869" width="12.88671875" style="1646" customWidth="1"/>
    <col min="4870" max="4870" width="47.44140625" style="1646" customWidth="1"/>
    <col min="4871" max="4871" width="13" style="1646" customWidth="1"/>
    <col min="4872" max="4873" width="8.88671875" style="1646"/>
    <col min="4874" max="4874" width="5.77734375" style="1646" customWidth="1"/>
    <col min="4875" max="4875" width="11.77734375" style="1646" customWidth="1"/>
    <col min="4876" max="4877" width="10.77734375" style="1646" customWidth="1"/>
    <col min="4878" max="4878" width="10" style="1646" customWidth="1"/>
    <col min="4879" max="4880" width="10.44140625" style="1646" customWidth="1"/>
    <col min="4881" max="4881" width="10" style="1646" customWidth="1"/>
    <col min="4882" max="4882" width="10.109375" style="1646" customWidth="1"/>
    <col min="4883" max="4883" width="10" style="1646" customWidth="1"/>
    <col min="4884" max="4884" width="26.109375" style="1646" customWidth="1"/>
    <col min="4885" max="5120" width="8.88671875" style="1646"/>
    <col min="5121" max="5121" width="9.44140625" style="1646" customWidth="1"/>
    <col min="5122" max="5122" width="8.88671875" style="1646"/>
    <col min="5123" max="5125" width="12.88671875" style="1646" customWidth="1"/>
    <col min="5126" max="5126" width="47.44140625" style="1646" customWidth="1"/>
    <col min="5127" max="5127" width="13" style="1646" customWidth="1"/>
    <col min="5128" max="5129" width="8.88671875" style="1646"/>
    <col min="5130" max="5130" width="5.77734375" style="1646" customWidth="1"/>
    <col min="5131" max="5131" width="11.77734375" style="1646" customWidth="1"/>
    <col min="5132" max="5133" width="10.77734375" style="1646" customWidth="1"/>
    <col min="5134" max="5134" width="10" style="1646" customWidth="1"/>
    <col min="5135" max="5136" width="10.44140625" style="1646" customWidth="1"/>
    <col min="5137" max="5137" width="10" style="1646" customWidth="1"/>
    <col min="5138" max="5138" width="10.109375" style="1646" customWidth="1"/>
    <col min="5139" max="5139" width="10" style="1646" customWidth="1"/>
    <col min="5140" max="5140" width="26.109375" style="1646" customWidth="1"/>
    <col min="5141" max="5376" width="8.88671875" style="1646"/>
    <col min="5377" max="5377" width="9.44140625" style="1646" customWidth="1"/>
    <col min="5378" max="5378" width="8.88671875" style="1646"/>
    <col min="5379" max="5381" width="12.88671875" style="1646" customWidth="1"/>
    <col min="5382" max="5382" width="47.44140625" style="1646" customWidth="1"/>
    <col min="5383" max="5383" width="13" style="1646" customWidth="1"/>
    <col min="5384" max="5385" width="8.88671875" style="1646"/>
    <col min="5386" max="5386" width="5.77734375" style="1646" customWidth="1"/>
    <col min="5387" max="5387" width="11.77734375" style="1646" customWidth="1"/>
    <col min="5388" max="5389" width="10.77734375" style="1646" customWidth="1"/>
    <col min="5390" max="5390" width="10" style="1646" customWidth="1"/>
    <col min="5391" max="5392" width="10.44140625" style="1646" customWidth="1"/>
    <col min="5393" max="5393" width="10" style="1646" customWidth="1"/>
    <col min="5394" max="5394" width="10.109375" style="1646" customWidth="1"/>
    <col min="5395" max="5395" width="10" style="1646" customWidth="1"/>
    <col min="5396" max="5396" width="26.109375" style="1646" customWidth="1"/>
    <col min="5397" max="5632" width="8.88671875" style="1646"/>
    <col min="5633" max="5633" width="9.44140625" style="1646" customWidth="1"/>
    <col min="5634" max="5634" width="8.88671875" style="1646"/>
    <col min="5635" max="5637" width="12.88671875" style="1646" customWidth="1"/>
    <col min="5638" max="5638" width="47.44140625" style="1646" customWidth="1"/>
    <col min="5639" max="5639" width="13" style="1646" customWidth="1"/>
    <col min="5640" max="5641" width="8.88671875" style="1646"/>
    <col min="5642" max="5642" width="5.77734375" style="1646" customWidth="1"/>
    <col min="5643" max="5643" width="11.77734375" style="1646" customWidth="1"/>
    <col min="5644" max="5645" width="10.77734375" style="1646" customWidth="1"/>
    <col min="5646" max="5646" width="10" style="1646" customWidth="1"/>
    <col min="5647" max="5648" width="10.44140625" style="1646" customWidth="1"/>
    <col min="5649" max="5649" width="10" style="1646" customWidth="1"/>
    <col min="5650" max="5650" width="10.109375" style="1646" customWidth="1"/>
    <col min="5651" max="5651" width="10" style="1646" customWidth="1"/>
    <col min="5652" max="5652" width="26.109375" style="1646" customWidth="1"/>
    <col min="5653" max="5888" width="8.88671875" style="1646"/>
    <col min="5889" max="5889" width="9.44140625" style="1646" customWidth="1"/>
    <col min="5890" max="5890" width="8.88671875" style="1646"/>
    <col min="5891" max="5893" width="12.88671875" style="1646" customWidth="1"/>
    <col min="5894" max="5894" width="47.44140625" style="1646" customWidth="1"/>
    <col min="5895" max="5895" width="13" style="1646" customWidth="1"/>
    <col min="5896" max="5897" width="8.88671875" style="1646"/>
    <col min="5898" max="5898" width="5.77734375" style="1646" customWidth="1"/>
    <col min="5899" max="5899" width="11.77734375" style="1646" customWidth="1"/>
    <col min="5900" max="5901" width="10.77734375" style="1646" customWidth="1"/>
    <col min="5902" max="5902" width="10" style="1646" customWidth="1"/>
    <col min="5903" max="5904" width="10.44140625" style="1646" customWidth="1"/>
    <col min="5905" max="5905" width="10" style="1646" customWidth="1"/>
    <col min="5906" max="5906" width="10.109375" style="1646" customWidth="1"/>
    <col min="5907" max="5907" width="10" style="1646" customWidth="1"/>
    <col min="5908" max="5908" width="26.109375" style="1646" customWidth="1"/>
    <col min="5909" max="6144" width="8.88671875" style="1646"/>
    <col min="6145" max="6145" width="9.44140625" style="1646" customWidth="1"/>
    <col min="6146" max="6146" width="8.88671875" style="1646"/>
    <col min="6147" max="6149" width="12.88671875" style="1646" customWidth="1"/>
    <col min="6150" max="6150" width="47.44140625" style="1646" customWidth="1"/>
    <col min="6151" max="6151" width="13" style="1646" customWidth="1"/>
    <col min="6152" max="6153" width="8.88671875" style="1646"/>
    <col min="6154" max="6154" width="5.77734375" style="1646" customWidth="1"/>
    <col min="6155" max="6155" width="11.77734375" style="1646" customWidth="1"/>
    <col min="6156" max="6157" width="10.77734375" style="1646" customWidth="1"/>
    <col min="6158" max="6158" width="10" style="1646" customWidth="1"/>
    <col min="6159" max="6160" width="10.44140625" style="1646" customWidth="1"/>
    <col min="6161" max="6161" width="10" style="1646" customWidth="1"/>
    <col min="6162" max="6162" width="10.109375" style="1646" customWidth="1"/>
    <col min="6163" max="6163" width="10" style="1646" customWidth="1"/>
    <col min="6164" max="6164" width="26.109375" style="1646" customWidth="1"/>
    <col min="6165" max="6400" width="8.88671875" style="1646"/>
    <col min="6401" max="6401" width="9.44140625" style="1646" customWidth="1"/>
    <col min="6402" max="6402" width="8.88671875" style="1646"/>
    <col min="6403" max="6405" width="12.88671875" style="1646" customWidth="1"/>
    <col min="6406" max="6406" width="47.44140625" style="1646" customWidth="1"/>
    <col min="6407" max="6407" width="13" style="1646" customWidth="1"/>
    <col min="6408" max="6409" width="8.88671875" style="1646"/>
    <col min="6410" max="6410" width="5.77734375" style="1646" customWidth="1"/>
    <col min="6411" max="6411" width="11.77734375" style="1646" customWidth="1"/>
    <col min="6412" max="6413" width="10.77734375" style="1646" customWidth="1"/>
    <col min="6414" max="6414" width="10" style="1646" customWidth="1"/>
    <col min="6415" max="6416" width="10.44140625" style="1646" customWidth="1"/>
    <col min="6417" max="6417" width="10" style="1646" customWidth="1"/>
    <col min="6418" max="6418" width="10.109375" style="1646" customWidth="1"/>
    <col min="6419" max="6419" width="10" style="1646" customWidth="1"/>
    <col min="6420" max="6420" width="26.109375" style="1646" customWidth="1"/>
    <col min="6421" max="6656" width="8.88671875" style="1646"/>
    <col min="6657" max="6657" width="9.44140625" style="1646" customWidth="1"/>
    <col min="6658" max="6658" width="8.88671875" style="1646"/>
    <col min="6659" max="6661" width="12.88671875" style="1646" customWidth="1"/>
    <col min="6662" max="6662" width="47.44140625" style="1646" customWidth="1"/>
    <col min="6663" max="6663" width="13" style="1646" customWidth="1"/>
    <col min="6664" max="6665" width="8.88671875" style="1646"/>
    <col min="6666" max="6666" width="5.77734375" style="1646" customWidth="1"/>
    <col min="6667" max="6667" width="11.77734375" style="1646" customWidth="1"/>
    <col min="6668" max="6669" width="10.77734375" style="1646" customWidth="1"/>
    <col min="6670" max="6670" width="10" style="1646" customWidth="1"/>
    <col min="6671" max="6672" width="10.44140625" style="1646" customWidth="1"/>
    <col min="6673" max="6673" width="10" style="1646" customWidth="1"/>
    <col min="6674" max="6674" width="10.109375" style="1646" customWidth="1"/>
    <col min="6675" max="6675" width="10" style="1646" customWidth="1"/>
    <col min="6676" max="6676" width="26.109375" style="1646" customWidth="1"/>
    <col min="6677" max="6912" width="8.88671875" style="1646"/>
    <col min="6913" max="6913" width="9.44140625" style="1646" customWidth="1"/>
    <col min="6914" max="6914" width="8.88671875" style="1646"/>
    <col min="6915" max="6917" width="12.88671875" style="1646" customWidth="1"/>
    <col min="6918" max="6918" width="47.44140625" style="1646" customWidth="1"/>
    <col min="6919" max="6919" width="13" style="1646" customWidth="1"/>
    <col min="6920" max="6921" width="8.88671875" style="1646"/>
    <col min="6922" max="6922" width="5.77734375" style="1646" customWidth="1"/>
    <col min="6923" max="6923" width="11.77734375" style="1646" customWidth="1"/>
    <col min="6924" max="6925" width="10.77734375" style="1646" customWidth="1"/>
    <col min="6926" max="6926" width="10" style="1646" customWidth="1"/>
    <col min="6927" max="6928" width="10.44140625" style="1646" customWidth="1"/>
    <col min="6929" max="6929" width="10" style="1646" customWidth="1"/>
    <col min="6930" max="6930" width="10.109375" style="1646" customWidth="1"/>
    <col min="6931" max="6931" width="10" style="1646" customWidth="1"/>
    <col min="6932" max="6932" width="26.109375" style="1646" customWidth="1"/>
    <col min="6933" max="7168" width="8.88671875" style="1646"/>
    <col min="7169" max="7169" width="9.44140625" style="1646" customWidth="1"/>
    <col min="7170" max="7170" width="8.88671875" style="1646"/>
    <col min="7171" max="7173" width="12.88671875" style="1646" customWidth="1"/>
    <col min="7174" max="7174" width="47.44140625" style="1646" customWidth="1"/>
    <col min="7175" max="7175" width="13" style="1646" customWidth="1"/>
    <col min="7176" max="7177" width="8.88671875" style="1646"/>
    <col min="7178" max="7178" width="5.77734375" style="1646" customWidth="1"/>
    <col min="7179" max="7179" width="11.77734375" style="1646" customWidth="1"/>
    <col min="7180" max="7181" width="10.77734375" style="1646" customWidth="1"/>
    <col min="7182" max="7182" width="10" style="1646" customWidth="1"/>
    <col min="7183" max="7184" width="10.44140625" style="1646" customWidth="1"/>
    <col min="7185" max="7185" width="10" style="1646" customWidth="1"/>
    <col min="7186" max="7186" width="10.109375" style="1646" customWidth="1"/>
    <col min="7187" max="7187" width="10" style="1646" customWidth="1"/>
    <col min="7188" max="7188" width="26.109375" style="1646" customWidth="1"/>
    <col min="7189" max="7424" width="8.88671875" style="1646"/>
    <col min="7425" max="7425" width="9.44140625" style="1646" customWidth="1"/>
    <col min="7426" max="7426" width="8.88671875" style="1646"/>
    <col min="7427" max="7429" width="12.88671875" style="1646" customWidth="1"/>
    <col min="7430" max="7430" width="47.44140625" style="1646" customWidth="1"/>
    <col min="7431" max="7431" width="13" style="1646" customWidth="1"/>
    <col min="7432" max="7433" width="8.88671875" style="1646"/>
    <col min="7434" max="7434" width="5.77734375" style="1646" customWidth="1"/>
    <col min="7435" max="7435" width="11.77734375" style="1646" customWidth="1"/>
    <col min="7436" max="7437" width="10.77734375" style="1646" customWidth="1"/>
    <col min="7438" max="7438" width="10" style="1646" customWidth="1"/>
    <col min="7439" max="7440" width="10.44140625" style="1646" customWidth="1"/>
    <col min="7441" max="7441" width="10" style="1646" customWidth="1"/>
    <col min="7442" max="7442" width="10.109375" style="1646" customWidth="1"/>
    <col min="7443" max="7443" width="10" style="1646" customWidth="1"/>
    <col min="7444" max="7444" width="26.109375" style="1646" customWidth="1"/>
    <col min="7445" max="7680" width="8.88671875" style="1646"/>
    <col min="7681" max="7681" width="9.44140625" style="1646" customWidth="1"/>
    <col min="7682" max="7682" width="8.88671875" style="1646"/>
    <col min="7683" max="7685" width="12.88671875" style="1646" customWidth="1"/>
    <col min="7686" max="7686" width="47.44140625" style="1646" customWidth="1"/>
    <col min="7687" max="7687" width="13" style="1646" customWidth="1"/>
    <col min="7688" max="7689" width="8.88671875" style="1646"/>
    <col min="7690" max="7690" width="5.77734375" style="1646" customWidth="1"/>
    <col min="7691" max="7691" width="11.77734375" style="1646" customWidth="1"/>
    <col min="7692" max="7693" width="10.77734375" style="1646" customWidth="1"/>
    <col min="7694" max="7694" width="10" style="1646" customWidth="1"/>
    <col min="7695" max="7696" width="10.44140625" style="1646" customWidth="1"/>
    <col min="7697" max="7697" width="10" style="1646" customWidth="1"/>
    <col min="7698" max="7698" width="10.109375" style="1646" customWidth="1"/>
    <col min="7699" max="7699" width="10" style="1646" customWidth="1"/>
    <col min="7700" max="7700" width="26.109375" style="1646" customWidth="1"/>
    <col min="7701" max="7936" width="8.88671875" style="1646"/>
    <col min="7937" max="7937" width="9.44140625" style="1646" customWidth="1"/>
    <col min="7938" max="7938" width="8.88671875" style="1646"/>
    <col min="7939" max="7941" width="12.88671875" style="1646" customWidth="1"/>
    <col min="7942" max="7942" width="47.44140625" style="1646" customWidth="1"/>
    <col min="7943" max="7943" width="13" style="1646" customWidth="1"/>
    <col min="7944" max="7945" width="8.88671875" style="1646"/>
    <col min="7946" max="7946" width="5.77734375" style="1646" customWidth="1"/>
    <col min="7947" max="7947" width="11.77734375" style="1646" customWidth="1"/>
    <col min="7948" max="7949" width="10.77734375" style="1646" customWidth="1"/>
    <col min="7950" max="7950" width="10" style="1646" customWidth="1"/>
    <col min="7951" max="7952" width="10.44140625" style="1646" customWidth="1"/>
    <col min="7953" max="7953" width="10" style="1646" customWidth="1"/>
    <col min="7954" max="7954" width="10.109375" style="1646" customWidth="1"/>
    <col min="7955" max="7955" width="10" style="1646" customWidth="1"/>
    <col min="7956" max="7956" width="26.109375" style="1646" customWidth="1"/>
    <col min="7957" max="8192" width="8.88671875" style="1646"/>
    <col min="8193" max="8193" width="9.44140625" style="1646" customWidth="1"/>
    <col min="8194" max="8194" width="8.88671875" style="1646"/>
    <col min="8195" max="8197" width="12.88671875" style="1646" customWidth="1"/>
    <col min="8198" max="8198" width="47.44140625" style="1646" customWidth="1"/>
    <col min="8199" max="8199" width="13" style="1646" customWidth="1"/>
    <col min="8200" max="8201" width="8.88671875" style="1646"/>
    <col min="8202" max="8202" width="5.77734375" style="1646" customWidth="1"/>
    <col min="8203" max="8203" width="11.77734375" style="1646" customWidth="1"/>
    <col min="8204" max="8205" width="10.77734375" style="1646" customWidth="1"/>
    <col min="8206" max="8206" width="10" style="1646" customWidth="1"/>
    <col min="8207" max="8208" width="10.44140625" style="1646" customWidth="1"/>
    <col min="8209" max="8209" width="10" style="1646" customWidth="1"/>
    <col min="8210" max="8210" width="10.109375" style="1646" customWidth="1"/>
    <col min="8211" max="8211" width="10" style="1646" customWidth="1"/>
    <col min="8212" max="8212" width="26.109375" style="1646" customWidth="1"/>
    <col min="8213" max="8448" width="8.88671875" style="1646"/>
    <col min="8449" max="8449" width="9.44140625" style="1646" customWidth="1"/>
    <col min="8450" max="8450" width="8.88671875" style="1646"/>
    <col min="8451" max="8453" width="12.88671875" style="1646" customWidth="1"/>
    <col min="8454" max="8454" width="47.44140625" style="1646" customWidth="1"/>
    <col min="8455" max="8455" width="13" style="1646" customWidth="1"/>
    <col min="8456" max="8457" width="8.88671875" style="1646"/>
    <col min="8458" max="8458" width="5.77734375" style="1646" customWidth="1"/>
    <col min="8459" max="8459" width="11.77734375" style="1646" customWidth="1"/>
    <col min="8460" max="8461" width="10.77734375" style="1646" customWidth="1"/>
    <col min="8462" max="8462" width="10" style="1646" customWidth="1"/>
    <col min="8463" max="8464" width="10.44140625" style="1646" customWidth="1"/>
    <col min="8465" max="8465" width="10" style="1646" customWidth="1"/>
    <col min="8466" max="8466" width="10.109375" style="1646" customWidth="1"/>
    <col min="8467" max="8467" width="10" style="1646" customWidth="1"/>
    <col min="8468" max="8468" width="26.109375" style="1646" customWidth="1"/>
    <col min="8469" max="8704" width="8.88671875" style="1646"/>
    <col min="8705" max="8705" width="9.44140625" style="1646" customWidth="1"/>
    <col min="8706" max="8706" width="8.88671875" style="1646"/>
    <col min="8707" max="8709" width="12.88671875" style="1646" customWidth="1"/>
    <col min="8710" max="8710" width="47.44140625" style="1646" customWidth="1"/>
    <col min="8711" max="8711" width="13" style="1646" customWidth="1"/>
    <col min="8712" max="8713" width="8.88671875" style="1646"/>
    <col min="8714" max="8714" width="5.77734375" style="1646" customWidth="1"/>
    <col min="8715" max="8715" width="11.77734375" style="1646" customWidth="1"/>
    <col min="8716" max="8717" width="10.77734375" style="1646" customWidth="1"/>
    <col min="8718" max="8718" width="10" style="1646" customWidth="1"/>
    <col min="8719" max="8720" width="10.44140625" style="1646" customWidth="1"/>
    <col min="8721" max="8721" width="10" style="1646" customWidth="1"/>
    <col min="8722" max="8722" width="10.109375" style="1646" customWidth="1"/>
    <col min="8723" max="8723" width="10" style="1646" customWidth="1"/>
    <col min="8724" max="8724" width="26.109375" style="1646" customWidth="1"/>
    <col min="8725" max="8960" width="8.88671875" style="1646"/>
    <col min="8961" max="8961" width="9.44140625" style="1646" customWidth="1"/>
    <col min="8962" max="8962" width="8.88671875" style="1646"/>
    <col min="8963" max="8965" width="12.88671875" style="1646" customWidth="1"/>
    <col min="8966" max="8966" width="47.44140625" style="1646" customWidth="1"/>
    <col min="8967" max="8967" width="13" style="1646" customWidth="1"/>
    <col min="8968" max="8969" width="8.88671875" style="1646"/>
    <col min="8970" max="8970" width="5.77734375" style="1646" customWidth="1"/>
    <col min="8971" max="8971" width="11.77734375" style="1646" customWidth="1"/>
    <col min="8972" max="8973" width="10.77734375" style="1646" customWidth="1"/>
    <col min="8974" max="8974" width="10" style="1646" customWidth="1"/>
    <col min="8975" max="8976" width="10.44140625" style="1646" customWidth="1"/>
    <col min="8977" max="8977" width="10" style="1646" customWidth="1"/>
    <col min="8978" max="8978" width="10.109375" style="1646" customWidth="1"/>
    <col min="8979" max="8979" width="10" style="1646" customWidth="1"/>
    <col min="8980" max="8980" width="26.109375" style="1646" customWidth="1"/>
    <col min="8981" max="9216" width="8.88671875" style="1646"/>
    <col min="9217" max="9217" width="9.44140625" style="1646" customWidth="1"/>
    <col min="9218" max="9218" width="8.88671875" style="1646"/>
    <col min="9219" max="9221" width="12.88671875" style="1646" customWidth="1"/>
    <col min="9222" max="9222" width="47.44140625" style="1646" customWidth="1"/>
    <col min="9223" max="9223" width="13" style="1646" customWidth="1"/>
    <col min="9224" max="9225" width="8.88671875" style="1646"/>
    <col min="9226" max="9226" width="5.77734375" style="1646" customWidth="1"/>
    <col min="9227" max="9227" width="11.77734375" style="1646" customWidth="1"/>
    <col min="9228" max="9229" width="10.77734375" style="1646" customWidth="1"/>
    <col min="9230" max="9230" width="10" style="1646" customWidth="1"/>
    <col min="9231" max="9232" width="10.44140625" style="1646" customWidth="1"/>
    <col min="9233" max="9233" width="10" style="1646" customWidth="1"/>
    <col min="9234" max="9234" width="10.109375" style="1646" customWidth="1"/>
    <col min="9235" max="9235" width="10" style="1646" customWidth="1"/>
    <col min="9236" max="9236" width="26.109375" style="1646" customWidth="1"/>
    <col min="9237" max="9472" width="8.88671875" style="1646"/>
    <col min="9473" max="9473" width="9.44140625" style="1646" customWidth="1"/>
    <col min="9474" max="9474" width="8.88671875" style="1646"/>
    <col min="9475" max="9477" width="12.88671875" style="1646" customWidth="1"/>
    <col min="9478" max="9478" width="47.44140625" style="1646" customWidth="1"/>
    <col min="9479" max="9479" width="13" style="1646" customWidth="1"/>
    <col min="9480" max="9481" width="8.88671875" style="1646"/>
    <col min="9482" max="9482" width="5.77734375" style="1646" customWidth="1"/>
    <col min="9483" max="9483" width="11.77734375" style="1646" customWidth="1"/>
    <col min="9484" max="9485" width="10.77734375" style="1646" customWidth="1"/>
    <col min="9486" max="9486" width="10" style="1646" customWidth="1"/>
    <col min="9487" max="9488" width="10.44140625" style="1646" customWidth="1"/>
    <col min="9489" max="9489" width="10" style="1646" customWidth="1"/>
    <col min="9490" max="9490" width="10.109375" style="1646" customWidth="1"/>
    <col min="9491" max="9491" width="10" style="1646" customWidth="1"/>
    <col min="9492" max="9492" width="26.109375" style="1646" customWidth="1"/>
    <col min="9493" max="9728" width="8.88671875" style="1646"/>
    <col min="9729" max="9729" width="9.44140625" style="1646" customWidth="1"/>
    <col min="9730" max="9730" width="8.88671875" style="1646"/>
    <col min="9731" max="9733" width="12.88671875" style="1646" customWidth="1"/>
    <col min="9734" max="9734" width="47.44140625" style="1646" customWidth="1"/>
    <col min="9735" max="9735" width="13" style="1646" customWidth="1"/>
    <col min="9736" max="9737" width="8.88671875" style="1646"/>
    <col min="9738" max="9738" width="5.77734375" style="1646" customWidth="1"/>
    <col min="9739" max="9739" width="11.77734375" style="1646" customWidth="1"/>
    <col min="9740" max="9741" width="10.77734375" style="1646" customWidth="1"/>
    <col min="9742" max="9742" width="10" style="1646" customWidth="1"/>
    <col min="9743" max="9744" width="10.44140625" style="1646" customWidth="1"/>
    <col min="9745" max="9745" width="10" style="1646" customWidth="1"/>
    <col min="9746" max="9746" width="10.109375" style="1646" customWidth="1"/>
    <col min="9747" max="9747" width="10" style="1646" customWidth="1"/>
    <col min="9748" max="9748" width="26.109375" style="1646" customWidth="1"/>
    <col min="9749" max="9984" width="8.88671875" style="1646"/>
    <col min="9985" max="9985" width="9.44140625" style="1646" customWidth="1"/>
    <col min="9986" max="9986" width="8.88671875" style="1646"/>
    <col min="9987" max="9989" width="12.88671875" style="1646" customWidth="1"/>
    <col min="9990" max="9990" width="47.44140625" style="1646" customWidth="1"/>
    <col min="9991" max="9991" width="13" style="1646" customWidth="1"/>
    <col min="9992" max="9993" width="8.88671875" style="1646"/>
    <col min="9994" max="9994" width="5.77734375" style="1646" customWidth="1"/>
    <col min="9995" max="9995" width="11.77734375" style="1646" customWidth="1"/>
    <col min="9996" max="9997" width="10.77734375" style="1646" customWidth="1"/>
    <col min="9998" max="9998" width="10" style="1646" customWidth="1"/>
    <col min="9999" max="10000" width="10.44140625" style="1646" customWidth="1"/>
    <col min="10001" max="10001" width="10" style="1646" customWidth="1"/>
    <col min="10002" max="10002" width="10.109375" style="1646" customWidth="1"/>
    <col min="10003" max="10003" width="10" style="1646" customWidth="1"/>
    <col min="10004" max="10004" width="26.109375" style="1646" customWidth="1"/>
    <col min="10005" max="10240" width="8.88671875" style="1646"/>
    <col min="10241" max="10241" width="9.44140625" style="1646" customWidth="1"/>
    <col min="10242" max="10242" width="8.88671875" style="1646"/>
    <col min="10243" max="10245" width="12.88671875" style="1646" customWidth="1"/>
    <col min="10246" max="10246" width="47.44140625" style="1646" customWidth="1"/>
    <col min="10247" max="10247" width="13" style="1646" customWidth="1"/>
    <col min="10248" max="10249" width="8.88671875" style="1646"/>
    <col min="10250" max="10250" width="5.77734375" style="1646" customWidth="1"/>
    <col min="10251" max="10251" width="11.77734375" style="1646" customWidth="1"/>
    <col min="10252" max="10253" width="10.77734375" style="1646" customWidth="1"/>
    <col min="10254" max="10254" width="10" style="1646" customWidth="1"/>
    <col min="10255" max="10256" width="10.44140625" style="1646" customWidth="1"/>
    <col min="10257" max="10257" width="10" style="1646" customWidth="1"/>
    <col min="10258" max="10258" width="10.109375" style="1646" customWidth="1"/>
    <col min="10259" max="10259" width="10" style="1646" customWidth="1"/>
    <col min="10260" max="10260" width="26.109375" style="1646" customWidth="1"/>
    <col min="10261" max="10496" width="8.88671875" style="1646"/>
    <col min="10497" max="10497" width="9.44140625" style="1646" customWidth="1"/>
    <col min="10498" max="10498" width="8.88671875" style="1646"/>
    <col min="10499" max="10501" width="12.88671875" style="1646" customWidth="1"/>
    <col min="10502" max="10502" width="47.44140625" style="1646" customWidth="1"/>
    <col min="10503" max="10503" width="13" style="1646" customWidth="1"/>
    <col min="10504" max="10505" width="8.88671875" style="1646"/>
    <col min="10506" max="10506" width="5.77734375" style="1646" customWidth="1"/>
    <col min="10507" max="10507" width="11.77734375" style="1646" customWidth="1"/>
    <col min="10508" max="10509" width="10.77734375" style="1646" customWidth="1"/>
    <col min="10510" max="10510" width="10" style="1646" customWidth="1"/>
    <col min="10511" max="10512" width="10.44140625" style="1646" customWidth="1"/>
    <col min="10513" max="10513" width="10" style="1646" customWidth="1"/>
    <col min="10514" max="10514" width="10.109375" style="1646" customWidth="1"/>
    <col min="10515" max="10515" width="10" style="1646" customWidth="1"/>
    <col min="10516" max="10516" width="26.109375" style="1646" customWidth="1"/>
    <col min="10517" max="10752" width="8.88671875" style="1646"/>
    <col min="10753" max="10753" width="9.44140625" style="1646" customWidth="1"/>
    <col min="10754" max="10754" width="8.88671875" style="1646"/>
    <col min="10755" max="10757" width="12.88671875" style="1646" customWidth="1"/>
    <col min="10758" max="10758" width="47.44140625" style="1646" customWidth="1"/>
    <col min="10759" max="10759" width="13" style="1646" customWidth="1"/>
    <col min="10760" max="10761" width="8.88671875" style="1646"/>
    <col min="10762" max="10762" width="5.77734375" style="1646" customWidth="1"/>
    <col min="10763" max="10763" width="11.77734375" style="1646" customWidth="1"/>
    <col min="10764" max="10765" width="10.77734375" style="1646" customWidth="1"/>
    <col min="10766" max="10766" width="10" style="1646" customWidth="1"/>
    <col min="10767" max="10768" width="10.44140625" style="1646" customWidth="1"/>
    <col min="10769" max="10769" width="10" style="1646" customWidth="1"/>
    <col min="10770" max="10770" width="10.109375" style="1646" customWidth="1"/>
    <col min="10771" max="10771" width="10" style="1646" customWidth="1"/>
    <col min="10772" max="10772" width="26.109375" style="1646" customWidth="1"/>
    <col min="10773" max="11008" width="8.88671875" style="1646"/>
    <col min="11009" max="11009" width="9.44140625" style="1646" customWidth="1"/>
    <col min="11010" max="11010" width="8.88671875" style="1646"/>
    <col min="11011" max="11013" width="12.88671875" style="1646" customWidth="1"/>
    <col min="11014" max="11014" width="47.44140625" style="1646" customWidth="1"/>
    <col min="11015" max="11015" width="13" style="1646" customWidth="1"/>
    <col min="11016" max="11017" width="8.88671875" style="1646"/>
    <col min="11018" max="11018" width="5.77734375" style="1646" customWidth="1"/>
    <col min="11019" max="11019" width="11.77734375" style="1646" customWidth="1"/>
    <col min="11020" max="11021" width="10.77734375" style="1646" customWidth="1"/>
    <col min="11022" max="11022" width="10" style="1646" customWidth="1"/>
    <col min="11023" max="11024" width="10.44140625" style="1646" customWidth="1"/>
    <col min="11025" max="11025" width="10" style="1646" customWidth="1"/>
    <col min="11026" max="11026" width="10.109375" style="1646" customWidth="1"/>
    <col min="11027" max="11027" width="10" style="1646" customWidth="1"/>
    <col min="11028" max="11028" width="26.109375" style="1646" customWidth="1"/>
    <col min="11029" max="11264" width="8.88671875" style="1646"/>
    <col min="11265" max="11265" width="9.44140625" style="1646" customWidth="1"/>
    <col min="11266" max="11266" width="8.88671875" style="1646"/>
    <col min="11267" max="11269" width="12.88671875" style="1646" customWidth="1"/>
    <col min="11270" max="11270" width="47.44140625" style="1646" customWidth="1"/>
    <col min="11271" max="11271" width="13" style="1646" customWidth="1"/>
    <col min="11272" max="11273" width="8.88671875" style="1646"/>
    <col min="11274" max="11274" width="5.77734375" style="1646" customWidth="1"/>
    <col min="11275" max="11275" width="11.77734375" style="1646" customWidth="1"/>
    <col min="11276" max="11277" width="10.77734375" style="1646" customWidth="1"/>
    <col min="11278" max="11278" width="10" style="1646" customWidth="1"/>
    <col min="11279" max="11280" width="10.44140625" style="1646" customWidth="1"/>
    <col min="11281" max="11281" width="10" style="1646" customWidth="1"/>
    <col min="11282" max="11282" width="10.109375" style="1646" customWidth="1"/>
    <col min="11283" max="11283" width="10" style="1646" customWidth="1"/>
    <col min="11284" max="11284" width="26.109375" style="1646" customWidth="1"/>
    <col min="11285" max="11520" width="8.88671875" style="1646"/>
    <col min="11521" max="11521" width="9.44140625" style="1646" customWidth="1"/>
    <col min="11522" max="11522" width="8.88671875" style="1646"/>
    <col min="11523" max="11525" width="12.88671875" style="1646" customWidth="1"/>
    <col min="11526" max="11526" width="47.44140625" style="1646" customWidth="1"/>
    <col min="11527" max="11527" width="13" style="1646" customWidth="1"/>
    <col min="11528" max="11529" width="8.88671875" style="1646"/>
    <col min="11530" max="11530" width="5.77734375" style="1646" customWidth="1"/>
    <col min="11531" max="11531" width="11.77734375" style="1646" customWidth="1"/>
    <col min="11532" max="11533" width="10.77734375" style="1646" customWidth="1"/>
    <col min="11534" max="11534" width="10" style="1646" customWidth="1"/>
    <col min="11535" max="11536" width="10.44140625" style="1646" customWidth="1"/>
    <col min="11537" max="11537" width="10" style="1646" customWidth="1"/>
    <col min="11538" max="11538" width="10.109375" style="1646" customWidth="1"/>
    <col min="11539" max="11539" width="10" style="1646" customWidth="1"/>
    <col min="11540" max="11540" width="26.109375" style="1646" customWidth="1"/>
    <col min="11541" max="11776" width="8.88671875" style="1646"/>
    <col min="11777" max="11777" width="9.44140625" style="1646" customWidth="1"/>
    <col min="11778" max="11778" width="8.88671875" style="1646"/>
    <col min="11779" max="11781" width="12.88671875" style="1646" customWidth="1"/>
    <col min="11782" max="11782" width="47.44140625" style="1646" customWidth="1"/>
    <col min="11783" max="11783" width="13" style="1646" customWidth="1"/>
    <col min="11784" max="11785" width="8.88671875" style="1646"/>
    <col min="11786" max="11786" width="5.77734375" style="1646" customWidth="1"/>
    <col min="11787" max="11787" width="11.77734375" style="1646" customWidth="1"/>
    <col min="11788" max="11789" width="10.77734375" style="1646" customWidth="1"/>
    <col min="11790" max="11790" width="10" style="1646" customWidth="1"/>
    <col min="11791" max="11792" width="10.44140625" style="1646" customWidth="1"/>
    <col min="11793" max="11793" width="10" style="1646" customWidth="1"/>
    <col min="11794" max="11794" width="10.109375" style="1646" customWidth="1"/>
    <col min="11795" max="11795" width="10" style="1646" customWidth="1"/>
    <col min="11796" max="11796" width="26.109375" style="1646" customWidth="1"/>
    <col min="11797" max="12032" width="8.88671875" style="1646"/>
    <col min="12033" max="12033" width="9.44140625" style="1646" customWidth="1"/>
    <col min="12034" max="12034" width="8.88671875" style="1646"/>
    <col min="12035" max="12037" width="12.88671875" style="1646" customWidth="1"/>
    <col min="12038" max="12038" width="47.44140625" style="1646" customWidth="1"/>
    <col min="12039" max="12039" width="13" style="1646" customWidth="1"/>
    <col min="12040" max="12041" width="8.88671875" style="1646"/>
    <col min="12042" max="12042" width="5.77734375" style="1646" customWidth="1"/>
    <col min="12043" max="12043" width="11.77734375" style="1646" customWidth="1"/>
    <col min="12044" max="12045" width="10.77734375" style="1646" customWidth="1"/>
    <col min="12046" max="12046" width="10" style="1646" customWidth="1"/>
    <col min="12047" max="12048" width="10.44140625" style="1646" customWidth="1"/>
    <col min="12049" max="12049" width="10" style="1646" customWidth="1"/>
    <col min="12050" max="12050" width="10.109375" style="1646" customWidth="1"/>
    <col min="12051" max="12051" width="10" style="1646" customWidth="1"/>
    <col min="12052" max="12052" width="26.109375" style="1646" customWidth="1"/>
    <col min="12053" max="12288" width="8.88671875" style="1646"/>
    <col min="12289" max="12289" width="9.44140625" style="1646" customWidth="1"/>
    <col min="12290" max="12290" width="8.88671875" style="1646"/>
    <col min="12291" max="12293" width="12.88671875" style="1646" customWidth="1"/>
    <col min="12294" max="12294" width="47.44140625" style="1646" customWidth="1"/>
    <col min="12295" max="12295" width="13" style="1646" customWidth="1"/>
    <col min="12296" max="12297" width="8.88671875" style="1646"/>
    <col min="12298" max="12298" width="5.77734375" style="1646" customWidth="1"/>
    <col min="12299" max="12299" width="11.77734375" style="1646" customWidth="1"/>
    <col min="12300" max="12301" width="10.77734375" style="1646" customWidth="1"/>
    <col min="12302" max="12302" width="10" style="1646" customWidth="1"/>
    <col min="12303" max="12304" width="10.44140625" style="1646" customWidth="1"/>
    <col min="12305" max="12305" width="10" style="1646" customWidth="1"/>
    <col min="12306" max="12306" width="10.109375" style="1646" customWidth="1"/>
    <col min="12307" max="12307" width="10" style="1646" customWidth="1"/>
    <col min="12308" max="12308" width="26.109375" style="1646" customWidth="1"/>
    <col min="12309" max="12544" width="8.88671875" style="1646"/>
    <col min="12545" max="12545" width="9.44140625" style="1646" customWidth="1"/>
    <col min="12546" max="12546" width="8.88671875" style="1646"/>
    <col min="12547" max="12549" width="12.88671875" style="1646" customWidth="1"/>
    <col min="12550" max="12550" width="47.44140625" style="1646" customWidth="1"/>
    <col min="12551" max="12551" width="13" style="1646" customWidth="1"/>
    <col min="12552" max="12553" width="8.88671875" style="1646"/>
    <col min="12554" max="12554" width="5.77734375" style="1646" customWidth="1"/>
    <col min="12555" max="12555" width="11.77734375" style="1646" customWidth="1"/>
    <col min="12556" max="12557" width="10.77734375" style="1646" customWidth="1"/>
    <col min="12558" max="12558" width="10" style="1646" customWidth="1"/>
    <col min="12559" max="12560" width="10.44140625" style="1646" customWidth="1"/>
    <col min="12561" max="12561" width="10" style="1646" customWidth="1"/>
    <col min="12562" max="12562" width="10.109375" style="1646" customWidth="1"/>
    <col min="12563" max="12563" width="10" style="1646" customWidth="1"/>
    <col min="12564" max="12564" width="26.109375" style="1646" customWidth="1"/>
    <col min="12565" max="12800" width="8.88671875" style="1646"/>
    <col min="12801" max="12801" width="9.44140625" style="1646" customWidth="1"/>
    <col min="12802" max="12802" width="8.88671875" style="1646"/>
    <col min="12803" max="12805" width="12.88671875" style="1646" customWidth="1"/>
    <col min="12806" max="12806" width="47.44140625" style="1646" customWidth="1"/>
    <col min="12807" max="12807" width="13" style="1646" customWidth="1"/>
    <col min="12808" max="12809" width="8.88671875" style="1646"/>
    <col min="12810" max="12810" width="5.77734375" style="1646" customWidth="1"/>
    <col min="12811" max="12811" width="11.77734375" style="1646" customWidth="1"/>
    <col min="12812" max="12813" width="10.77734375" style="1646" customWidth="1"/>
    <col min="12814" max="12814" width="10" style="1646" customWidth="1"/>
    <col min="12815" max="12816" width="10.44140625" style="1646" customWidth="1"/>
    <col min="12817" max="12817" width="10" style="1646" customWidth="1"/>
    <col min="12818" max="12818" width="10.109375" style="1646" customWidth="1"/>
    <col min="12819" max="12819" width="10" style="1646" customWidth="1"/>
    <col min="12820" max="12820" width="26.109375" style="1646" customWidth="1"/>
    <col min="12821" max="13056" width="8.88671875" style="1646"/>
    <col min="13057" max="13057" width="9.44140625" style="1646" customWidth="1"/>
    <col min="13058" max="13058" width="8.88671875" style="1646"/>
    <col min="13059" max="13061" width="12.88671875" style="1646" customWidth="1"/>
    <col min="13062" max="13062" width="47.44140625" style="1646" customWidth="1"/>
    <col min="13063" max="13063" width="13" style="1646" customWidth="1"/>
    <col min="13064" max="13065" width="8.88671875" style="1646"/>
    <col min="13066" max="13066" width="5.77734375" style="1646" customWidth="1"/>
    <col min="13067" max="13067" width="11.77734375" style="1646" customWidth="1"/>
    <col min="13068" max="13069" width="10.77734375" style="1646" customWidth="1"/>
    <col min="13070" max="13070" width="10" style="1646" customWidth="1"/>
    <col min="13071" max="13072" width="10.44140625" style="1646" customWidth="1"/>
    <col min="13073" max="13073" width="10" style="1646" customWidth="1"/>
    <col min="13074" max="13074" width="10.109375" style="1646" customWidth="1"/>
    <col min="13075" max="13075" width="10" style="1646" customWidth="1"/>
    <col min="13076" max="13076" width="26.109375" style="1646" customWidth="1"/>
    <col min="13077" max="13312" width="8.88671875" style="1646"/>
    <col min="13313" max="13313" width="9.44140625" style="1646" customWidth="1"/>
    <col min="13314" max="13314" width="8.88671875" style="1646"/>
    <col min="13315" max="13317" width="12.88671875" style="1646" customWidth="1"/>
    <col min="13318" max="13318" width="47.44140625" style="1646" customWidth="1"/>
    <col min="13319" max="13319" width="13" style="1646" customWidth="1"/>
    <col min="13320" max="13321" width="8.88671875" style="1646"/>
    <col min="13322" max="13322" width="5.77734375" style="1646" customWidth="1"/>
    <col min="13323" max="13323" width="11.77734375" style="1646" customWidth="1"/>
    <col min="13324" max="13325" width="10.77734375" style="1646" customWidth="1"/>
    <col min="13326" max="13326" width="10" style="1646" customWidth="1"/>
    <col min="13327" max="13328" width="10.44140625" style="1646" customWidth="1"/>
    <col min="13329" max="13329" width="10" style="1646" customWidth="1"/>
    <col min="13330" max="13330" width="10.109375" style="1646" customWidth="1"/>
    <col min="13331" max="13331" width="10" style="1646" customWidth="1"/>
    <col min="13332" max="13332" width="26.109375" style="1646" customWidth="1"/>
    <col min="13333" max="13568" width="8.88671875" style="1646"/>
    <col min="13569" max="13569" width="9.44140625" style="1646" customWidth="1"/>
    <col min="13570" max="13570" width="8.88671875" style="1646"/>
    <col min="13571" max="13573" width="12.88671875" style="1646" customWidth="1"/>
    <col min="13574" max="13574" width="47.44140625" style="1646" customWidth="1"/>
    <col min="13575" max="13575" width="13" style="1646" customWidth="1"/>
    <col min="13576" max="13577" width="8.88671875" style="1646"/>
    <col min="13578" max="13578" width="5.77734375" style="1646" customWidth="1"/>
    <col min="13579" max="13579" width="11.77734375" style="1646" customWidth="1"/>
    <col min="13580" max="13581" width="10.77734375" style="1646" customWidth="1"/>
    <col min="13582" max="13582" width="10" style="1646" customWidth="1"/>
    <col min="13583" max="13584" width="10.44140625" style="1646" customWidth="1"/>
    <col min="13585" max="13585" width="10" style="1646" customWidth="1"/>
    <col min="13586" max="13586" width="10.109375" style="1646" customWidth="1"/>
    <col min="13587" max="13587" width="10" style="1646" customWidth="1"/>
    <col min="13588" max="13588" width="26.109375" style="1646" customWidth="1"/>
    <col min="13589" max="13824" width="8.88671875" style="1646"/>
    <col min="13825" max="13825" width="9.44140625" style="1646" customWidth="1"/>
    <col min="13826" max="13826" width="8.88671875" style="1646"/>
    <col min="13827" max="13829" width="12.88671875" style="1646" customWidth="1"/>
    <col min="13830" max="13830" width="47.44140625" style="1646" customWidth="1"/>
    <col min="13831" max="13831" width="13" style="1646" customWidth="1"/>
    <col min="13832" max="13833" width="8.88671875" style="1646"/>
    <col min="13834" max="13834" width="5.77734375" style="1646" customWidth="1"/>
    <col min="13835" max="13835" width="11.77734375" style="1646" customWidth="1"/>
    <col min="13836" max="13837" width="10.77734375" style="1646" customWidth="1"/>
    <col min="13838" max="13838" width="10" style="1646" customWidth="1"/>
    <col min="13839" max="13840" width="10.44140625" style="1646" customWidth="1"/>
    <col min="13841" max="13841" width="10" style="1646" customWidth="1"/>
    <col min="13842" max="13842" width="10.109375" style="1646" customWidth="1"/>
    <col min="13843" max="13843" width="10" style="1646" customWidth="1"/>
    <col min="13844" max="13844" width="26.109375" style="1646" customWidth="1"/>
    <col min="13845" max="14080" width="8.88671875" style="1646"/>
    <col min="14081" max="14081" width="9.44140625" style="1646" customWidth="1"/>
    <col min="14082" max="14082" width="8.88671875" style="1646"/>
    <col min="14083" max="14085" width="12.88671875" style="1646" customWidth="1"/>
    <col min="14086" max="14086" width="47.44140625" style="1646" customWidth="1"/>
    <col min="14087" max="14087" width="13" style="1646" customWidth="1"/>
    <col min="14088" max="14089" width="8.88671875" style="1646"/>
    <col min="14090" max="14090" width="5.77734375" style="1646" customWidth="1"/>
    <col min="14091" max="14091" width="11.77734375" style="1646" customWidth="1"/>
    <col min="14092" max="14093" width="10.77734375" style="1646" customWidth="1"/>
    <col min="14094" max="14094" width="10" style="1646" customWidth="1"/>
    <col min="14095" max="14096" width="10.44140625" style="1646" customWidth="1"/>
    <col min="14097" max="14097" width="10" style="1646" customWidth="1"/>
    <col min="14098" max="14098" width="10.109375" style="1646" customWidth="1"/>
    <col min="14099" max="14099" width="10" style="1646" customWidth="1"/>
    <col min="14100" max="14100" width="26.109375" style="1646" customWidth="1"/>
    <col min="14101" max="14336" width="8.88671875" style="1646"/>
    <col min="14337" max="14337" width="9.44140625" style="1646" customWidth="1"/>
    <col min="14338" max="14338" width="8.88671875" style="1646"/>
    <col min="14339" max="14341" width="12.88671875" style="1646" customWidth="1"/>
    <col min="14342" max="14342" width="47.44140625" style="1646" customWidth="1"/>
    <col min="14343" max="14343" width="13" style="1646" customWidth="1"/>
    <col min="14344" max="14345" width="8.88671875" style="1646"/>
    <col min="14346" max="14346" width="5.77734375" style="1646" customWidth="1"/>
    <col min="14347" max="14347" width="11.77734375" style="1646" customWidth="1"/>
    <col min="14348" max="14349" width="10.77734375" style="1646" customWidth="1"/>
    <col min="14350" max="14350" width="10" style="1646" customWidth="1"/>
    <col min="14351" max="14352" width="10.44140625" style="1646" customWidth="1"/>
    <col min="14353" max="14353" width="10" style="1646" customWidth="1"/>
    <col min="14354" max="14354" width="10.109375" style="1646" customWidth="1"/>
    <col min="14355" max="14355" width="10" style="1646" customWidth="1"/>
    <col min="14356" max="14356" width="26.109375" style="1646" customWidth="1"/>
    <col min="14357" max="14592" width="8.88671875" style="1646"/>
    <col min="14593" max="14593" width="9.44140625" style="1646" customWidth="1"/>
    <col min="14594" max="14594" width="8.88671875" style="1646"/>
    <col min="14595" max="14597" width="12.88671875" style="1646" customWidth="1"/>
    <col min="14598" max="14598" width="47.44140625" style="1646" customWidth="1"/>
    <col min="14599" max="14599" width="13" style="1646" customWidth="1"/>
    <col min="14600" max="14601" width="8.88671875" style="1646"/>
    <col min="14602" max="14602" width="5.77734375" style="1646" customWidth="1"/>
    <col min="14603" max="14603" width="11.77734375" style="1646" customWidth="1"/>
    <col min="14604" max="14605" width="10.77734375" style="1646" customWidth="1"/>
    <col min="14606" max="14606" width="10" style="1646" customWidth="1"/>
    <col min="14607" max="14608" width="10.44140625" style="1646" customWidth="1"/>
    <col min="14609" max="14609" width="10" style="1646" customWidth="1"/>
    <col min="14610" max="14610" width="10.109375" style="1646" customWidth="1"/>
    <col min="14611" max="14611" width="10" style="1646" customWidth="1"/>
    <col min="14612" max="14612" width="26.109375" style="1646" customWidth="1"/>
    <col min="14613" max="14848" width="8.88671875" style="1646"/>
    <col min="14849" max="14849" width="9.44140625" style="1646" customWidth="1"/>
    <col min="14850" max="14850" width="8.88671875" style="1646"/>
    <col min="14851" max="14853" width="12.88671875" style="1646" customWidth="1"/>
    <col min="14854" max="14854" width="47.44140625" style="1646" customWidth="1"/>
    <col min="14855" max="14855" width="13" style="1646" customWidth="1"/>
    <col min="14856" max="14857" width="8.88671875" style="1646"/>
    <col min="14858" max="14858" width="5.77734375" style="1646" customWidth="1"/>
    <col min="14859" max="14859" width="11.77734375" style="1646" customWidth="1"/>
    <col min="14860" max="14861" width="10.77734375" style="1646" customWidth="1"/>
    <col min="14862" max="14862" width="10" style="1646" customWidth="1"/>
    <col min="14863" max="14864" width="10.44140625" style="1646" customWidth="1"/>
    <col min="14865" max="14865" width="10" style="1646" customWidth="1"/>
    <col min="14866" max="14866" width="10.109375" style="1646" customWidth="1"/>
    <col min="14867" max="14867" width="10" style="1646" customWidth="1"/>
    <col min="14868" max="14868" width="26.109375" style="1646" customWidth="1"/>
    <col min="14869" max="15104" width="8.88671875" style="1646"/>
    <col min="15105" max="15105" width="9.44140625" style="1646" customWidth="1"/>
    <col min="15106" max="15106" width="8.88671875" style="1646"/>
    <col min="15107" max="15109" width="12.88671875" style="1646" customWidth="1"/>
    <col min="15110" max="15110" width="47.44140625" style="1646" customWidth="1"/>
    <col min="15111" max="15111" width="13" style="1646" customWidth="1"/>
    <col min="15112" max="15113" width="8.88671875" style="1646"/>
    <col min="15114" max="15114" width="5.77734375" style="1646" customWidth="1"/>
    <col min="15115" max="15115" width="11.77734375" style="1646" customWidth="1"/>
    <col min="15116" max="15117" width="10.77734375" style="1646" customWidth="1"/>
    <col min="15118" max="15118" width="10" style="1646" customWidth="1"/>
    <col min="15119" max="15120" width="10.44140625" style="1646" customWidth="1"/>
    <col min="15121" max="15121" width="10" style="1646" customWidth="1"/>
    <col min="15122" max="15122" width="10.109375" style="1646" customWidth="1"/>
    <col min="15123" max="15123" width="10" style="1646" customWidth="1"/>
    <col min="15124" max="15124" width="26.109375" style="1646" customWidth="1"/>
    <col min="15125" max="15360" width="8.88671875" style="1646"/>
    <col min="15361" max="15361" width="9.44140625" style="1646" customWidth="1"/>
    <col min="15362" max="15362" width="8.88671875" style="1646"/>
    <col min="15363" max="15365" width="12.88671875" style="1646" customWidth="1"/>
    <col min="15366" max="15366" width="47.44140625" style="1646" customWidth="1"/>
    <col min="15367" max="15367" width="13" style="1646" customWidth="1"/>
    <col min="15368" max="15369" width="8.88671875" style="1646"/>
    <col min="15370" max="15370" width="5.77734375" style="1646" customWidth="1"/>
    <col min="15371" max="15371" width="11.77734375" style="1646" customWidth="1"/>
    <col min="15372" max="15373" width="10.77734375" style="1646" customWidth="1"/>
    <col min="15374" max="15374" width="10" style="1646" customWidth="1"/>
    <col min="15375" max="15376" width="10.44140625" style="1646" customWidth="1"/>
    <col min="15377" max="15377" width="10" style="1646" customWidth="1"/>
    <col min="15378" max="15378" width="10.109375" style="1646" customWidth="1"/>
    <col min="15379" max="15379" width="10" style="1646" customWidth="1"/>
    <col min="15380" max="15380" width="26.109375" style="1646" customWidth="1"/>
    <col min="15381" max="15616" width="8.88671875" style="1646"/>
    <col min="15617" max="15617" width="9.44140625" style="1646" customWidth="1"/>
    <col min="15618" max="15618" width="8.88671875" style="1646"/>
    <col min="15619" max="15621" width="12.88671875" style="1646" customWidth="1"/>
    <col min="15622" max="15622" width="47.44140625" style="1646" customWidth="1"/>
    <col min="15623" max="15623" width="13" style="1646" customWidth="1"/>
    <col min="15624" max="15625" width="8.88671875" style="1646"/>
    <col min="15626" max="15626" width="5.77734375" style="1646" customWidth="1"/>
    <col min="15627" max="15627" width="11.77734375" style="1646" customWidth="1"/>
    <col min="15628" max="15629" width="10.77734375" style="1646" customWidth="1"/>
    <col min="15630" max="15630" width="10" style="1646" customWidth="1"/>
    <col min="15631" max="15632" width="10.44140625" style="1646" customWidth="1"/>
    <col min="15633" max="15633" width="10" style="1646" customWidth="1"/>
    <col min="15634" max="15634" width="10.109375" style="1646" customWidth="1"/>
    <col min="15635" max="15635" width="10" style="1646" customWidth="1"/>
    <col min="15636" max="15636" width="26.109375" style="1646" customWidth="1"/>
    <col min="15637" max="15872" width="8.88671875" style="1646"/>
    <col min="15873" max="15873" width="9.44140625" style="1646" customWidth="1"/>
    <col min="15874" max="15874" width="8.88671875" style="1646"/>
    <col min="15875" max="15877" width="12.88671875" style="1646" customWidth="1"/>
    <col min="15878" max="15878" width="47.44140625" style="1646" customWidth="1"/>
    <col min="15879" max="15879" width="13" style="1646" customWidth="1"/>
    <col min="15880" max="15881" width="8.88671875" style="1646"/>
    <col min="15882" max="15882" width="5.77734375" style="1646" customWidth="1"/>
    <col min="15883" max="15883" width="11.77734375" style="1646" customWidth="1"/>
    <col min="15884" max="15885" width="10.77734375" style="1646" customWidth="1"/>
    <col min="15886" max="15886" width="10" style="1646" customWidth="1"/>
    <col min="15887" max="15888" width="10.44140625" style="1646" customWidth="1"/>
    <col min="15889" max="15889" width="10" style="1646" customWidth="1"/>
    <col min="15890" max="15890" width="10.109375" style="1646" customWidth="1"/>
    <col min="15891" max="15891" width="10" style="1646" customWidth="1"/>
    <col min="15892" max="15892" width="26.109375" style="1646" customWidth="1"/>
    <col min="15893" max="16128" width="8.88671875" style="1646"/>
    <col min="16129" max="16129" width="9.44140625" style="1646" customWidth="1"/>
    <col min="16130" max="16130" width="8.88671875" style="1646"/>
    <col min="16131" max="16133" width="12.88671875" style="1646" customWidth="1"/>
    <col min="16134" max="16134" width="47.44140625" style="1646" customWidth="1"/>
    <col min="16135" max="16135" width="13" style="1646" customWidth="1"/>
    <col min="16136" max="16137" width="8.88671875" style="1646"/>
    <col min="16138" max="16138" width="5.77734375" style="1646" customWidth="1"/>
    <col min="16139" max="16139" width="11.77734375" style="1646" customWidth="1"/>
    <col min="16140" max="16141" width="10.77734375" style="1646" customWidth="1"/>
    <col min="16142" max="16142" width="10" style="1646" customWidth="1"/>
    <col min="16143" max="16144" width="10.44140625" style="1646" customWidth="1"/>
    <col min="16145" max="16145" width="10" style="1646" customWidth="1"/>
    <col min="16146" max="16146" width="10.109375" style="1646" customWidth="1"/>
    <col min="16147" max="16147" width="10" style="1646" customWidth="1"/>
    <col min="16148" max="16148" width="26.109375" style="1646" customWidth="1"/>
    <col min="16149" max="16384" width="8.88671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2" customHeight="1">
      <c r="A2" s="1656" t="s">
        <v>1186</v>
      </c>
      <c r="B2" s="1657" t="e">
        <f>IF(D2="——",C40,C40+E2)</f>
        <v>#DIV/0!</v>
      </c>
      <c r="C2" s="1652" t="s">
        <v>1187</v>
      </c>
      <c r="D2" s="1658" t="s">
        <v>1478</v>
      </c>
      <c r="E2" s="1659"/>
      <c r="F2" s="1660"/>
      <c r="G2" s="1661"/>
      <c r="H2" s="1662"/>
      <c r="I2" s="1747"/>
      <c r="J2" s="3429" t="s">
        <v>1479</v>
      </c>
      <c r="K2" s="3430"/>
      <c r="L2" s="1758" t="s">
        <v>1480</v>
      </c>
      <c r="M2" s="1758" t="s">
        <v>1481</v>
      </c>
      <c r="N2" s="1758" t="s">
        <v>1482</v>
      </c>
      <c r="O2" s="1758" t="s">
        <v>1483</v>
      </c>
      <c r="P2" s="1758" t="s">
        <v>1484</v>
      </c>
      <c r="Q2" s="1795" t="s">
        <v>1485</v>
      </c>
      <c r="R2" s="1796" t="s">
        <v>1486</v>
      </c>
      <c r="S2" s="1716"/>
      <c r="T2" s="1716"/>
      <c r="U2" s="1716"/>
      <c r="V2" s="1747"/>
    </row>
    <row r="3" spans="1:22" s="1644" customFormat="1" ht="13.2" customHeight="1">
      <c r="A3" s="1663" t="s">
        <v>1188</v>
      </c>
      <c r="B3" s="1664" t="e">
        <f>ROUND(B2*10000/B4,0)</f>
        <v>#DIV/0!</v>
      </c>
      <c r="C3" s="1652" t="s">
        <v>1189</v>
      </c>
      <c r="D3" s="1652"/>
      <c r="E3" s="1665"/>
      <c r="F3" s="1660"/>
      <c r="G3" s="1661"/>
      <c r="H3" s="1662"/>
      <c r="I3" s="1747"/>
      <c r="J3" s="3423" t="s">
        <v>1487</v>
      </c>
      <c r="K3" s="3424"/>
      <c r="L3" s="1759"/>
      <c r="M3" s="1759"/>
      <c r="N3" s="1759"/>
      <c r="O3" s="1759"/>
      <c r="P3" s="1759"/>
      <c r="Q3" s="1797"/>
      <c r="R3" s="1798">
        <f>SUM(L3:Q3)</f>
        <v>0</v>
      </c>
      <c r="S3" s="1716"/>
      <c r="T3" s="1716"/>
      <c r="U3" s="1716"/>
      <c r="V3" s="1747"/>
    </row>
    <row r="4" spans="1:22" s="1644" customFormat="1" ht="13.2" customHeight="1">
      <c r="A4" s="1666" t="s">
        <v>1488</v>
      </c>
      <c r="B4" s="1667"/>
      <c r="C4" s="1652"/>
      <c r="D4" s="1652"/>
      <c r="E4" s="1665"/>
      <c r="F4" s="1660"/>
      <c r="G4" s="1661"/>
      <c r="H4" s="1662"/>
      <c r="I4" s="1747"/>
      <c r="J4" s="3423" t="s">
        <v>1489</v>
      </c>
      <c r="K4" s="3424"/>
      <c r="L4" s="1760"/>
      <c r="M4" s="1760"/>
      <c r="N4" s="1760"/>
      <c r="O4" s="1760"/>
      <c r="P4" s="1760"/>
      <c r="Q4" s="1799"/>
      <c r="R4" s="1800">
        <f>SUM(L4:Q4)</f>
        <v>0</v>
      </c>
      <c r="S4" s="1716"/>
      <c r="T4" s="1716"/>
      <c r="U4" s="1716"/>
      <c r="V4" s="1747"/>
    </row>
    <row r="5" spans="1:22" s="1644" customFormat="1" ht="13.2"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2" customHeight="1">
      <c r="A6" s="3433" t="s">
        <v>1493</v>
      </c>
      <c r="B6" s="3434"/>
      <c r="C6" s="3435"/>
      <c r="D6" s="1671"/>
      <c r="E6" s="1672"/>
      <c r="F6" s="1673"/>
      <c r="G6" s="1674"/>
      <c r="H6" s="1662"/>
      <c r="I6" s="1747"/>
      <c r="J6" s="3417">
        <v>1</v>
      </c>
      <c r="K6" s="3420"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2" customHeight="1">
      <c r="A7" s="1675" t="s">
        <v>1503</v>
      </c>
      <c r="B7" s="1676"/>
      <c r="C7" s="1677"/>
      <c r="D7" s="1678">
        <f>SUM(D9,D10,D11,D17,0)</f>
        <v>0</v>
      </c>
      <c r="E7" s="1679" t="e">
        <f>E9+E10+E11+E17</f>
        <v>#DIV/0!</v>
      </c>
      <c r="F7" s="1680"/>
      <c r="G7" s="1681"/>
      <c r="H7" s="1662"/>
      <c r="I7" s="1747"/>
      <c r="J7" s="3417"/>
      <c r="K7" s="3421"/>
      <c r="L7" s="1767" t="s">
        <v>1504</v>
      </c>
      <c r="M7" s="1768"/>
      <c r="N7" s="1667"/>
      <c r="O7" s="1769"/>
      <c r="P7" s="1769"/>
      <c r="Q7" s="1700">
        <v>365</v>
      </c>
      <c r="R7" s="1801">
        <f>ROUND(M7*N7*O7*P7*Q7/10000,0)</f>
        <v>0</v>
      </c>
      <c r="S7" s="1716"/>
      <c r="T7" s="1716" t="s">
        <v>1505</v>
      </c>
      <c r="U7" s="1716"/>
      <c r="V7" s="1747"/>
    </row>
    <row r="8" spans="1:22" s="1644" customFormat="1" ht="13.2" customHeight="1">
      <c r="A8" s="1682" t="s">
        <v>1506</v>
      </c>
      <c r="B8" s="3431" t="s">
        <v>1507</v>
      </c>
      <c r="C8" s="3432"/>
      <c r="D8" s="1685" t="s">
        <v>1508</v>
      </c>
      <c r="E8" s="1686" t="s">
        <v>1509</v>
      </c>
      <c r="F8" s="1687" t="s">
        <v>1510</v>
      </c>
      <c r="G8" s="1688"/>
      <c r="H8" s="1662"/>
      <c r="I8" s="1747"/>
      <c r="J8" s="3417"/>
      <c r="K8" s="3421"/>
      <c r="L8" s="1767" t="s">
        <v>1511</v>
      </c>
      <c r="M8" s="1768"/>
      <c r="N8" s="1667"/>
      <c r="O8" s="1769"/>
      <c r="P8" s="1769"/>
      <c r="Q8" s="1700">
        <v>365</v>
      </c>
      <c r="R8" s="1801">
        <f t="shared" ref="R8:R13" si="0">ROUND(M8*N8*O8*P8*Q8/10000,0)</f>
        <v>0</v>
      </c>
      <c r="S8" s="1716"/>
      <c r="T8" s="1716" t="s">
        <v>1512</v>
      </c>
      <c r="U8" s="1716"/>
      <c r="V8" s="1747"/>
    </row>
    <row r="9" spans="1:22" s="1644" customFormat="1" ht="13.2" customHeight="1">
      <c r="A9" s="1682">
        <v>1</v>
      </c>
      <c r="B9" s="3431" t="s">
        <v>1513</v>
      </c>
      <c r="C9" s="3432"/>
      <c r="D9" s="1685">
        <f>ROUND(D6*E9,0)</f>
        <v>0</v>
      </c>
      <c r="E9" s="1689"/>
      <c r="F9" s="1690" t="s">
        <v>1514</v>
      </c>
      <c r="G9" s="1674"/>
      <c r="H9" s="1662"/>
      <c r="I9" s="1747"/>
      <c r="J9" s="3417"/>
      <c r="K9" s="3421"/>
      <c r="L9" s="1767" t="s">
        <v>1515</v>
      </c>
      <c r="M9" s="1768"/>
      <c r="N9" s="1667"/>
      <c r="O9" s="1769"/>
      <c r="P9" s="1769"/>
      <c r="Q9" s="1700">
        <v>365</v>
      </c>
      <c r="R9" s="1801">
        <f t="shared" si="0"/>
        <v>0</v>
      </c>
      <c r="S9" s="1716"/>
      <c r="T9" s="1716"/>
      <c r="U9" s="1716"/>
      <c r="V9" s="1747"/>
    </row>
    <row r="10" spans="1:22" s="1644" customFormat="1" ht="13.2" customHeight="1">
      <c r="A10" s="1682">
        <v>2</v>
      </c>
      <c r="B10" s="3431" t="s">
        <v>1516</v>
      </c>
      <c r="C10" s="3432"/>
      <c r="D10" s="1685">
        <f>ROUND(D6*E10,0)</f>
        <v>0</v>
      </c>
      <c r="E10" s="1689"/>
      <c r="F10" s="1690" t="s">
        <v>1517</v>
      </c>
      <c r="G10" s="1674"/>
      <c r="H10" s="1662"/>
      <c r="I10" s="1747"/>
      <c r="J10" s="3417"/>
      <c r="K10" s="3421"/>
      <c r="L10" s="1767" t="s">
        <v>1518</v>
      </c>
      <c r="M10" s="1768"/>
      <c r="N10" s="1667"/>
      <c r="O10" s="1769"/>
      <c r="P10" s="1769"/>
      <c r="Q10" s="1700">
        <v>365</v>
      </c>
      <c r="R10" s="1801">
        <f t="shared" si="0"/>
        <v>0</v>
      </c>
      <c r="S10" s="1716"/>
      <c r="T10" s="1716"/>
      <c r="U10" s="1716"/>
      <c r="V10" s="1747"/>
    </row>
    <row r="11" spans="1:22" s="1644" customFormat="1" ht="13.2" customHeight="1">
      <c r="A11" s="1682">
        <v>3</v>
      </c>
      <c r="B11" s="3431" t="s">
        <v>1519</v>
      </c>
      <c r="C11" s="3432"/>
      <c r="D11" s="1685">
        <f>D12+D14+D15+D16</f>
        <v>0</v>
      </c>
      <c r="E11" s="1691" t="e">
        <f>D11/D6</f>
        <v>#DIV/0!</v>
      </c>
      <c r="F11" s="1687"/>
      <c r="G11" s="1688"/>
      <c r="H11" s="1662"/>
      <c r="I11" s="1747"/>
      <c r="J11" s="3417"/>
      <c r="K11" s="3421"/>
      <c r="L11" s="1767" t="s">
        <v>1520</v>
      </c>
      <c r="M11" s="1768"/>
      <c r="N11" s="1667"/>
      <c r="O11" s="1769"/>
      <c r="P11" s="1769"/>
      <c r="Q11" s="1700">
        <v>365</v>
      </c>
      <c r="R11" s="1801">
        <f t="shared" si="0"/>
        <v>0</v>
      </c>
      <c r="S11" s="1716"/>
      <c r="T11" s="1716"/>
      <c r="U11" s="1716"/>
      <c r="V11" s="1747"/>
    </row>
    <row r="12" spans="1:22" s="1644" customFormat="1" ht="13.2" customHeight="1">
      <c r="A12" s="1692" t="s">
        <v>1521</v>
      </c>
      <c r="B12" s="3425" t="s">
        <v>1522</v>
      </c>
      <c r="C12" s="3426"/>
      <c r="D12" s="1695">
        <f>ROUND(D13*1.2%*(1-30%),0)</f>
        <v>0</v>
      </c>
      <c r="E12" s="1696">
        <v>1.2E-2</v>
      </c>
      <c r="F12" s="1687" t="s">
        <v>1523</v>
      </c>
      <c r="G12" s="1688"/>
      <c r="H12" s="1662"/>
      <c r="I12" s="1747"/>
      <c r="J12" s="3417"/>
      <c r="K12" s="3421"/>
      <c r="L12" s="1767" t="s">
        <v>1524</v>
      </c>
      <c r="M12" s="1768"/>
      <c r="N12" s="1667"/>
      <c r="O12" s="1769"/>
      <c r="P12" s="1769"/>
      <c r="Q12" s="1700">
        <v>365</v>
      </c>
      <c r="R12" s="1801">
        <f t="shared" si="0"/>
        <v>0</v>
      </c>
      <c r="S12" s="1716"/>
      <c r="T12" s="1716"/>
      <c r="U12" s="1716"/>
      <c r="V12" s="1747"/>
    </row>
    <row r="13" spans="1:22" s="1644" customFormat="1" ht="13.2" customHeight="1">
      <c r="A13" s="1692"/>
      <c r="B13" s="1693"/>
      <c r="C13" s="1697" t="s">
        <v>1525</v>
      </c>
      <c r="D13" s="1698"/>
      <c r="E13" s="1699"/>
      <c r="F13" s="1687"/>
      <c r="G13" s="1688"/>
      <c r="H13" s="1662"/>
      <c r="I13" s="1747"/>
      <c r="J13" s="3417"/>
      <c r="K13" s="3421"/>
      <c r="L13" s="1767" t="s">
        <v>1526</v>
      </c>
      <c r="M13" s="1768"/>
      <c r="N13" s="1667"/>
      <c r="O13" s="1769"/>
      <c r="P13" s="1769"/>
      <c r="Q13" s="1700">
        <v>365</v>
      </c>
      <c r="R13" s="1801">
        <f t="shared" si="0"/>
        <v>0</v>
      </c>
      <c r="S13" s="1716"/>
      <c r="T13" s="1716"/>
      <c r="U13" s="1716"/>
      <c r="V13" s="1747"/>
    </row>
    <row r="14" spans="1:22" s="1644" customFormat="1" ht="13.2" customHeight="1">
      <c r="A14" s="1692" t="s">
        <v>1527</v>
      </c>
      <c r="B14" s="3425" t="s">
        <v>1528</v>
      </c>
      <c r="C14" s="3426"/>
      <c r="D14" s="1695">
        <f>ROUND(E14*B5/10000,0)</f>
        <v>0</v>
      </c>
      <c r="E14" s="1700"/>
      <c r="F14" s="1687" t="s">
        <v>1529</v>
      </c>
      <c r="G14" s="1688"/>
      <c r="H14" s="1662"/>
      <c r="I14" s="1747"/>
      <c r="J14" s="3417"/>
      <c r="K14" s="3422"/>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2" customHeight="1">
      <c r="A15" s="1692" t="s">
        <v>1531</v>
      </c>
      <c r="B15" s="3425" t="s">
        <v>1532</v>
      </c>
      <c r="C15" s="3426"/>
      <c r="D15" s="1695">
        <f>ROUND(D6*E15,0)</f>
        <v>0</v>
      </c>
      <c r="E15" s="1696">
        <v>5.5E-2</v>
      </c>
      <c r="F15" s="1687" t="s">
        <v>1533</v>
      </c>
      <c r="G15" s="1674"/>
      <c r="H15" s="1662"/>
      <c r="I15" s="1747"/>
      <c r="J15" s="3417">
        <v>2</v>
      </c>
      <c r="K15" s="3420"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2" customHeight="1">
      <c r="A16" s="1692" t="s">
        <v>1539</v>
      </c>
      <c r="B16" s="3425" t="s">
        <v>1540</v>
      </c>
      <c r="C16" s="3426"/>
      <c r="D16" s="1701">
        <f>D6*E16</f>
        <v>0</v>
      </c>
      <c r="E16" s="1702"/>
      <c r="F16" s="1690" t="s">
        <v>1541</v>
      </c>
      <c r="G16" s="1674"/>
      <c r="H16" s="1662"/>
      <c r="I16" s="1747"/>
      <c r="J16" s="3417"/>
      <c r="K16" s="3421"/>
      <c r="L16" s="1767" t="s">
        <v>1542</v>
      </c>
      <c r="M16" s="1768"/>
      <c r="N16" s="1768"/>
      <c r="O16" s="1769"/>
      <c r="P16" s="1700">
        <v>365</v>
      </c>
      <c r="Q16" s="1667"/>
      <c r="R16" s="1803">
        <f>ROUND(M16*N16*O16*P16/10000,0)</f>
        <v>0</v>
      </c>
      <c r="S16" s="1716"/>
      <c r="T16" s="1716"/>
      <c r="U16" s="1716"/>
      <c r="V16" s="1747"/>
    </row>
    <row r="17" spans="1:22" s="1644" customFormat="1" ht="13.2" customHeight="1">
      <c r="A17" s="1703">
        <v>4</v>
      </c>
      <c r="B17" s="3427" t="s">
        <v>1543</v>
      </c>
      <c r="C17" s="3428"/>
      <c r="D17" s="1704">
        <f>ROUND(D6*E17,0)</f>
        <v>0</v>
      </c>
      <c r="E17" s="1705"/>
      <c r="F17" s="1706" t="s">
        <v>1544</v>
      </c>
      <c r="G17" s="1674"/>
      <c r="H17" s="1662"/>
      <c r="I17" s="1747"/>
      <c r="J17" s="3417"/>
      <c r="K17" s="3421"/>
      <c r="L17" s="1767" t="s">
        <v>1545</v>
      </c>
      <c r="M17" s="1768"/>
      <c r="N17" s="1768"/>
      <c r="O17" s="1769"/>
      <c r="P17" s="1700">
        <v>365</v>
      </c>
      <c r="Q17" s="1667"/>
      <c r="R17" s="1803">
        <f>ROUND(M17*N17*O17*P17/10000,0)</f>
        <v>0</v>
      </c>
      <c r="S17" s="1716"/>
      <c r="T17" s="1716"/>
      <c r="U17" s="1716"/>
      <c r="V17" s="1747"/>
    </row>
    <row r="18" spans="1:22" s="1644" customFormat="1" ht="13.2" customHeight="1">
      <c r="A18" s="1675" t="s">
        <v>1546</v>
      </c>
      <c r="B18" s="1676"/>
      <c r="C18" s="1676"/>
      <c r="D18" s="1707">
        <f>ROUND(D6*E18,0)</f>
        <v>0</v>
      </c>
      <c r="E18" s="1708"/>
      <c r="F18" s="1709" t="s">
        <v>1547</v>
      </c>
      <c r="G18" s="1674"/>
      <c r="H18" s="1662"/>
      <c r="I18" s="1747"/>
      <c r="J18" s="3417"/>
      <c r="K18" s="3421"/>
      <c r="L18" s="1767" t="s">
        <v>1548</v>
      </c>
      <c r="M18" s="1768"/>
      <c r="N18" s="1768"/>
      <c r="O18" s="1769"/>
      <c r="P18" s="1700">
        <v>365</v>
      </c>
      <c r="Q18" s="1667"/>
      <c r="R18" s="1803">
        <f>ROUND(M18*N18*O18*P18/10000,0)</f>
        <v>0</v>
      </c>
      <c r="S18" s="1716"/>
      <c r="T18" s="1716"/>
      <c r="U18" s="1716"/>
      <c r="V18" s="1747"/>
    </row>
    <row r="19" spans="1:22" s="1644" customFormat="1" ht="13.2" customHeight="1">
      <c r="A19" s="1710" t="s">
        <v>1549</v>
      </c>
      <c r="B19" s="1672"/>
      <c r="C19" s="1672"/>
      <c r="D19" s="1672"/>
      <c r="E19" s="1672"/>
      <c r="F19" s="1673"/>
      <c r="G19" s="1688"/>
      <c r="H19" s="1662"/>
      <c r="I19" s="1747"/>
      <c r="J19" s="3417"/>
      <c r="K19" s="3422"/>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2" customHeight="1">
      <c r="A20" s="1675"/>
      <c r="B20" s="1676"/>
      <c r="C20" s="1676"/>
      <c r="D20" s="1676"/>
      <c r="E20" s="1676"/>
      <c r="F20" s="1711"/>
      <c r="G20" s="1688"/>
      <c r="H20" s="1662"/>
      <c r="I20" s="1747"/>
      <c r="J20" s="3417">
        <v>3</v>
      </c>
      <c r="K20" s="3420"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2" customHeight="1">
      <c r="A21" s="1675"/>
      <c r="B21" s="1676"/>
      <c r="C21" s="1683" t="s">
        <v>1556</v>
      </c>
      <c r="D21" s="1712" t="s">
        <v>1557</v>
      </c>
      <c r="E21" s="1684" t="s">
        <v>1558</v>
      </c>
      <c r="F21" s="1711"/>
      <c r="G21" s="1688"/>
      <c r="H21" s="1662"/>
      <c r="I21" s="1747"/>
      <c r="J21" s="3417"/>
      <c r="K21" s="3421"/>
      <c r="L21" s="1767" t="s">
        <v>1559</v>
      </c>
      <c r="M21" s="1768"/>
      <c r="N21" s="1768"/>
      <c r="O21" s="1769"/>
      <c r="P21" s="1700">
        <v>365</v>
      </c>
      <c r="Q21" s="1667"/>
      <c r="R21" s="1805">
        <f>ROUND(M21*N21*O21*P21/10000,0)</f>
        <v>0</v>
      </c>
      <c r="S21" s="1716"/>
      <c r="T21" s="1716"/>
      <c r="U21" s="1716"/>
      <c r="V21" s="1747"/>
    </row>
    <row r="22" spans="1:22" s="1644" customFormat="1" ht="13.2" customHeight="1">
      <c r="A22" s="1675"/>
      <c r="B22" s="1676"/>
      <c r="C22" s="1713" t="s">
        <v>1560</v>
      </c>
      <c r="D22" s="1714" t="s">
        <v>1561</v>
      </c>
      <c r="E22" s="1715" t="s">
        <v>1562</v>
      </c>
      <c r="F22" s="1711"/>
      <c r="G22" s="1716"/>
      <c r="H22" s="1662"/>
      <c r="I22" s="1747"/>
      <c r="J22" s="3417"/>
      <c r="K22" s="3421"/>
      <c r="L22" s="1767" t="s">
        <v>1563</v>
      </c>
      <c r="M22" s="1768"/>
      <c r="N22" s="1768"/>
      <c r="O22" s="1769"/>
      <c r="P22" s="1700">
        <v>365</v>
      </c>
      <c r="Q22" s="1667"/>
      <c r="R22" s="1805">
        <f>ROUND(M22*N22*O22*P22/10000,0)</f>
        <v>0</v>
      </c>
      <c r="S22" s="1716"/>
      <c r="T22" s="1716"/>
      <c r="U22" s="1716"/>
      <c r="V22" s="1747"/>
    </row>
    <row r="23" spans="1:22" s="1644" customFormat="1" ht="13.2" customHeight="1">
      <c r="A23" s="1717">
        <v>1</v>
      </c>
      <c r="B23" s="1718" t="s">
        <v>1564</v>
      </c>
      <c r="C23" s="1719">
        <f>D6</f>
        <v>0</v>
      </c>
      <c r="D23" s="1720">
        <f>C23*(1+D24)</f>
        <v>0</v>
      </c>
      <c r="E23" s="1721">
        <f>D23*(1+E24)</f>
        <v>0</v>
      </c>
      <c r="F23" s="1722"/>
      <c r="G23" s="1723"/>
      <c r="H23" s="1662"/>
      <c r="I23" s="1747"/>
      <c r="J23" s="3417"/>
      <c r="K23" s="3421"/>
      <c r="L23" s="1767" t="s">
        <v>1565</v>
      </c>
      <c r="M23" s="1768"/>
      <c r="N23" s="1768"/>
      <c r="O23" s="1769"/>
      <c r="P23" s="1700">
        <v>365</v>
      </c>
      <c r="Q23" s="1667"/>
      <c r="R23" s="1805">
        <f>ROUND(M23*N23*O23*P23/10000,0)</f>
        <v>0</v>
      </c>
      <c r="S23" s="1716"/>
      <c r="T23" s="1716"/>
      <c r="U23" s="1716"/>
      <c r="V23" s="1747"/>
    </row>
    <row r="24" spans="1:22" s="1644" customFormat="1" ht="13.2" customHeight="1">
      <c r="A24" s="1724"/>
      <c r="B24" s="1725" t="s">
        <v>1566</v>
      </c>
      <c r="C24" s="1726"/>
      <c r="D24" s="1727"/>
      <c r="E24" s="1728"/>
      <c r="F24" s="1729"/>
      <c r="G24" s="1723"/>
      <c r="H24" s="1662"/>
      <c r="I24" s="1747"/>
      <c r="J24" s="3417"/>
      <c r="K24" s="3422"/>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2"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2" customHeight="1">
      <c r="A26" s="1717">
        <v>2</v>
      </c>
      <c r="B26" s="1718" t="s">
        <v>1568</v>
      </c>
      <c r="C26" s="1719">
        <f>D7</f>
        <v>0</v>
      </c>
      <c r="D26" s="1720">
        <f>D23*D27</f>
        <v>0</v>
      </c>
      <c r="E26" s="1721">
        <f>E23*E27</f>
        <v>0</v>
      </c>
      <c r="F26" s="1722"/>
      <c r="G26" s="1723"/>
      <c r="H26" s="1662"/>
      <c r="I26" s="1747"/>
      <c r="J26" s="3418">
        <v>5</v>
      </c>
      <c r="K26" s="1778" t="s">
        <v>1569</v>
      </c>
      <c r="L26" s="1779"/>
      <c r="M26" s="1780"/>
      <c r="N26" s="1781" t="s">
        <v>504</v>
      </c>
      <c r="O26" s="1781" t="s">
        <v>1570</v>
      </c>
      <c r="P26" s="1782" t="s">
        <v>1571</v>
      </c>
      <c r="Q26" s="1782" t="s">
        <v>1572</v>
      </c>
      <c r="R26" s="1798" t="s">
        <v>1501</v>
      </c>
      <c r="S26" s="1688"/>
      <c r="T26" s="1688"/>
      <c r="U26" s="1688"/>
      <c r="V26" s="1783"/>
    </row>
    <row r="27" spans="1:22" s="1644" customFormat="1" ht="13.2" customHeight="1">
      <c r="A27" s="1724"/>
      <c r="B27" s="1725" t="s">
        <v>1573</v>
      </c>
      <c r="C27" s="1730" t="e">
        <f>E7</f>
        <v>#DIV/0!</v>
      </c>
      <c r="D27" s="1727"/>
      <c r="E27" s="1728"/>
      <c r="F27" s="1729"/>
      <c r="G27" s="1723"/>
      <c r="H27" s="1731"/>
      <c r="I27" s="1783"/>
      <c r="J27" s="3419"/>
      <c r="K27" s="1784"/>
      <c r="L27" s="1785"/>
      <c r="M27" s="1786"/>
      <c r="N27" s="1787"/>
      <c r="O27" s="1787"/>
      <c r="P27" s="1787"/>
      <c r="Q27" s="1807"/>
      <c r="R27" s="1804">
        <f>ROUND(O27*N27*P27*(1-Q27)/10000,0)</f>
        <v>0</v>
      </c>
      <c r="S27" s="1716"/>
      <c r="T27" s="1716"/>
      <c r="U27" s="1716"/>
      <c r="V27" s="1747"/>
    </row>
    <row r="28" spans="1:22" s="1645" customFormat="1" ht="13.2"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2"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2"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2"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2" customHeight="1">
      <c r="A32" s="1717">
        <v>4</v>
      </c>
      <c r="B32" s="1718" t="s">
        <v>1581</v>
      </c>
      <c r="C32" s="1719">
        <f>C23-C26-C29</f>
        <v>0</v>
      </c>
      <c r="D32" s="1720">
        <f>D23-D26-D29</f>
        <v>0</v>
      </c>
      <c r="E32" s="1721">
        <f>E23-E26-E29</f>
        <v>0</v>
      </c>
      <c r="F32" s="1722"/>
      <c r="G32" s="1716"/>
      <c r="H32" s="1662"/>
      <c r="I32" s="1747"/>
      <c r="J32" s="3429" t="s">
        <v>1479</v>
      </c>
      <c r="K32" s="3430"/>
      <c r="L32" s="1758" t="s">
        <v>1480</v>
      </c>
      <c r="M32" s="1758" t="s">
        <v>1481</v>
      </c>
      <c r="N32" s="1758" t="s">
        <v>1482</v>
      </c>
      <c r="O32" s="1758" t="s">
        <v>1483</v>
      </c>
      <c r="P32" s="1758" t="s">
        <v>1484</v>
      </c>
      <c r="Q32" s="1795" t="s">
        <v>1485</v>
      </c>
      <c r="R32" s="1810" t="s">
        <v>1486</v>
      </c>
      <c r="S32" s="1716"/>
      <c r="T32" s="1716"/>
      <c r="U32" s="1716"/>
      <c r="V32" s="1783"/>
    </row>
    <row r="33" spans="1:23" s="1644" customFormat="1" ht="13.2" customHeight="1">
      <c r="A33" s="1717"/>
      <c r="B33" s="1718"/>
      <c r="C33" s="1719"/>
      <c r="D33" s="1734"/>
      <c r="E33" s="1694"/>
      <c r="F33" s="1722"/>
      <c r="G33" s="1716"/>
      <c r="H33" s="1731"/>
      <c r="I33" s="1783"/>
      <c r="J33" s="3423" t="s">
        <v>1487</v>
      </c>
      <c r="K33" s="3424"/>
      <c r="L33" s="1759"/>
      <c r="M33" s="1759"/>
      <c r="N33" s="1759"/>
      <c r="O33" s="1759"/>
      <c r="P33" s="1759"/>
      <c r="Q33" s="1797"/>
      <c r="R33" s="1811">
        <f>SUM(L33:Q33)</f>
        <v>0</v>
      </c>
      <c r="S33" s="1716"/>
      <c r="T33" s="1716"/>
      <c r="U33" s="1716"/>
      <c r="V33" s="1747"/>
    </row>
    <row r="34" spans="1:23" s="1644" customFormat="1" ht="13.2" customHeight="1">
      <c r="A34" s="1717">
        <v>5</v>
      </c>
      <c r="B34" s="1718" t="s">
        <v>1582</v>
      </c>
      <c r="C34" s="1735"/>
      <c r="D34" s="1736"/>
      <c r="E34" s="1737"/>
      <c r="F34" s="1722"/>
      <c r="G34" s="1716"/>
      <c r="H34" s="1731"/>
      <c r="I34" s="1783"/>
      <c r="J34" s="3423" t="s">
        <v>1489</v>
      </c>
      <c r="K34" s="3424"/>
      <c r="L34" s="1760"/>
      <c r="M34" s="1760"/>
      <c r="N34" s="1760"/>
      <c r="O34" s="1760"/>
      <c r="P34" s="1760"/>
      <c r="Q34" s="1799"/>
      <c r="R34" s="1812">
        <f>SUM(L34:Q34)</f>
        <v>0</v>
      </c>
      <c r="S34" s="1716"/>
      <c r="T34" s="1716"/>
      <c r="U34" s="1716" t="e">
        <f>ROUND(R35*10000/365/R33,1)</f>
        <v>#DIV/0!</v>
      </c>
      <c r="V34" s="1747"/>
    </row>
    <row r="35" spans="1:23" s="1644" customFormat="1" ht="13.2"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2" customHeight="1">
      <c r="A36" s="1717">
        <v>7</v>
      </c>
      <c r="B36" s="1742" t="s">
        <v>1584</v>
      </c>
      <c r="C36" s="1743"/>
      <c r="D36" s="1744"/>
      <c r="E36" s="1745"/>
      <c r="F36" s="1746">
        <f>C36+D36+E36</f>
        <v>0</v>
      </c>
      <c r="G36" s="1716"/>
      <c r="H36" s="1662"/>
      <c r="I36" s="1747"/>
      <c r="J36" s="3417">
        <v>1</v>
      </c>
      <c r="K36" s="3420" t="s">
        <v>1585</v>
      </c>
      <c r="L36" s="1765"/>
      <c r="M36" s="1766"/>
      <c r="N36" s="1766"/>
      <c r="O36" s="1766"/>
      <c r="P36" s="1766"/>
      <c r="Q36" s="1766"/>
      <c r="R36" s="1798" t="s">
        <v>1501</v>
      </c>
      <c r="S36" s="1716"/>
      <c r="T36" s="1716" t="s">
        <v>1502</v>
      </c>
      <c r="U36" s="1716"/>
      <c r="V36" s="1747"/>
    </row>
    <row r="37" spans="1:23" s="1644" customFormat="1" ht="13.2" customHeight="1">
      <c r="A37" s="1717"/>
      <c r="B37" s="1718"/>
      <c r="C37" s="1718"/>
      <c r="D37" s="1718"/>
      <c r="E37" s="1718"/>
      <c r="F37" s="1722"/>
      <c r="G37" s="1716"/>
      <c r="H37" s="1662"/>
      <c r="I37" s="1747"/>
      <c r="J37" s="3417"/>
      <c r="K37" s="3421"/>
      <c r="L37" s="1767"/>
      <c r="M37" s="1768"/>
      <c r="N37" s="1667"/>
      <c r="O37" s="1769"/>
      <c r="P37" s="1769"/>
      <c r="Q37" s="1700"/>
      <c r="R37" s="1801"/>
      <c r="S37" s="1716"/>
      <c r="T37" s="1716" t="s">
        <v>1505</v>
      </c>
      <c r="U37" s="1716"/>
      <c r="V37" s="1747"/>
    </row>
    <row r="38" spans="1:23" s="1644" customFormat="1" ht="13.2" customHeight="1">
      <c r="A38" s="1717">
        <v>8</v>
      </c>
      <c r="B38" s="1718"/>
      <c r="C38" s="1685" t="e">
        <f>ROUND(C32*(1-((1+C35)/(1+C34))^C36)/(C34-C35),0)</f>
        <v>#DIV/0!</v>
      </c>
      <c r="D38" s="1685">
        <f>IF(D23=0,0,ROUND(D32*(1-((1+D35)/(1+D34))^D36)/(D34-D35),0))</f>
        <v>0</v>
      </c>
      <c r="E38" s="1685">
        <f>IF(E23=0,0,ROUND(E32*(1-((1+E35)/(1+E34))^E36)/(E34-E35),0))</f>
        <v>0</v>
      </c>
      <c r="F38" s="1722"/>
      <c r="G38" s="1716"/>
      <c r="H38" s="1662"/>
      <c r="I38" s="1747"/>
      <c r="J38" s="3417"/>
      <c r="K38" s="3421"/>
      <c r="L38" s="1767"/>
      <c r="M38" s="1768"/>
      <c r="N38" s="1667"/>
      <c r="O38" s="1769"/>
      <c r="P38" s="1769"/>
      <c r="Q38" s="1700"/>
      <c r="R38" s="1801"/>
      <c r="S38" s="1716"/>
      <c r="T38" s="1716" t="s">
        <v>1512</v>
      </c>
      <c r="U38" s="1716"/>
      <c r="V38" s="1747"/>
    </row>
    <row r="39" spans="1:23" s="1644" customFormat="1" ht="13.2" customHeight="1">
      <c r="A39" s="1717">
        <v>9</v>
      </c>
      <c r="B39" s="1718" t="s">
        <v>1586</v>
      </c>
      <c r="C39" s="1695" t="e">
        <f>C38</f>
        <v>#DIV/0!</v>
      </c>
      <c r="D39" s="1718">
        <f>D38/(1+D34)^C36</f>
        <v>0</v>
      </c>
      <c r="E39" s="1718">
        <f>E38/(1+E34)^(C36+D36)</f>
        <v>0</v>
      </c>
      <c r="F39" s="1722"/>
      <c r="G39" s="1747"/>
      <c r="H39" s="1662"/>
      <c r="I39" s="1747"/>
      <c r="J39" s="3417"/>
      <c r="K39" s="3421"/>
      <c r="L39" s="1767"/>
      <c r="M39" s="1768"/>
      <c r="N39" s="1667"/>
      <c r="O39" s="1769"/>
      <c r="P39" s="1769"/>
      <c r="Q39" s="1700"/>
      <c r="R39" s="1801"/>
      <c r="S39" s="1716"/>
      <c r="T39" s="1716"/>
      <c r="U39" s="1716"/>
      <c r="V39" s="1747"/>
    </row>
    <row r="40" spans="1:23" s="1644" customFormat="1" ht="13.2" customHeight="1">
      <c r="A40" s="1748">
        <v>10</v>
      </c>
      <c r="B40" s="1718" t="s">
        <v>1587</v>
      </c>
      <c r="C40" s="1749" t="e">
        <f>C39+D39+E39</f>
        <v>#DIV/0!</v>
      </c>
      <c r="D40" s="1750"/>
      <c r="E40" s="1750"/>
      <c r="F40" s="1751"/>
      <c r="G40" s="1716"/>
      <c r="H40" s="1662"/>
      <c r="I40" s="1747"/>
      <c r="J40" s="3417"/>
      <c r="K40" s="3422"/>
      <c r="L40" s="1770" t="s">
        <v>1530</v>
      </c>
      <c r="M40" s="1771"/>
      <c r="N40" s="1771"/>
      <c r="O40" s="1772"/>
      <c r="P40" s="1772"/>
      <c r="Q40" s="1802"/>
      <c r="R40" s="1796">
        <f>SUM(R37:R39)</f>
        <v>0</v>
      </c>
      <c r="S40" s="1716"/>
      <c r="T40" s="1716"/>
      <c r="U40" s="1716"/>
      <c r="V40" s="1747"/>
    </row>
    <row r="41" spans="1:23" s="1644" customFormat="1" ht="13.2"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2" customHeight="1">
      <c r="G42" s="1662"/>
      <c r="H42" s="1662"/>
      <c r="I42" s="1747"/>
      <c r="J42" s="3418">
        <v>3</v>
      </c>
      <c r="K42" s="1778" t="s">
        <v>1569</v>
      </c>
      <c r="L42" s="1779"/>
      <c r="M42" s="1780"/>
      <c r="N42" s="1781" t="s">
        <v>504</v>
      </c>
      <c r="O42" s="1781" t="s">
        <v>1570</v>
      </c>
      <c r="P42" s="1782" t="s">
        <v>1571</v>
      </c>
      <c r="Q42" s="1782" t="s">
        <v>1572</v>
      </c>
      <c r="R42" s="1798" t="s">
        <v>1501</v>
      </c>
      <c r="S42" s="1688"/>
      <c r="T42" s="1688"/>
      <c r="U42" s="1716"/>
      <c r="V42" s="1747"/>
    </row>
    <row r="43" spans="1:23" ht="13.2" customHeight="1">
      <c r="A43" s="1644"/>
      <c r="B43" s="1644"/>
      <c r="C43" s="1644"/>
      <c r="D43" s="1644"/>
      <c r="E43" s="1644"/>
      <c r="F43" s="1644"/>
      <c r="I43" s="1647"/>
      <c r="J43" s="3419"/>
      <c r="K43" s="1784"/>
      <c r="L43" s="1785"/>
      <c r="M43" s="1786"/>
      <c r="N43" s="1768"/>
      <c r="O43" s="1768"/>
      <c r="P43" s="1768"/>
      <c r="Q43" s="1806"/>
      <c r="R43" s="1804">
        <f>ROUND(O43*N43*P43*(1-Q43)/10000,0)</f>
        <v>0</v>
      </c>
      <c r="S43" s="1716"/>
      <c r="T43" s="1716"/>
      <c r="V43" s="1649"/>
      <c r="W43" s="1814"/>
    </row>
    <row r="44" spans="1:23" ht="13.2"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39" sqref="F39:F48"/>
    </sheetView>
  </sheetViews>
  <sheetFormatPr defaultColWidth="9" defaultRowHeight="13.8"/>
  <cols>
    <col min="1" max="1" width="23.6640625" style="880" customWidth="1"/>
    <col min="2" max="2" width="12" style="880" customWidth="1"/>
    <col min="3" max="3" width="9" style="880"/>
    <col min="4" max="4" width="14.109375" style="880" customWidth="1"/>
    <col min="5" max="5" width="9" style="880"/>
    <col min="6" max="6" width="12.88671875" style="880" customWidth="1"/>
    <col min="7" max="16384" width="9" style="880"/>
  </cols>
  <sheetData>
    <row r="1" spans="1:22" ht="21.6">
      <c r="A1" s="881" t="s">
        <v>1589</v>
      </c>
      <c r="B1" s="685"/>
      <c r="C1" s="685"/>
      <c r="D1" s="685"/>
      <c r="E1" s="1626"/>
      <c r="F1" s="1627"/>
      <c r="G1" s="1507"/>
      <c r="H1" s="1507"/>
      <c r="I1" s="1507"/>
      <c r="J1" s="1507"/>
      <c r="K1" s="1507"/>
      <c r="L1" s="1507"/>
      <c r="M1" s="1507"/>
      <c r="N1" s="1507"/>
      <c r="O1" s="1507"/>
      <c r="P1" s="1507"/>
      <c r="Q1" s="1507"/>
      <c r="R1" s="1507"/>
      <c r="S1" s="1507"/>
    </row>
    <row r="2" spans="1:22" ht="15.6">
      <c r="A2" s="1628" t="s">
        <v>1029</v>
      </c>
      <c r="B2" s="713">
        <f ca="1">SUMIF(B6:B13,"&lt;&gt;#ref!",B6:B13)</f>
        <v>1104.403</v>
      </c>
      <c r="C2" s="1629" t="s">
        <v>1590</v>
      </c>
      <c r="D2" s="1630" t="s">
        <v>1591</v>
      </c>
      <c r="E2" s="1631">
        <f>SUM(E6:E13)</f>
        <v>240.83</v>
      </c>
      <c r="F2" s="1627"/>
      <c r="G2" s="1507"/>
      <c r="H2" s="1507"/>
      <c r="I2" s="1507"/>
      <c r="J2" s="1507"/>
      <c r="K2" s="1507"/>
      <c r="L2" s="1507"/>
      <c r="M2" s="1507"/>
      <c r="N2" s="1507"/>
      <c r="O2" s="1507"/>
      <c r="P2" s="1507"/>
      <c r="Q2" s="1507"/>
      <c r="R2" s="1507"/>
      <c r="S2" s="1507"/>
    </row>
    <row r="3" spans="1:22" ht="15.6">
      <c r="A3" s="1628" t="s">
        <v>1031</v>
      </c>
      <c r="B3" s="1632">
        <f ca="1">ROUND(B2*10000/E2,0)</f>
        <v>45858</v>
      </c>
      <c r="C3" s="1629" t="s">
        <v>1592</v>
      </c>
      <c r="D3" s="1627"/>
      <c r="E3" s="1633"/>
      <c r="F3" s="1627"/>
      <c r="G3" s="1507"/>
      <c r="H3" s="1507"/>
      <c r="I3" s="1507"/>
      <c r="J3" s="1507"/>
      <c r="K3" s="1507"/>
      <c r="L3" s="1507"/>
      <c r="M3" s="1507"/>
      <c r="N3" s="1507"/>
      <c r="O3" s="1507"/>
      <c r="P3" s="1507"/>
      <c r="Q3" s="1507"/>
      <c r="R3" s="1507"/>
      <c r="S3" s="1507"/>
    </row>
    <row r="4" spans="1:22" ht="15.6">
      <c r="A4" s="1634"/>
      <c r="B4" s="1627"/>
      <c r="C4" s="1627"/>
      <c r="D4" s="1627"/>
      <c r="E4" s="1633"/>
      <c r="F4" s="1627"/>
      <c r="G4" s="1507"/>
      <c r="H4" s="1507"/>
      <c r="I4" s="1507"/>
      <c r="J4" s="1507"/>
      <c r="K4" s="1507"/>
      <c r="L4" s="1507"/>
      <c r="M4" s="1507"/>
      <c r="N4" s="1507"/>
      <c r="O4" s="1507"/>
      <c r="P4" s="1507"/>
      <c r="Q4" s="1507"/>
      <c r="R4" s="1507"/>
      <c r="S4" s="1507"/>
    </row>
    <row r="5" spans="1:22" ht="14.4">
      <c r="A5" s="1635" t="s">
        <v>1593</v>
      </c>
      <c r="B5" s="3436" t="s">
        <v>1594</v>
      </c>
      <c r="C5" s="3437"/>
      <c r="D5" s="1636"/>
      <c r="E5" s="1637" t="s">
        <v>1595</v>
      </c>
      <c r="F5" s="1592" t="s">
        <v>1596</v>
      </c>
      <c r="G5" s="1507"/>
      <c r="H5" s="1507"/>
      <c r="I5" s="1507"/>
      <c r="J5" s="1507"/>
      <c r="K5" s="1507"/>
      <c r="L5" s="1507"/>
      <c r="M5" s="1507"/>
      <c r="N5" s="1507"/>
      <c r="O5" s="1507"/>
      <c r="P5" s="1507"/>
      <c r="Q5" s="1507"/>
      <c r="R5" s="1507"/>
      <c r="S5" s="1507"/>
    </row>
    <row r="6" spans="1:22" ht="14.4">
      <c r="A6" s="1638" t="str">
        <f>'数据-取费表'!AN6</f>
        <v>收益法 (元)</v>
      </c>
      <c r="B6" s="884">
        <f ca="1">IF(F6="是",'数据-取费表'!AO6,0)</f>
        <v>1104.403</v>
      </c>
      <c r="C6" s="1629" t="s">
        <v>1590</v>
      </c>
      <c r="D6" s="1627"/>
      <c r="E6" s="1639">
        <f>IF(OR(A6=0,F6="否"),0,'数据-取费表'!K6+'数据-取费表'!S6)</f>
        <v>240.83</v>
      </c>
      <c r="F6" s="1640" t="s">
        <v>1597</v>
      </c>
      <c r="G6" s="1507"/>
      <c r="H6" s="1507"/>
      <c r="I6" s="1507"/>
      <c r="J6" s="1507"/>
      <c r="K6" s="1507"/>
      <c r="L6" s="1507"/>
      <c r="M6" s="1507"/>
      <c r="N6" s="1507"/>
      <c r="O6" s="1507"/>
      <c r="P6" s="1507"/>
      <c r="Q6" s="1507"/>
      <c r="R6" s="1507"/>
      <c r="S6" s="1507"/>
    </row>
    <row r="7" spans="1:22" ht="14.4">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ht="14.4">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ht="14.4">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ht="14.4">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ht="14.4">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ht="14.4">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ht="14.4">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3.8"/>
  <cols>
    <col min="1" max="1" width="10.44140625" style="1014" customWidth="1"/>
    <col min="2" max="3" width="15.77734375" style="1014" customWidth="1"/>
    <col min="4" max="4" width="12.21875" style="1014" customWidth="1"/>
    <col min="5" max="5" width="17.109375" style="1014" customWidth="1"/>
    <col min="6" max="6" width="12.21875" style="1014" customWidth="1"/>
    <col min="7" max="7" width="16.44140625" style="1014" customWidth="1"/>
    <col min="8" max="8" width="12.21875" style="1014" customWidth="1"/>
    <col min="9" max="9" width="15.6640625" style="1014" customWidth="1"/>
    <col min="10" max="10" width="12.21875" style="1014" customWidth="1"/>
    <col min="11" max="11" width="12.21875" style="1015" customWidth="1"/>
    <col min="12" max="12" width="12.21875" style="1016" customWidth="1"/>
    <col min="13" max="15" width="12.21875" style="1014" customWidth="1"/>
    <col min="16" max="16" width="4.77734375" style="151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240.83</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4.4">
      <c r="A4" s="1027" t="s">
        <v>1378</v>
      </c>
      <c r="B4" s="1028"/>
      <c r="C4" s="3399" t="s">
        <v>1379</v>
      </c>
      <c r="D4" s="3400"/>
      <c r="E4" s="3401" t="s">
        <v>1380</v>
      </c>
      <c r="F4" s="3402"/>
      <c r="G4" s="3399" t="s">
        <v>1381</v>
      </c>
      <c r="H4" s="3400"/>
      <c r="I4" s="3399" t="s">
        <v>1382</v>
      </c>
      <c r="J4" s="3400"/>
      <c r="K4" s="1561" t="s">
        <v>1383</v>
      </c>
      <c r="L4" s="1172"/>
      <c r="M4" s="1122"/>
      <c r="N4" s="1122"/>
      <c r="O4" s="1122"/>
      <c r="P4" s="3408" t="s">
        <v>1384</v>
      </c>
      <c r="Q4" s="3409"/>
      <c r="R4" s="3412" t="s">
        <v>1380</v>
      </c>
      <c r="S4" s="3413"/>
      <c r="T4" s="3412" t="s">
        <v>1381</v>
      </c>
      <c r="U4" s="3413"/>
      <c r="V4" s="3376" t="s">
        <v>1382</v>
      </c>
      <c r="W4" s="3376"/>
      <c r="X4" s="1214"/>
      <c r="Y4" s="3412" t="s">
        <v>1384</v>
      </c>
      <c r="Z4" s="3413"/>
      <c r="AA4" s="3407" t="s">
        <v>1380</v>
      </c>
      <c r="AB4" s="3407" t="s">
        <v>1381</v>
      </c>
      <c r="AC4" s="3407" t="s">
        <v>1382</v>
      </c>
    </row>
    <row r="5" spans="1:29">
      <c r="A5" s="1029"/>
      <c r="B5" s="1030"/>
      <c r="C5" s="3403" t="s">
        <v>1385</v>
      </c>
      <c r="D5" s="3404"/>
      <c r="E5" s="3405" t="s">
        <v>1386</v>
      </c>
      <c r="F5" s="3406"/>
      <c r="G5" s="3403" t="s">
        <v>1387</v>
      </c>
      <c r="H5" s="3404"/>
      <c r="I5" s="3403" t="s">
        <v>1388</v>
      </c>
      <c r="J5" s="3404"/>
      <c r="K5" s="1562"/>
      <c r="L5" s="1172"/>
      <c r="M5" s="1122"/>
      <c r="N5" s="1122"/>
      <c r="O5" s="1122"/>
      <c r="P5" s="3410"/>
      <c r="Q5" s="3366"/>
      <c r="R5" s="3371"/>
      <c r="S5" s="3372"/>
      <c r="T5" s="3371"/>
      <c r="U5" s="3372"/>
      <c r="V5" s="3376"/>
      <c r="W5" s="3376"/>
      <c r="X5" s="1214"/>
      <c r="Y5" s="3371"/>
      <c r="Z5" s="3372"/>
      <c r="AA5" s="3358"/>
      <c r="AB5" s="3358"/>
      <c r="AC5" s="3358"/>
    </row>
    <row r="6" spans="1:29" ht="14.4">
      <c r="A6" s="1031"/>
      <c r="B6" s="1032"/>
      <c r="C6" s="3394" t="s">
        <v>1389</v>
      </c>
      <c r="D6" s="3395"/>
      <c r="E6" s="3396" t="s">
        <v>1389</v>
      </c>
      <c r="F6" s="3397"/>
      <c r="G6" s="3394" t="s">
        <v>1389</v>
      </c>
      <c r="H6" s="3395"/>
      <c r="I6" s="3394" t="s">
        <v>1389</v>
      </c>
      <c r="J6" s="3395"/>
      <c r="K6" s="1562" t="s">
        <v>1390</v>
      </c>
      <c r="L6" s="1172"/>
      <c r="M6" s="1122"/>
      <c r="N6" s="1122"/>
      <c r="O6" s="1122"/>
      <c r="P6" s="3411"/>
      <c r="Q6" s="3368"/>
      <c r="R6" s="3371"/>
      <c r="S6" s="3372"/>
      <c r="T6" s="3373"/>
      <c r="U6" s="3374"/>
      <c r="V6" s="3376"/>
      <c r="W6" s="3376"/>
      <c r="X6" s="1214"/>
      <c r="Y6" s="3373"/>
      <c r="Z6" s="3374"/>
      <c r="AA6" s="3359"/>
      <c r="AB6" s="3359"/>
      <c r="AC6" s="3359"/>
    </row>
    <row r="7" spans="1:29" s="1008" customFormat="1" ht="14.4">
      <c r="A7" s="1033" t="s">
        <v>1391</v>
      </c>
      <c r="B7" s="1034"/>
      <c r="C7" s="1035">
        <f>'数据-取费表'!B2</f>
        <v>45924</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82" t="s">
        <v>1392</v>
      </c>
      <c r="Q7" s="3398"/>
      <c r="R7" s="1215" t="s">
        <v>1393</v>
      </c>
      <c r="S7" s="1216">
        <f t="shared" ref="S7:S15" si="0">F7</f>
        <v>0</v>
      </c>
      <c r="T7" s="1215" t="s">
        <v>1393</v>
      </c>
      <c r="U7" s="1216">
        <f t="shared" ref="U7:U15" si="1">H7</f>
        <v>0</v>
      </c>
      <c r="V7" s="1215" t="s">
        <v>1393</v>
      </c>
      <c r="W7" s="1216">
        <f t="shared" ref="W7:W15" si="2">J7</f>
        <v>0</v>
      </c>
      <c r="X7" s="1217"/>
      <c r="Y7" s="3382" t="s">
        <v>1392</v>
      </c>
      <c r="Z7" s="3383"/>
      <c r="AA7" s="1227" t="e">
        <f>D7/F7</f>
        <v>#DIV/0!</v>
      </c>
      <c r="AB7" s="1227" t="e">
        <f>D7/H7</f>
        <v>#DIV/0!</v>
      </c>
      <c r="AC7" s="1227" t="e">
        <f>D7/J7</f>
        <v>#DIV/0!</v>
      </c>
    </row>
    <row r="8" spans="1:29" s="1008" customFormat="1" ht="14.4">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82" t="s">
        <v>1397</v>
      </c>
      <c r="Q8" s="3383"/>
      <c r="R8" s="1215" t="s">
        <v>1393</v>
      </c>
      <c r="S8" s="1216">
        <f t="shared" si="0"/>
        <v>100</v>
      </c>
      <c r="T8" s="1215" t="s">
        <v>1393</v>
      </c>
      <c r="U8" s="1216">
        <f t="shared" si="1"/>
        <v>100</v>
      </c>
      <c r="V8" s="1215" t="s">
        <v>1393</v>
      </c>
      <c r="W8" s="1216">
        <f t="shared" si="2"/>
        <v>100</v>
      </c>
      <c r="X8" s="1217"/>
      <c r="Y8" s="3382" t="s">
        <v>1397</v>
      </c>
      <c r="Z8" s="3383"/>
      <c r="AA8" s="1227">
        <f t="shared" ref="AA8:AA19" si="3">D8/F8</f>
        <v>1</v>
      </c>
      <c r="AB8" s="1227">
        <f t="shared" ref="AB8:AB19" si="4">D8/H8</f>
        <v>1</v>
      </c>
      <c r="AC8" s="1227">
        <f t="shared" ref="AC8:AC19" si="5">D8/J8</f>
        <v>1</v>
      </c>
    </row>
    <row r="9" spans="1:29" s="1008" customFormat="1" ht="14.4">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264" t="s">
        <v>1401</v>
      </c>
      <c r="Z9" s="1227" t="str">
        <f t="shared" ref="Z9:Z15" si="7">Q9</f>
        <v>用途</v>
      </c>
      <c r="AA9" s="1227">
        <f t="shared" si="3"/>
        <v>1</v>
      </c>
      <c r="AB9" s="1227">
        <f t="shared" si="4"/>
        <v>1</v>
      </c>
      <c r="AC9" s="1227">
        <f t="shared" si="5"/>
        <v>1</v>
      </c>
    </row>
    <row r="10" spans="1:29" s="1009" customFormat="1" ht="28.8">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264"/>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7"/>
      <c r="Q11" s="794" t="str">
        <f t="shared" si="6"/>
        <v>容积率</v>
      </c>
      <c r="R11" s="1215" t="s">
        <v>1393</v>
      </c>
      <c r="S11" s="1216" t="e">
        <f t="shared" si="0"/>
        <v>#N/A</v>
      </c>
      <c r="T11" s="1215" t="s">
        <v>1393</v>
      </c>
      <c r="U11" s="1216" t="e">
        <f t="shared" si="1"/>
        <v>#N/A</v>
      </c>
      <c r="V11" s="1215" t="s">
        <v>1393</v>
      </c>
      <c r="W11" s="1216" t="e">
        <f t="shared" si="2"/>
        <v>#N/A</v>
      </c>
      <c r="X11" s="1217"/>
      <c r="Y11" s="3264"/>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264"/>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264"/>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264"/>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85" t="s">
        <v>1406</v>
      </c>
      <c r="Q15" s="625" t="str">
        <f t="shared" si="6"/>
        <v>居住社区成熟度</v>
      </c>
      <c r="R15" s="1219" t="s">
        <v>1393</v>
      </c>
      <c r="S15" s="1220">
        <f t="shared" si="0"/>
        <v>100</v>
      </c>
      <c r="T15" s="1219" t="s">
        <v>1393</v>
      </c>
      <c r="U15" s="1220">
        <f t="shared" si="1"/>
        <v>100</v>
      </c>
      <c r="V15" s="1219" t="s">
        <v>1393</v>
      </c>
      <c r="W15" s="1220">
        <f t="shared" si="2"/>
        <v>100</v>
      </c>
      <c r="X15" s="1214"/>
      <c r="Y15" s="3390"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86"/>
      <c r="Q16" s="625"/>
      <c r="R16" s="1219"/>
      <c r="S16" s="1220"/>
      <c r="T16" s="1219"/>
      <c r="U16" s="1220"/>
      <c r="V16" s="1219"/>
      <c r="W16" s="1220"/>
      <c r="X16" s="1214"/>
      <c r="Y16" s="3391"/>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86"/>
      <c r="Q17" s="625" t="str">
        <f>B17</f>
        <v>交通便捷度</v>
      </c>
      <c r="R17" s="1219" t="s">
        <v>1393</v>
      </c>
      <c r="S17" s="1220">
        <f>F17</f>
        <v>100</v>
      </c>
      <c r="T17" s="1219" t="s">
        <v>1393</v>
      </c>
      <c r="U17" s="1220">
        <f>H17</f>
        <v>100</v>
      </c>
      <c r="V17" s="1219" t="s">
        <v>1393</v>
      </c>
      <c r="W17" s="1220">
        <f>J17</f>
        <v>100</v>
      </c>
      <c r="X17" s="1214"/>
      <c r="Y17" s="3391"/>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86"/>
      <c r="Q18" s="625"/>
      <c r="R18" s="1219"/>
      <c r="S18" s="1220"/>
      <c r="T18" s="1219"/>
      <c r="U18" s="1220"/>
      <c r="V18" s="1219"/>
      <c r="W18" s="1220"/>
      <c r="X18" s="1214"/>
      <c r="Y18" s="3391"/>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86"/>
      <c r="Q19" s="625" t="str">
        <f>B19</f>
        <v>公共配套设施</v>
      </c>
      <c r="R19" s="1219" t="s">
        <v>1393</v>
      </c>
      <c r="S19" s="1220">
        <f>F19</f>
        <v>100</v>
      </c>
      <c r="T19" s="1219" t="s">
        <v>1393</v>
      </c>
      <c r="U19" s="1220">
        <f>H19</f>
        <v>100</v>
      </c>
      <c r="V19" s="1219" t="s">
        <v>1393</v>
      </c>
      <c r="W19" s="1220">
        <f>J19</f>
        <v>100</v>
      </c>
      <c r="X19" s="1214"/>
      <c r="Y19" s="3391"/>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86"/>
      <c r="Q20" s="625"/>
      <c r="R20" s="1219"/>
      <c r="S20" s="1220"/>
      <c r="T20" s="1219"/>
      <c r="U20" s="1220"/>
      <c r="V20" s="1219"/>
      <c r="W20" s="1220"/>
      <c r="X20" s="1214"/>
      <c r="Y20" s="3391"/>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86"/>
      <c r="Q21" s="625" t="str">
        <f>B21</f>
        <v>基础设施水平</v>
      </c>
      <c r="R21" s="1219" t="s">
        <v>1393</v>
      </c>
      <c r="S21" s="1220">
        <f>F21</f>
        <v>100</v>
      </c>
      <c r="T21" s="1219" t="s">
        <v>1393</v>
      </c>
      <c r="U21" s="1220">
        <f>H21</f>
        <v>100</v>
      </c>
      <c r="V21" s="1219" t="s">
        <v>1393</v>
      </c>
      <c r="W21" s="1220">
        <f>J21</f>
        <v>100</v>
      </c>
      <c r="X21" s="1214"/>
      <c r="Y21" s="3391"/>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86"/>
      <c r="Q22" s="625"/>
      <c r="R22" s="1219"/>
      <c r="S22" s="1220"/>
      <c r="T22" s="1219"/>
      <c r="U22" s="1220"/>
      <c r="V22" s="1219"/>
      <c r="W22" s="1220"/>
      <c r="X22" s="1214"/>
      <c r="Y22" s="3391"/>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86"/>
      <c r="Q23" s="625" t="str">
        <f>B23</f>
        <v>自然及人文环境</v>
      </c>
      <c r="R23" s="1219" t="s">
        <v>1393</v>
      </c>
      <c r="S23" s="1220">
        <f>F23</f>
        <v>100</v>
      </c>
      <c r="T23" s="1219" t="s">
        <v>1393</v>
      </c>
      <c r="U23" s="1220">
        <f>H23</f>
        <v>100</v>
      </c>
      <c r="V23" s="1219" t="s">
        <v>1393</v>
      </c>
      <c r="W23" s="1220">
        <f>J23</f>
        <v>100</v>
      </c>
      <c r="X23" s="1214"/>
      <c r="Y23" s="3391"/>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86"/>
      <c r="Q24" s="625"/>
      <c r="R24" s="1219"/>
      <c r="S24" s="1220"/>
      <c r="T24" s="1219"/>
      <c r="U24" s="1220"/>
      <c r="V24" s="1219"/>
      <c r="W24" s="1220"/>
      <c r="X24" s="1214"/>
      <c r="Y24" s="3391"/>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86"/>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91"/>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86"/>
      <c r="Q26" s="625" t="str">
        <f t="shared" si="11"/>
        <v>朝向</v>
      </c>
      <c r="R26" s="1219" t="s">
        <v>1393</v>
      </c>
      <c r="S26" s="1220">
        <f t="shared" si="12"/>
        <v>100</v>
      </c>
      <c r="T26" s="1219" t="s">
        <v>1393</v>
      </c>
      <c r="U26" s="1220">
        <f t="shared" si="13"/>
        <v>100</v>
      </c>
      <c r="V26" s="1219" t="s">
        <v>1393</v>
      </c>
      <c r="W26" s="1220">
        <f t="shared" si="14"/>
        <v>100</v>
      </c>
      <c r="X26" s="1214"/>
      <c r="Y26" s="3391"/>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86"/>
      <c r="Q27" s="794">
        <f t="shared" si="11"/>
        <v>111</v>
      </c>
      <c r="R27" s="1215" t="s">
        <v>1393</v>
      </c>
      <c r="S27" s="1216">
        <f t="shared" si="12"/>
        <v>100</v>
      </c>
      <c r="T27" s="1215" t="s">
        <v>1393</v>
      </c>
      <c r="U27" s="1216">
        <f t="shared" si="13"/>
        <v>100</v>
      </c>
      <c r="V27" s="1215" t="s">
        <v>1393</v>
      </c>
      <c r="W27" s="1216">
        <f t="shared" si="14"/>
        <v>100</v>
      </c>
      <c r="X27" s="1217"/>
      <c r="Y27" s="3391"/>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86"/>
      <c r="Q28" s="625">
        <f t="shared" si="11"/>
        <v>111</v>
      </c>
      <c r="R28" s="1219" t="s">
        <v>1393</v>
      </c>
      <c r="S28" s="1220">
        <f t="shared" si="12"/>
        <v>100</v>
      </c>
      <c r="T28" s="1219" t="s">
        <v>1393</v>
      </c>
      <c r="U28" s="1220">
        <f t="shared" si="13"/>
        <v>100</v>
      </c>
      <c r="V28" s="1219" t="s">
        <v>1393</v>
      </c>
      <c r="W28" s="1220">
        <f t="shared" si="14"/>
        <v>100</v>
      </c>
      <c r="X28" s="1214"/>
      <c r="Y28" s="3391"/>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86"/>
      <c r="Q29" s="625">
        <f t="shared" si="11"/>
        <v>111</v>
      </c>
      <c r="R29" s="1219" t="s">
        <v>1393</v>
      </c>
      <c r="S29" s="1220">
        <f t="shared" si="12"/>
        <v>100</v>
      </c>
      <c r="T29" s="1219" t="s">
        <v>1393</v>
      </c>
      <c r="U29" s="1220">
        <f t="shared" si="13"/>
        <v>100</v>
      </c>
      <c r="V29" s="1219" t="s">
        <v>1393</v>
      </c>
      <c r="W29" s="1220">
        <f t="shared" si="14"/>
        <v>100</v>
      </c>
      <c r="X29" s="1214"/>
      <c r="Y29" s="3391"/>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86"/>
      <c r="Q30" s="625">
        <f t="shared" si="11"/>
        <v>111</v>
      </c>
      <c r="R30" s="1219" t="s">
        <v>1393</v>
      </c>
      <c r="S30" s="1220">
        <f t="shared" si="12"/>
        <v>100</v>
      </c>
      <c r="T30" s="1219" t="s">
        <v>1393</v>
      </c>
      <c r="U30" s="1220">
        <f t="shared" si="13"/>
        <v>100</v>
      </c>
      <c r="V30" s="1219" t="s">
        <v>1393</v>
      </c>
      <c r="W30" s="1220">
        <f t="shared" si="14"/>
        <v>100</v>
      </c>
      <c r="X30" s="1214"/>
      <c r="Y30" s="3391"/>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86"/>
      <c r="Q31" s="625">
        <f t="shared" si="11"/>
        <v>111</v>
      </c>
      <c r="R31" s="1219" t="s">
        <v>1393</v>
      </c>
      <c r="S31" s="1220">
        <f t="shared" si="12"/>
        <v>100</v>
      </c>
      <c r="T31" s="1219" t="s">
        <v>1393</v>
      </c>
      <c r="U31" s="1220">
        <f t="shared" si="13"/>
        <v>100</v>
      </c>
      <c r="V31" s="1219" t="s">
        <v>1393</v>
      </c>
      <c r="W31" s="1220">
        <f t="shared" si="14"/>
        <v>100</v>
      </c>
      <c r="X31" s="1214"/>
      <c r="Y31" s="3391"/>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87" t="s">
        <v>1421</v>
      </c>
      <c r="Q32" s="625" t="str">
        <f t="shared" si="11"/>
        <v>建筑类型</v>
      </c>
      <c r="R32" s="1219" t="s">
        <v>1393</v>
      </c>
      <c r="S32" s="1220">
        <f t="shared" si="12"/>
        <v>100</v>
      </c>
      <c r="T32" s="1219" t="s">
        <v>1393</v>
      </c>
      <c r="U32" s="1220">
        <f t="shared" si="13"/>
        <v>100</v>
      </c>
      <c r="V32" s="1219" t="s">
        <v>1393</v>
      </c>
      <c r="W32" s="1220">
        <f t="shared" si="14"/>
        <v>100</v>
      </c>
      <c r="X32" s="1214"/>
      <c r="Y32" s="3392"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8"/>
      <c r="Q33" s="1415" t="str">
        <f t="shared" si="11"/>
        <v>项目建筑规模</v>
      </c>
      <c r="R33" s="1221" t="s">
        <v>1393</v>
      </c>
      <c r="S33" s="1222" t="e">
        <f t="shared" si="12"/>
        <v>#N/A</v>
      </c>
      <c r="T33" s="1221" t="s">
        <v>1393</v>
      </c>
      <c r="U33" s="1222" t="e">
        <f t="shared" si="13"/>
        <v>#N/A</v>
      </c>
      <c r="V33" s="1221" t="s">
        <v>1393</v>
      </c>
      <c r="W33" s="1222" t="e">
        <f t="shared" si="14"/>
        <v>#N/A</v>
      </c>
      <c r="X33" s="1223"/>
      <c r="Y33" s="3392"/>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8"/>
      <c r="Q34" s="625" t="str">
        <f t="shared" si="11"/>
        <v>建筑结构</v>
      </c>
      <c r="R34" s="1219" t="s">
        <v>1393</v>
      </c>
      <c r="S34" s="1220">
        <f t="shared" si="12"/>
        <v>100</v>
      </c>
      <c r="T34" s="1219" t="s">
        <v>1393</v>
      </c>
      <c r="U34" s="1220">
        <f t="shared" si="13"/>
        <v>100</v>
      </c>
      <c r="V34" s="1219" t="s">
        <v>1393</v>
      </c>
      <c r="W34" s="1220">
        <f t="shared" si="14"/>
        <v>100</v>
      </c>
      <c r="X34" s="1214"/>
      <c r="Y34" s="3392"/>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8"/>
      <c r="Q35" s="625" t="str">
        <f t="shared" si="11"/>
        <v>建筑品质</v>
      </c>
      <c r="R35" s="1219" t="s">
        <v>1393</v>
      </c>
      <c r="S35" s="1220">
        <f t="shared" si="12"/>
        <v>100</v>
      </c>
      <c r="T35" s="1219" t="s">
        <v>1393</v>
      </c>
      <c r="U35" s="1220">
        <f t="shared" si="13"/>
        <v>100</v>
      </c>
      <c r="V35" s="1219" t="s">
        <v>1393</v>
      </c>
      <c r="W35" s="1220">
        <f t="shared" si="14"/>
        <v>100</v>
      </c>
      <c r="X35" s="1214"/>
      <c r="Y35" s="3392"/>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8"/>
      <c r="Q36" s="625" t="str">
        <f t="shared" si="11"/>
        <v>公共部分装修</v>
      </c>
      <c r="R36" s="1219" t="s">
        <v>1393</v>
      </c>
      <c r="S36" s="1220">
        <f t="shared" si="12"/>
        <v>100</v>
      </c>
      <c r="T36" s="1219" t="s">
        <v>1393</v>
      </c>
      <c r="U36" s="1220">
        <f t="shared" si="13"/>
        <v>100</v>
      </c>
      <c r="V36" s="1219" t="s">
        <v>1393</v>
      </c>
      <c r="W36" s="1220">
        <f t="shared" si="14"/>
        <v>100</v>
      </c>
      <c r="X36" s="1214"/>
      <c r="Y36" s="3392"/>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8"/>
      <c r="Q37" s="794" t="str">
        <f t="shared" si="11"/>
        <v>成新度</v>
      </c>
      <c r="R37" s="1215" t="s">
        <v>1393</v>
      </c>
      <c r="S37" s="1216" t="e">
        <f t="shared" si="12"/>
        <v>#N/A</v>
      </c>
      <c r="T37" s="1215" t="s">
        <v>1393</v>
      </c>
      <c r="U37" s="1216" t="e">
        <f t="shared" si="13"/>
        <v>#N/A</v>
      </c>
      <c r="V37" s="1215" t="s">
        <v>1393</v>
      </c>
      <c r="W37" s="1216" t="e">
        <f t="shared" si="14"/>
        <v>#N/A</v>
      </c>
      <c r="X37" s="1217"/>
      <c r="Y37" s="3392"/>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8" t="s">
        <v>1421</v>
      </c>
      <c r="Q38" s="625" t="str">
        <f t="shared" si="11"/>
        <v>物业管理</v>
      </c>
      <c r="R38" s="1219" t="s">
        <v>1393</v>
      </c>
      <c r="S38" s="1220">
        <f t="shared" si="12"/>
        <v>100</v>
      </c>
      <c r="T38" s="1219" t="s">
        <v>1393</v>
      </c>
      <c r="U38" s="1220">
        <f t="shared" si="13"/>
        <v>100</v>
      </c>
      <c r="V38" s="1219" t="s">
        <v>1393</v>
      </c>
      <c r="W38" s="1220">
        <f t="shared" si="14"/>
        <v>100</v>
      </c>
      <c r="X38" s="1214"/>
      <c r="Y38" s="3392"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8"/>
      <c r="Q39" s="625" t="str">
        <f t="shared" si="11"/>
        <v>市政基础设施</v>
      </c>
      <c r="R39" s="1219" t="s">
        <v>1393</v>
      </c>
      <c r="S39" s="1220">
        <f t="shared" si="12"/>
        <v>100</v>
      </c>
      <c r="T39" s="1219" t="s">
        <v>1393</v>
      </c>
      <c r="U39" s="1220">
        <f t="shared" si="13"/>
        <v>100</v>
      </c>
      <c r="V39" s="1219" t="s">
        <v>1393</v>
      </c>
      <c r="W39" s="1220">
        <f t="shared" si="14"/>
        <v>100</v>
      </c>
      <c r="X39" s="1214"/>
      <c r="Y39" s="3392"/>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8"/>
      <c r="Q40" s="625" t="str">
        <f t="shared" si="11"/>
        <v>房型</v>
      </c>
      <c r="R40" s="1219" t="s">
        <v>1393</v>
      </c>
      <c r="S40" s="1220">
        <f t="shared" si="12"/>
        <v>100</v>
      </c>
      <c r="T40" s="1219" t="s">
        <v>1393</v>
      </c>
      <c r="U40" s="1220">
        <f t="shared" si="13"/>
        <v>100</v>
      </c>
      <c r="V40" s="1219" t="s">
        <v>1393</v>
      </c>
      <c r="W40" s="1220">
        <f t="shared" si="14"/>
        <v>100</v>
      </c>
      <c r="X40" s="1214"/>
      <c r="Y40" s="3392"/>
      <c r="Z40" s="1204" t="str">
        <f t="shared" si="18"/>
        <v>房型</v>
      </c>
      <c r="AA40" s="1204">
        <f t="shared" si="15"/>
        <v>1</v>
      </c>
      <c r="AB40" s="1204">
        <f t="shared" si="16"/>
        <v>1</v>
      </c>
      <c r="AC40" s="1204">
        <f t="shared" si="17"/>
        <v>1</v>
      </c>
    </row>
    <row r="41" spans="1:29" s="1010" customFormat="1" ht="28.8">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8"/>
      <c r="Q41" s="1415" t="str">
        <f t="shared" si="11"/>
        <v>单套/主力户型建筑面积</v>
      </c>
      <c r="R41" s="1221" t="s">
        <v>1393</v>
      </c>
      <c r="S41" s="1222">
        <f t="shared" si="12"/>
        <v>100</v>
      </c>
      <c r="T41" s="1221" t="s">
        <v>1393</v>
      </c>
      <c r="U41" s="1222">
        <f t="shared" si="13"/>
        <v>100</v>
      </c>
      <c r="V41" s="1221" t="s">
        <v>1393</v>
      </c>
      <c r="W41" s="1222">
        <f t="shared" si="14"/>
        <v>100</v>
      </c>
      <c r="X41" s="1223"/>
      <c r="Y41" s="3392"/>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8"/>
      <c r="Q42" s="625" t="str">
        <f t="shared" si="11"/>
        <v>内部装修</v>
      </c>
      <c r="R42" s="1219" t="s">
        <v>1393</v>
      </c>
      <c r="S42" s="1220">
        <f t="shared" si="12"/>
        <v>100</v>
      </c>
      <c r="T42" s="1219" t="s">
        <v>1393</v>
      </c>
      <c r="U42" s="1220">
        <f t="shared" si="13"/>
        <v>100</v>
      </c>
      <c r="V42" s="1219" t="s">
        <v>1393</v>
      </c>
      <c r="W42" s="1220">
        <f t="shared" si="14"/>
        <v>100</v>
      </c>
      <c r="X42" s="1214"/>
      <c r="Y42" s="3392"/>
      <c r="Z42" s="1204" t="str">
        <f t="shared" si="18"/>
        <v>内部装修</v>
      </c>
      <c r="AA42" s="1204">
        <f t="shared" si="15"/>
        <v>1</v>
      </c>
      <c r="AB42" s="1204">
        <f t="shared" si="16"/>
        <v>1</v>
      </c>
      <c r="AC42" s="1204">
        <f t="shared" si="17"/>
        <v>1</v>
      </c>
    </row>
    <row r="43" spans="1:29" ht="28.8">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8"/>
      <c r="Q43" s="625" t="str">
        <f t="shared" si="11"/>
        <v>内部装修维护情况</v>
      </c>
      <c r="R43" s="1219" t="s">
        <v>1393</v>
      </c>
      <c r="S43" s="1220">
        <f t="shared" si="12"/>
        <v>100</v>
      </c>
      <c r="T43" s="1219" t="s">
        <v>1393</v>
      </c>
      <c r="U43" s="1220">
        <f t="shared" si="13"/>
        <v>100</v>
      </c>
      <c r="V43" s="1219" t="s">
        <v>1393</v>
      </c>
      <c r="W43" s="1220">
        <f t="shared" si="14"/>
        <v>100</v>
      </c>
      <c r="X43" s="1214"/>
      <c r="Y43" s="3392"/>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8"/>
      <c r="Q44" s="794">
        <f t="shared" si="11"/>
        <v>111</v>
      </c>
      <c r="R44" s="1215" t="s">
        <v>1393</v>
      </c>
      <c r="S44" s="1216">
        <f t="shared" si="12"/>
        <v>100</v>
      </c>
      <c r="T44" s="1215" t="s">
        <v>1393</v>
      </c>
      <c r="U44" s="1216">
        <f t="shared" si="13"/>
        <v>100</v>
      </c>
      <c r="V44" s="1215" t="s">
        <v>1393</v>
      </c>
      <c r="W44" s="1216">
        <f t="shared" si="14"/>
        <v>100</v>
      </c>
      <c r="X44" s="1217"/>
      <c r="Y44" s="3392"/>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8"/>
      <c r="Q45" s="625">
        <f t="shared" si="11"/>
        <v>111</v>
      </c>
      <c r="R45" s="1219" t="s">
        <v>1393</v>
      </c>
      <c r="S45" s="1220">
        <f t="shared" si="12"/>
        <v>100</v>
      </c>
      <c r="T45" s="1219" t="s">
        <v>1393</v>
      </c>
      <c r="U45" s="1220">
        <f t="shared" si="13"/>
        <v>100</v>
      </c>
      <c r="V45" s="1219" t="s">
        <v>1393</v>
      </c>
      <c r="W45" s="1220">
        <f t="shared" si="14"/>
        <v>100</v>
      </c>
      <c r="X45" s="1214"/>
      <c r="Y45" s="3392"/>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89"/>
      <c r="Q46" s="625">
        <f t="shared" si="11"/>
        <v>111</v>
      </c>
      <c r="R46" s="1219" t="s">
        <v>1393</v>
      </c>
      <c r="S46" s="1220">
        <f t="shared" si="12"/>
        <v>100</v>
      </c>
      <c r="T46" s="1219" t="s">
        <v>1393</v>
      </c>
      <c r="U46" s="1220">
        <f t="shared" si="13"/>
        <v>100</v>
      </c>
      <c r="V46" s="1219" t="s">
        <v>1393</v>
      </c>
      <c r="W46" s="1220">
        <f t="shared" si="14"/>
        <v>100</v>
      </c>
      <c r="X46" s="1214"/>
      <c r="Y46" s="3393"/>
      <c r="Z46" s="1204">
        <f t="shared" si="18"/>
        <v>111</v>
      </c>
      <c r="AA46" s="1204">
        <f t="shared" si="15"/>
        <v>1</v>
      </c>
      <c r="AB46" s="1204">
        <f t="shared" si="16"/>
        <v>1</v>
      </c>
      <c r="AC46" s="1204">
        <f t="shared" si="17"/>
        <v>1</v>
      </c>
    </row>
    <row r="47" spans="1:29" ht="14.4">
      <c r="A47" s="1105" t="s">
        <v>1437</v>
      </c>
      <c r="B47" s="1398"/>
      <c r="C47" s="1399" t="s">
        <v>124</v>
      </c>
      <c r="D47" s="1108"/>
      <c r="E47" s="1109"/>
      <c r="F47" s="1110"/>
      <c r="G47" s="1111"/>
      <c r="H47" s="1112"/>
      <c r="I47" s="1109"/>
      <c r="J47" s="1112"/>
      <c r="K47" s="1569"/>
      <c r="L47" s="1196"/>
      <c r="M47" s="1122"/>
      <c r="N47" s="1122"/>
      <c r="O47" s="1122"/>
      <c r="P47" s="3378" t="str">
        <f>A47</f>
        <v>成交单价（元/平方米）</v>
      </c>
      <c r="Q47" s="3378"/>
      <c r="R47" s="3376">
        <f>E47</f>
        <v>0</v>
      </c>
      <c r="S47" s="3376"/>
      <c r="T47" s="3376">
        <f>G47</f>
        <v>0</v>
      </c>
      <c r="U47" s="3376"/>
      <c r="V47" s="3376">
        <f>I47</f>
        <v>0</v>
      </c>
      <c r="W47" s="3376"/>
      <c r="X47" s="1162"/>
      <c r="Y47" s="1229"/>
      <c r="Z47" s="1162"/>
      <c r="AA47" s="1162"/>
      <c r="AB47" s="1162"/>
      <c r="AC47" s="1162"/>
    </row>
    <row r="48" spans="1:29" ht="14.4">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78" t="str">
        <f>A48</f>
        <v>比较价值（元/平方米）</v>
      </c>
      <c r="Q48" s="3378"/>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1162"/>
      <c r="Y48" s="1162"/>
      <c r="Z48" s="1162"/>
      <c r="AA48" s="1162"/>
      <c r="AB48" s="1162"/>
      <c r="AC48" s="1162"/>
    </row>
    <row r="49" spans="1:29" ht="14.4">
      <c r="A49" s="1119" t="s">
        <v>1440</v>
      </c>
      <c r="B49" s="1120"/>
      <c r="C49" s="1553" t="e">
        <f>R49</f>
        <v>#DIV/0!</v>
      </c>
      <c r="D49" s="1032"/>
      <c r="E49" s="1032"/>
      <c r="F49" s="1032"/>
      <c r="G49" s="1032"/>
      <c r="H49" s="1032"/>
      <c r="I49" s="1032"/>
      <c r="J49" s="1032"/>
      <c r="K49" s="1571"/>
      <c r="L49" s="1196"/>
      <c r="M49" s="1122"/>
      <c r="N49" s="1122"/>
      <c r="O49" s="1122"/>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6">
      <c r="A57" s="1161" t="s">
        <v>1444</v>
      </c>
      <c r="B57" s="1162"/>
      <c r="C57" s="1163"/>
      <c r="D57" s="1163"/>
      <c r="E57" s="1163"/>
      <c r="F57" s="1164"/>
      <c r="G57" s="1164"/>
      <c r="H57" s="1163"/>
      <c r="I57" s="1163"/>
      <c r="J57" s="1163"/>
      <c r="K57" s="1358"/>
      <c r="L57" s="1359"/>
      <c r="M57" s="1212"/>
      <c r="N57" s="1212"/>
      <c r="O57" s="1212"/>
      <c r="P57" s="1573"/>
      <c r="Q57" s="1503"/>
    </row>
    <row r="58" spans="1:29" s="1013" customFormat="1" ht="14.4">
      <c r="A58" s="1404" t="s">
        <v>1391</v>
      </c>
      <c r="B58" s="1405"/>
      <c r="C58" s="1554" t="str">
        <f>YEAR(C7)&amp;"-"&amp;MONTH(C7)</f>
        <v>2025-9</v>
      </c>
      <c r="D58" s="1407">
        <f>EDATE(C58,-1)</f>
        <v>45870</v>
      </c>
      <c r="E58" s="1407">
        <f>EDATE(D58,-1)</f>
        <v>45839</v>
      </c>
      <c r="F58" s="1407">
        <f t="shared" ref="F58:O58" si="19">EDATE(E58,-1)</f>
        <v>45809</v>
      </c>
      <c r="G58" s="1407">
        <f t="shared" si="19"/>
        <v>45778</v>
      </c>
      <c r="H58" s="1407">
        <f t="shared" si="19"/>
        <v>45748</v>
      </c>
      <c r="I58" s="1407">
        <f t="shared" si="19"/>
        <v>45717</v>
      </c>
      <c r="J58" s="1407">
        <f t="shared" si="19"/>
        <v>45689</v>
      </c>
      <c r="K58" s="1407">
        <f t="shared" si="19"/>
        <v>45658</v>
      </c>
      <c r="L58" s="1407">
        <f t="shared" si="19"/>
        <v>45627</v>
      </c>
      <c r="M58" s="1407">
        <f t="shared" si="19"/>
        <v>45597</v>
      </c>
      <c r="N58" s="1407">
        <f t="shared" si="19"/>
        <v>45566</v>
      </c>
      <c r="O58" s="1407">
        <f t="shared" si="19"/>
        <v>45536</v>
      </c>
      <c r="P58" s="1574"/>
    </row>
    <row r="59" spans="1:29" s="1008" customFormat="1">
      <c r="A59" s="1078"/>
      <c r="B59" s="1555"/>
      <c r="C59" s="1408">
        <v>100</v>
      </c>
      <c r="D59" s="1526"/>
      <c r="E59" s="1245"/>
      <c r="F59" s="1245"/>
      <c r="G59" s="1245"/>
      <c r="H59" s="1245"/>
      <c r="I59" s="1245"/>
      <c r="J59" s="1245"/>
      <c r="K59" s="1245"/>
      <c r="L59" s="1245"/>
      <c r="M59" s="1053"/>
      <c r="N59" s="1245"/>
      <c r="O59" s="1053"/>
      <c r="P59" s="1575"/>
    </row>
    <row r="60" spans="1:29" s="1008" customFormat="1" ht="14.4">
      <c r="A60" s="1236" t="s">
        <v>1445</v>
      </c>
      <c r="B60" s="1237"/>
      <c r="C60" s="1238"/>
      <c r="D60" s="1239"/>
      <c r="E60" s="1239"/>
      <c r="F60" s="1239"/>
      <c r="G60" s="1239"/>
      <c r="H60" s="1239"/>
      <c r="I60" s="1239"/>
      <c r="J60" s="1239"/>
      <c r="K60" s="1239"/>
      <c r="L60" s="1239"/>
      <c r="M60" s="1280"/>
      <c r="N60" s="1239"/>
      <c r="O60" s="1280"/>
      <c r="P60" s="1575"/>
      <c r="Q60" s="1503"/>
    </row>
    <row r="61" spans="1:29" s="1008" customFormat="1" ht="14.4">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c r="A62" s="1240"/>
      <c r="B62" s="1241"/>
      <c r="C62" s="1526">
        <v>100</v>
      </c>
      <c r="D62" s="1245"/>
      <c r="E62" s="1245"/>
      <c r="F62" s="1245"/>
      <c r="G62" s="1245"/>
      <c r="H62" s="1245"/>
      <c r="I62" s="1245"/>
      <c r="J62" s="1245"/>
      <c r="K62" s="1245"/>
      <c r="L62" s="1245"/>
      <c r="M62" s="1285"/>
      <c r="N62" s="1506"/>
      <c r="O62" s="1506"/>
      <c r="P62" s="1575"/>
      <c r="Q62" s="1503"/>
    </row>
    <row r="63" spans="1:29" ht="14.4">
      <c r="A63" s="1062" t="s">
        <v>1447</v>
      </c>
      <c r="B63" s="1246" t="s">
        <v>1399</v>
      </c>
      <c r="C63" s="621">
        <f>C9</f>
        <v>0</v>
      </c>
      <c r="D63" s="1193"/>
      <c r="E63" s="1193"/>
      <c r="F63" s="1193"/>
      <c r="G63" s="1193"/>
      <c r="H63" s="1193"/>
      <c r="I63" s="1193"/>
      <c r="J63" s="1193"/>
      <c r="K63" s="1286"/>
      <c r="L63" s="1287"/>
      <c r="M63" s="1288"/>
      <c r="N63" s="1508"/>
      <c r="O63" s="1508"/>
      <c r="P63" s="1577"/>
      <c r="Q63" s="1503"/>
    </row>
    <row r="64" spans="1:29">
      <c r="A64" s="1049"/>
      <c r="B64" s="1247"/>
      <c r="C64" s="1248">
        <v>100</v>
      </c>
      <c r="D64" s="1248"/>
      <c r="E64" s="1248"/>
      <c r="F64" s="1248"/>
      <c r="G64" s="1248"/>
      <c r="H64" s="1248"/>
      <c r="I64" s="1248"/>
      <c r="J64" s="1248"/>
      <c r="K64" s="1248"/>
      <c r="L64" s="1248"/>
      <c r="M64" s="1290"/>
      <c r="N64" s="1510"/>
      <c r="O64" s="1510"/>
      <c r="P64" s="1577"/>
      <c r="Q64" s="1503"/>
    </row>
    <row r="65" spans="1:17" ht="28.8">
      <c r="A65" s="1049"/>
      <c r="B65" s="1249" t="s">
        <v>1402</v>
      </c>
      <c r="C65" s="1272"/>
      <c r="D65" s="1272"/>
      <c r="E65" s="1272"/>
      <c r="F65" s="1272"/>
      <c r="G65" s="1272"/>
      <c r="H65" s="1272"/>
      <c r="I65" s="1272"/>
      <c r="J65" s="1272"/>
      <c r="K65" s="1272"/>
      <c r="L65" s="1272"/>
      <c r="M65" s="1272"/>
      <c r="N65" s="1510"/>
      <c r="O65" s="1510"/>
      <c r="P65" s="1577"/>
      <c r="Q65" s="1503"/>
    </row>
    <row r="66" spans="1:17">
      <c r="A66" s="1049"/>
      <c r="B66" s="1251"/>
      <c r="C66" s="1248"/>
      <c r="D66" s="1248"/>
      <c r="E66" s="1248"/>
      <c r="F66" s="1248"/>
      <c r="G66" s="1248"/>
      <c r="H66" s="1248"/>
      <c r="I66" s="1248"/>
      <c r="J66" s="1248"/>
      <c r="K66" s="1248"/>
      <c r="L66" s="1248"/>
      <c r="M66" s="1290"/>
      <c r="N66" s="1510"/>
      <c r="O66" s="1510"/>
      <c r="P66" s="1577"/>
      <c r="Q66" s="1503"/>
    </row>
    <row r="67" spans="1:17" ht="14.4">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c r="A68" s="1049"/>
      <c r="B68" s="1255"/>
      <c r="C68" s="1055"/>
      <c r="D68" s="1055"/>
      <c r="E68" s="1055"/>
      <c r="F68" s="1055"/>
      <c r="G68" s="1055"/>
      <c r="H68" s="1055"/>
      <c r="I68" s="1055"/>
      <c r="J68" s="1055"/>
      <c r="K68" s="1296"/>
      <c r="L68" s="1297"/>
      <c r="M68" s="1298"/>
      <c r="N68" s="1508"/>
      <c r="O68" s="1508"/>
      <c r="P68" s="1577"/>
      <c r="Q68" s="1503"/>
    </row>
    <row r="69" spans="1:17">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c r="A70" s="1256"/>
      <c r="B70" s="1249">
        <f>B12</f>
        <v>111</v>
      </c>
      <c r="C70" s="1257"/>
      <c r="D70" s="1257"/>
      <c r="E70" s="1257"/>
      <c r="F70" s="1257"/>
      <c r="G70" s="1257"/>
      <c r="H70" s="1258"/>
      <c r="I70" s="1258"/>
      <c r="J70" s="1258"/>
      <c r="K70" s="1258"/>
      <c r="L70" s="1299"/>
      <c r="M70" s="1300"/>
      <c r="N70" s="1511"/>
      <c r="O70" s="1511"/>
      <c r="P70" s="1580"/>
      <c r="Q70" s="1513"/>
    </row>
    <row r="71" spans="1:17" s="1010" customFormat="1">
      <c r="A71" s="1256"/>
      <c r="B71" s="1251"/>
      <c r="C71" s="1259"/>
      <c r="D71" s="1248"/>
      <c r="E71" s="1248"/>
      <c r="F71" s="1248"/>
      <c r="G71" s="1248"/>
      <c r="H71" s="1248"/>
      <c r="I71" s="1248"/>
      <c r="J71" s="1248"/>
      <c r="K71" s="1248"/>
      <c r="L71" s="1248"/>
      <c r="M71" s="1290"/>
      <c r="N71" s="1510"/>
      <c r="O71" s="1510"/>
      <c r="P71" s="1580"/>
      <c r="Q71" s="1513"/>
    </row>
    <row r="72" spans="1:17" s="1010" customFormat="1">
      <c r="A72" s="1256"/>
      <c r="B72" s="1249">
        <f>B13</f>
        <v>111</v>
      </c>
      <c r="C72" s="1257"/>
      <c r="D72" s="1257"/>
      <c r="E72" s="1257"/>
      <c r="F72" s="1257"/>
      <c r="G72" s="1257"/>
      <c r="H72" s="1258"/>
      <c r="I72" s="1258"/>
      <c r="J72" s="1258"/>
      <c r="K72" s="1258"/>
      <c r="L72" s="1299"/>
      <c r="M72" s="1300"/>
      <c r="N72" s="1511"/>
      <c r="O72" s="1511"/>
      <c r="P72" s="1581"/>
      <c r="Q72" s="1516"/>
    </row>
    <row r="73" spans="1:17" s="1010" customFormat="1">
      <c r="A73" s="1256"/>
      <c r="B73" s="1251"/>
      <c r="C73" s="1259"/>
      <c r="D73" s="1259"/>
      <c r="E73" s="1259"/>
      <c r="F73" s="1259"/>
      <c r="G73" s="1259"/>
      <c r="H73" s="1260"/>
      <c r="I73" s="1260"/>
      <c r="J73" s="1260"/>
      <c r="K73" s="1260"/>
      <c r="L73" s="1260"/>
      <c r="M73" s="1302"/>
      <c r="N73" s="1511"/>
      <c r="O73" s="1511"/>
      <c r="P73" s="1580"/>
      <c r="Q73" s="1513"/>
    </row>
    <row r="74" spans="1:17" s="1010" customFormat="1">
      <c r="A74" s="1256"/>
      <c r="B74" s="1253">
        <f>B14</f>
        <v>111</v>
      </c>
      <c r="C74" s="1257"/>
      <c r="D74" s="1257"/>
      <c r="E74" s="1257"/>
      <c r="F74" s="1257"/>
      <c r="G74" s="1243"/>
      <c r="H74" s="1261"/>
      <c r="I74" s="1261"/>
      <c r="J74" s="1261"/>
      <c r="K74" s="1261"/>
      <c r="L74" s="1303"/>
      <c r="M74" s="1304"/>
      <c r="N74" s="1511"/>
      <c r="O74" s="1511"/>
      <c r="P74" s="1582"/>
      <c r="Q74" s="1513"/>
    </row>
    <row r="75" spans="1:17" s="1010" customFormat="1">
      <c r="A75" s="1262"/>
      <c r="B75" s="1263"/>
      <c r="C75" s="1264"/>
      <c r="D75" s="1264"/>
      <c r="E75" s="1264"/>
      <c r="F75" s="1264"/>
      <c r="G75" s="1264"/>
      <c r="H75" s="1265"/>
      <c r="I75" s="1265"/>
      <c r="J75" s="1265"/>
      <c r="K75" s="1265"/>
      <c r="L75" s="1265"/>
      <c r="M75" s="1306"/>
      <c r="N75" s="1511"/>
      <c r="O75" s="1511"/>
      <c r="P75" s="1580"/>
      <c r="Q75" s="1513"/>
    </row>
    <row r="76" spans="1:17" ht="14.4">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4.4">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4.4">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4.4">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4.4">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4.4">
      <c r="A86" s="1052"/>
      <c r="B86" s="1249" t="s">
        <v>1601</v>
      </c>
      <c r="C86" s="1257"/>
      <c r="D86" s="1257"/>
      <c r="E86" s="1257"/>
      <c r="F86" s="1257"/>
      <c r="G86" s="1257"/>
      <c r="H86" s="1257"/>
      <c r="I86" s="1257"/>
      <c r="J86" s="1257"/>
      <c r="K86" s="1257"/>
      <c r="L86" s="1420"/>
      <c r="M86" s="1421"/>
      <c r="N86" s="1506"/>
      <c r="O86" s="1506"/>
      <c r="P86" s="1577"/>
      <c r="Q86" s="1503"/>
    </row>
    <row r="87" spans="1:17" s="1008" customFormat="1">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4.4">
      <c r="A88" s="1052"/>
      <c r="B88" s="1249" t="s">
        <v>1417</v>
      </c>
      <c r="C88" s="1257"/>
      <c r="D88" s="1257"/>
      <c r="E88" s="1257"/>
      <c r="F88" s="1538"/>
      <c r="G88" s="1257"/>
      <c r="H88" s="1257"/>
      <c r="I88" s="1257"/>
      <c r="J88" s="1257"/>
      <c r="K88" s="1257"/>
      <c r="L88" s="1257"/>
      <c r="M88" s="1421"/>
      <c r="N88" s="1506"/>
      <c r="O88" s="1506"/>
      <c r="P88" s="1577"/>
      <c r="Q88" s="1503"/>
    </row>
    <row r="89" spans="1:17" s="1008" customFormat="1">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c r="A90" s="1256"/>
      <c r="B90" s="1249">
        <f>B27</f>
        <v>111</v>
      </c>
      <c r="C90" s="1257"/>
      <c r="D90" s="1257"/>
      <c r="E90" s="1257"/>
      <c r="F90" s="1257"/>
      <c r="G90" s="1257"/>
      <c r="H90" s="1258"/>
      <c r="I90" s="1258"/>
      <c r="J90" s="1258"/>
      <c r="K90" s="1258"/>
      <c r="L90" s="1299"/>
      <c r="M90" s="1300"/>
      <c r="N90" s="1511"/>
      <c r="O90" s="1511"/>
      <c r="P90" s="1580"/>
      <c r="Q90" s="1513"/>
    </row>
    <row r="91" spans="1:17" s="1010" customFormat="1">
      <c r="A91" s="1256"/>
      <c r="B91" s="1251"/>
      <c r="C91" s="1259"/>
      <c r="D91" s="1259"/>
      <c r="E91" s="1259"/>
      <c r="F91" s="1259"/>
      <c r="G91" s="1259"/>
      <c r="H91" s="1260"/>
      <c r="I91" s="1260"/>
      <c r="J91" s="1260"/>
      <c r="K91" s="1260"/>
      <c r="L91" s="1260"/>
      <c r="M91" s="1302"/>
      <c r="N91" s="1511"/>
      <c r="O91" s="1511"/>
      <c r="P91" s="1580"/>
      <c r="Q91" s="1513"/>
    </row>
    <row r="92" spans="1:17">
      <c r="A92" s="1049"/>
      <c r="B92" s="1249">
        <f>B28</f>
        <v>111</v>
      </c>
      <c r="C92" s="1257"/>
      <c r="D92" s="1257"/>
      <c r="E92" s="1257"/>
      <c r="F92" s="1257"/>
      <c r="G92" s="1272"/>
      <c r="H92" s="1272"/>
      <c r="I92" s="1272"/>
      <c r="J92" s="1272"/>
      <c r="K92" s="1317"/>
      <c r="L92" s="1318"/>
      <c r="M92" s="1319"/>
      <c r="N92" s="1508"/>
      <c r="O92" s="1508"/>
      <c r="P92" s="1577"/>
      <c r="Q92" s="1503"/>
    </row>
    <row r="93" spans="1:17">
      <c r="A93" s="1049"/>
      <c r="B93" s="1251"/>
      <c r="C93" s="1259"/>
      <c r="D93" s="1248"/>
      <c r="E93" s="1248"/>
      <c r="F93" s="1248"/>
      <c r="G93" s="1248"/>
      <c r="H93" s="1248"/>
      <c r="I93" s="1248"/>
      <c r="J93" s="1248"/>
      <c r="K93" s="1248"/>
      <c r="L93" s="1248"/>
      <c r="M93" s="1290"/>
      <c r="N93" s="1510"/>
      <c r="O93" s="1510"/>
      <c r="P93" s="1577"/>
      <c r="Q93" s="1503"/>
    </row>
    <row r="94" spans="1:17">
      <c r="A94" s="1049"/>
      <c r="B94" s="1249">
        <f>B29</f>
        <v>111</v>
      </c>
      <c r="C94" s="1257"/>
      <c r="D94" s="1257"/>
      <c r="E94" s="1257"/>
      <c r="F94" s="1257"/>
      <c r="G94" s="1272"/>
      <c r="H94" s="1272"/>
      <c r="I94" s="1272"/>
      <c r="J94" s="1272"/>
      <c r="K94" s="1317"/>
      <c r="L94" s="1318"/>
      <c r="M94" s="1319"/>
      <c r="N94" s="1508"/>
      <c r="O94" s="1508"/>
      <c r="P94" s="1577"/>
      <c r="Q94" s="1503"/>
    </row>
    <row r="95" spans="1:17">
      <c r="A95" s="1049"/>
      <c r="B95" s="1251"/>
      <c r="C95" s="1259"/>
      <c r="D95" s="1259"/>
      <c r="E95" s="1259"/>
      <c r="F95" s="1259"/>
      <c r="G95" s="1248"/>
      <c r="H95" s="1248"/>
      <c r="I95" s="1248"/>
      <c r="J95" s="1248"/>
      <c r="K95" s="1248"/>
      <c r="L95" s="1248"/>
      <c r="M95" s="1290"/>
      <c r="N95" s="1510"/>
      <c r="O95" s="1510"/>
      <c r="P95" s="1577"/>
      <c r="Q95" s="1503"/>
    </row>
    <row r="96" spans="1:17">
      <c r="A96" s="1049"/>
      <c r="B96" s="1249">
        <f>B30</f>
        <v>111</v>
      </c>
      <c r="C96" s="1257"/>
      <c r="D96" s="1257"/>
      <c r="E96" s="1257"/>
      <c r="F96" s="1257"/>
      <c r="G96" s="1272"/>
      <c r="H96" s="1272"/>
      <c r="I96" s="1272"/>
      <c r="J96" s="1272"/>
      <c r="K96" s="1317"/>
      <c r="L96" s="1318"/>
      <c r="M96" s="1319"/>
      <c r="N96" s="1508"/>
      <c r="O96" s="1508"/>
      <c r="P96" s="1577"/>
      <c r="Q96" s="1503"/>
    </row>
    <row r="97" spans="1:17">
      <c r="A97" s="1049"/>
      <c r="B97" s="1251"/>
      <c r="C97" s="1264"/>
      <c r="D97" s="1264"/>
      <c r="E97" s="1264"/>
      <c r="F97" s="1264"/>
      <c r="G97" s="1248"/>
      <c r="H97" s="1248"/>
      <c r="I97" s="1248"/>
      <c r="J97" s="1248"/>
      <c r="K97" s="1248"/>
      <c r="L97" s="1248"/>
      <c r="M97" s="1290"/>
      <c r="N97" s="1510"/>
      <c r="O97" s="1510"/>
      <c r="P97" s="1577"/>
      <c r="Q97" s="1503"/>
    </row>
    <row r="98" spans="1:17">
      <c r="A98" s="1049"/>
      <c r="B98" s="1253">
        <f>B31</f>
        <v>111</v>
      </c>
      <c r="C98" s="1273"/>
      <c r="D98" s="1273"/>
      <c r="E98" s="1273"/>
      <c r="F98" s="1273"/>
      <c r="G98" s="1273"/>
      <c r="H98" s="1273"/>
      <c r="I98" s="1273"/>
      <c r="J98" s="1273"/>
      <c r="K98" s="1320"/>
      <c r="L98" s="1321"/>
      <c r="M98" s="1322"/>
      <c r="N98" s="1508"/>
      <c r="O98" s="1508"/>
      <c r="P98" s="1577"/>
      <c r="Q98" s="1503"/>
    </row>
    <row r="99" spans="1:17">
      <c r="A99" s="1058"/>
      <c r="B99" s="1263"/>
      <c r="C99" s="1274"/>
      <c r="D99" s="1274"/>
      <c r="E99" s="1274"/>
      <c r="F99" s="1274"/>
      <c r="G99" s="1274"/>
      <c r="H99" s="1274"/>
      <c r="I99" s="1274"/>
      <c r="J99" s="1274"/>
      <c r="K99" s="1274"/>
      <c r="L99" s="1274"/>
      <c r="M99" s="1323"/>
      <c r="N99" s="1510"/>
      <c r="O99" s="1510"/>
      <c r="P99" s="1577"/>
      <c r="Q99" s="1503"/>
    </row>
    <row r="100" spans="1:17" ht="14.4">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4.4">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c r="A104" s="1256"/>
      <c r="B104" s="1251"/>
      <c r="C104" s="1259"/>
      <c r="D104" s="1248"/>
      <c r="E104" s="1248"/>
      <c r="F104" s="1248"/>
      <c r="G104" s="1248"/>
      <c r="H104" s="1248"/>
      <c r="I104" s="1248"/>
      <c r="J104" s="1248"/>
      <c r="K104" s="1248"/>
      <c r="L104" s="1248"/>
      <c r="M104" s="1248"/>
      <c r="N104" s="1510"/>
      <c r="O104" s="1510"/>
      <c r="P104" s="1580"/>
      <c r="Q104" s="1513"/>
    </row>
    <row r="105" spans="1:17" ht="14.4">
      <c r="A105" s="1098"/>
      <c r="B105" s="1249" t="s">
        <v>1423</v>
      </c>
      <c r="C105" s="1257"/>
      <c r="D105" s="1257"/>
      <c r="E105" s="1272"/>
      <c r="F105" s="1272"/>
      <c r="G105" s="1272"/>
      <c r="H105" s="1272"/>
      <c r="I105" s="1272"/>
      <c r="J105" s="1272"/>
      <c r="K105" s="1317"/>
      <c r="L105" s="1318"/>
      <c r="M105" s="1319"/>
      <c r="N105" s="1508"/>
      <c r="O105" s="1508"/>
      <c r="P105" s="1577"/>
      <c r="Q105" s="1503"/>
    </row>
    <row r="106" spans="1:17">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ht="14.4">
      <c r="A107" s="1098"/>
      <c r="B107" s="1249" t="s">
        <v>1602</v>
      </c>
      <c r="C107" s="1272"/>
      <c r="D107" s="1272"/>
      <c r="E107" s="1272"/>
      <c r="F107" s="1272"/>
      <c r="G107" s="1272"/>
      <c r="H107" s="1272"/>
      <c r="I107" s="1272"/>
      <c r="J107" s="1272"/>
      <c r="K107" s="1317"/>
      <c r="L107" s="1318"/>
      <c r="M107" s="1319"/>
      <c r="N107" s="1508"/>
      <c r="O107" s="1508"/>
      <c r="P107" s="1577"/>
      <c r="Q107" s="1503"/>
    </row>
    <row r="108" spans="1:17">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ht="14.4">
      <c r="A109" s="1098"/>
      <c r="B109" s="1249" t="s">
        <v>1425</v>
      </c>
      <c r="C109" s="1257"/>
      <c r="D109" s="1257"/>
      <c r="E109" s="1257"/>
      <c r="F109" s="1272"/>
      <c r="G109" s="1272"/>
      <c r="H109" s="1272"/>
      <c r="I109" s="1272"/>
      <c r="J109" s="1272"/>
      <c r="K109" s="1317"/>
      <c r="L109" s="1318"/>
      <c r="M109" s="1319"/>
      <c r="N109" s="1508"/>
      <c r="O109" s="1508"/>
      <c r="P109" s="1577"/>
      <c r="Q109" s="1503"/>
    </row>
    <row r="110" spans="1:17">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ht="14.4">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ht="14.4">
      <c r="A114" s="1098"/>
      <c r="B114" s="1249" t="s">
        <v>1429</v>
      </c>
      <c r="C114" s="1257"/>
      <c r="D114" s="1257"/>
      <c r="E114" s="1272"/>
      <c r="F114" s="1272"/>
      <c r="G114" s="1272"/>
      <c r="H114" s="1272"/>
      <c r="I114" s="1272"/>
      <c r="J114" s="1272"/>
      <c r="K114" s="1317"/>
      <c r="L114" s="1318"/>
      <c r="M114" s="1319"/>
      <c r="N114" s="1508"/>
      <c r="O114" s="1508"/>
      <c r="P114" s="1577"/>
      <c r="Q114" s="1503"/>
    </row>
    <row r="115" spans="1:17">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ht="14.4">
      <c r="A116" s="1098"/>
      <c r="B116" s="1249" t="s">
        <v>1431</v>
      </c>
      <c r="C116" s="1257"/>
      <c r="D116" s="1257"/>
      <c r="E116" s="1257"/>
      <c r="F116" s="1257"/>
      <c r="G116" s="1257"/>
      <c r="H116" s="1272"/>
      <c r="I116" s="1272"/>
      <c r="J116" s="1272"/>
      <c r="K116" s="1317"/>
      <c r="L116" s="1318"/>
      <c r="M116" s="1319"/>
      <c r="N116" s="1508"/>
      <c r="O116" s="1508"/>
      <c r="P116" s="1577"/>
      <c r="Q116" s="1503"/>
    </row>
    <row r="117" spans="1:17">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ht="14.4">
      <c r="A118" s="1098"/>
      <c r="B118" s="1249" t="s">
        <v>1603</v>
      </c>
      <c r="C118" s="1272"/>
      <c r="D118" s="1272"/>
      <c r="E118" s="1272"/>
      <c r="F118" s="1272"/>
      <c r="G118" s="1272"/>
      <c r="H118" s="1272"/>
      <c r="I118" s="1272"/>
      <c r="J118" s="1272"/>
      <c r="K118" s="1317"/>
      <c r="L118" s="1318"/>
      <c r="M118" s="1319"/>
      <c r="N118" s="1508"/>
      <c r="O118" s="1508"/>
      <c r="P118" s="1577"/>
      <c r="Q118" s="1503"/>
    </row>
    <row r="119" spans="1:17">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8.8">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c r="A121" s="1256"/>
      <c r="B121" s="1247"/>
      <c r="C121" s="1259"/>
      <c r="D121" s="1248"/>
      <c r="E121" s="1248"/>
      <c r="F121" s="1248"/>
      <c r="G121" s="1248"/>
      <c r="H121" s="1248"/>
      <c r="I121" s="1248"/>
      <c r="J121" s="1248"/>
      <c r="K121" s="1248"/>
      <c r="L121" s="1248"/>
      <c r="M121" s="1248"/>
      <c r="N121" s="1511"/>
      <c r="O121" s="1511"/>
      <c r="P121" s="1580"/>
      <c r="Q121" s="1513"/>
    </row>
    <row r="122" spans="1:17" ht="14.4">
      <c r="A122" s="1098"/>
      <c r="B122" s="1249" t="s">
        <v>1434</v>
      </c>
      <c r="C122" s="1257"/>
      <c r="D122" s="1257"/>
      <c r="E122" s="1257"/>
      <c r="F122" s="1272"/>
      <c r="G122" s="1272"/>
      <c r="H122" s="1272"/>
      <c r="I122" s="1272"/>
      <c r="J122" s="1272"/>
      <c r="K122" s="1317"/>
      <c r="L122" s="1318"/>
      <c r="M122" s="1319"/>
      <c r="N122" s="1508"/>
      <c r="O122" s="1508"/>
      <c r="P122" s="1577"/>
      <c r="Q122" s="1503"/>
    </row>
    <row r="123" spans="1:17">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ht="28.8">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c r="A131" s="1058"/>
      <c r="B131" s="1263"/>
      <c r="C131" s="1264"/>
      <c r="D131" s="1264"/>
      <c r="E131" s="1264"/>
      <c r="F131" s="1264"/>
      <c r="G131" s="1274"/>
      <c r="H131" s="1274"/>
      <c r="I131" s="1274"/>
      <c r="J131" s="1274"/>
      <c r="K131" s="1274"/>
      <c r="L131" s="1274"/>
      <c r="M131" s="1323"/>
      <c r="N131" s="1510"/>
      <c r="O131" s="1510"/>
      <c r="P131" s="1577"/>
      <c r="Q131" s="1503"/>
    </row>
    <row r="136" spans="1:17" ht="14.4">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6">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ht="14.4">
      <c r="B147" s="1586" t="s">
        <v>1623</v>
      </c>
    </row>
    <row r="148" spans="2:11" ht="14.4">
      <c r="B148" s="1586"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240.83</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4.4">
      <c r="A4" s="1027" t="s">
        <v>1378</v>
      </c>
      <c r="B4" s="1028"/>
      <c r="C4" s="3399" t="s">
        <v>1379</v>
      </c>
      <c r="D4" s="3400"/>
      <c r="E4" s="3401" t="s">
        <v>1380</v>
      </c>
      <c r="F4" s="3402"/>
      <c r="G4" s="3399" t="s">
        <v>1381</v>
      </c>
      <c r="H4" s="3400"/>
      <c r="I4" s="3399" t="s">
        <v>1382</v>
      </c>
      <c r="J4" s="3400"/>
      <c r="K4" s="1171" t="s">
        <v>1383</v>
      </c>
      <c r="L4" s="1487"/>
      <c r="M4" s="1157"/>
      <c r="N4" s="1157"/>
      <c r="O4" s="1157"/>
      <c r="P4" s="3408" t="s">
        <v>1384</v>
      </c>
      <c r="Q4" s="3409"/>
      <c r="R4" s="3412" t="s">
        <v>1380</v>
      </c>
      <c r="S4" s="3413"/>
      <c r="T4" s="3412" t="s">
        <v>1381</v>
      </c>
      <c r="U4" s="3413"/>
      <c r="V4" s="3376" t="s">
        <v>1382</v>
      </c>
      <c r="W4" s="3376"/>
      <c r="X4" s="1214"/>
      <c r="Y4" s="3412" t="s">
        <v>1384</v>
      </c>
      <c r="Z4" s="3413"/>
      <c r="AA4" s="3407" t="s">
        <v>1380</v>
      </c>
      <c r="AB4" s="3358" t="s">
        <v>1381</v>
      </c>
      <c r="AC4" s="3407" t="s">
        <v>1382</v>
      </c>
    </row>
    <row r="5" spans="1:29">
      <c r="A5" s="1029"/>
      <c r="B5" s="1030"/>
      <c r="C5" s="3403" t="s">
        <v>1385</v>
      </c>
      <c r="D5" s="3404"/>
      <c r="E5" s="3405" t="s">
        <v>1386</v>
      </c>
      <c r="F5" s="3406"/>
      <c r="G5" s="3403" t="s">
        <v>1387</v>
      </c>
      <c r="H5" s="3404"/>
      <c r="I5" s="3403" t="s">
        <v>1388</v>
      </c>
      <c r="J5" s="3404"/>
      <c r="K5" s="1171"/>
      <c r="L5" s="1487"/>
      <c r="M5" s="1157"/>
      <c r="N5" s="1157"/>
      <c r="O5" s="1157"/>
      <c r="P5" s="3410"/>
      <c r="Q5" s="3366"/>
      <c r="R5" s="3371"/>
      <c r="S5" s="3372"/>
      <c r="T5" s="3371"/>
      <c r="U5" s="3372"/>
      <c r="V5" s="3376"/>
      <c r="W5" s="3376"/>
      <c r="X5" s="1214"/>
      <c r="Y5" s="3371"/>
      <c r="Z5" s="3372"/>
      <c r="AA5" s="3358"/>
      <c r="AB5" s="3358"/>
      <c r="AC5" s="3358"/>
    </row>
    <row r="6" spans="1:29" ht="14.4">
      <c r="A6" s="1031"/>
      <c r="B6" s="1032"/>
      <c r="C6" s="3394" t="s">
        <v>1389</v>
      </c>
      <c r="D6" s="3395"/>
      <c r="E6" s="3396" t="s">
        <v>1389</v>
      </c>
      <c r="F6" s="3397"/>
      <c r="G6" s="3394" t="s">
        <v>1389</v>
      </c>
      <c r="H6" s="3395"/>
      <c r="I6" s="3394" t="s">
        <v>1389</v>
      </c>
      <c r="J6" s="3395"/>
      <c r="K6" s="1171" t="s">
        <v>1390</v>
      </c>
      <c r="L6" s="1487"/>
      <c r="M6" s="1157"/>
      <c r="N6" s="1157"/>
      <c r="O6" s="1157"/>
      <c r="P6" s="3411"/>
      <c r="Q6" s="3368"/>
      <c r="R6" s="3371"/>
      <c r="S6" s="3372"/>
      <c r="T6" s="3373"/>
      <c r="U6" s="3374"/>
      <c r="V6" s="3376"/>
      <c r="W6" s="3376"/>
      <c r="X6" s="1214"/>
      <c r="Y6" s="3373"/>
      <c r="Z6" s="3374"/>
      <c r="AA6" s="3359"/>
      <c r="AB6" s="3359"/>
      <c r="AC6" s="3359"/>
    </row>
    <row r="7" spans="1:29" s="1008" customFormat="1" ht="14.4">
      <c r="A7" s="1033" t="s">
        <v>1391</v>
      </c>
      <c r="B7" s="1034"/>
      <c r="C7" s="1035">
        <f>'数据-取费表'!B2</f>
        <v>45924</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82" t="s">
        <v>1392</v>
      </c>
      <c r="Q7" s="3398"/>
      <c r="R7" s="1215" t="s">
        <v>1393</v>
      </c>
      <c r="S7" s="1216">
        <f t="shared" ref="S7:S15" si="0">F7</f>
        <v>0</v>
      </c>
      <c r="T7" s="1215" t="s">
        <v>1393</v>
      </c>
      <c r="U7" s="1216">
        <f t="shared" ref="U7:U15" si="1">H7</f>
        <v>0</v>
      </c>
      <c r="V7" s="1215" t="s">
        <v>1393</v>
      </c>
      <c r="W7" s="1216">
        <f t="shared" ref="W7:W15" si="2">J7</f>
        <v>0</v>
      </c>
      <c r="X7" s="1217"/>
      <c r="Y7" s="3382" t="s">
        <v>1392</v>
      </c>
      <c r="Z7" s="3383"/>
      <c r="AA7" s="1227" t="e">
        <f>D7/F7</f>
        <v>#DIV/0!</v>
      </c>
      <c r="AB7" s="1227" t="e">
        <f>D7/H7</f>
        <v>#DIV/0!</v>
      </c>
      <c r="AC7" s="1227" t="e">
        <f>D7/J7</f>
        <v>#DIV/0!</v>
      </c>
    </row>
    <row r="8" spans="1:29" s="1008" customFormat="1" ht="14.4">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82" t="s">
        <v>1397</v>
      </c>
      <c r="Q8" s="3383"/>
      <c r="R8" s="1215" t="s">
        <v>1393</v>
      </c>
      <c r="S8" s="1216">
        <f t="shared" si="0"/>
        <v>100</v>
      </c>
      <c r="T8" s="1215" t="s">
        <v>1393</v>
      </c>
      <c r="U8" s="1216">
        <f t="shared" si="1"/>
        <v>100</v>
      </c>
      <c r="V8" s="1215" t="s">
        <v>1393</v>
      </c>
      <c r="W8" s="1216">
        <f t="shared" si="2"/>
        <v>100</v>
      </c>
      <c r="X8" s="1217"/>
      <c r="Y8" s="3382" t="s">
        <v>1397</v>
      </c>
      <c r="Z8" s="3383"/>
      <c r="AA8" s="1227">
        <f t="shared" ref="AA8:AA40" si="3">D8/F8</f>
        <v>1</v>
      </c>
      <c r="AB8" s="1227">
        <f t="shared" ref="AB8:AB40" si="4">D8/H8</f>
        <v>1</v>
      </c>
      <c r="AC8" s="1227">
        <f t="shared" ref="AC8:AC40" si="5">D8/J8</f>
        <v>1</v>
      </c>
    </row>
    <row r="9" spans="1:29" s="1008" customFormat="1" ht="14.4">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78" t="s">
        <v>1400</v>
      </c>
      <c r="Q9" s="794" t="str">
        <f t="shared" ref="Q9:Q15" si="6">B9</f>
        <v>用途</v>
      </c>
      <c r="R9" s="1215" t="s">
        <v>1393</v>
      </c>
      <c r="S9" s="1216">
        <f t="shared" si="0"/>
        <v>100</v>
      </c>
      <c r="T9" s="1215" t="s">
        <v>1393</v>
      </c>
      <c r="U9" s="1216">
        <f t="shared" si="1"/>
        <v>100</v>
      </c>
      <c r="V9" s="1215" t="s">
        <v>1393</v>
      </c>
      <c r="W9" s="1216">
        <f t="shared" si="2"/>
        <v>100</v>
      </c>
      <c r="X9" s="1217"/>
      <c r="Y9" s="3264" t="s">
        <v>1401</v>
      </c>
      <c r="Z9" s="1227" t="str">
        <f t="shared" ref="Z9:Z15" si="7">Q9</f>
        <v>用途</v>
      </c>
      <c r="AA9" s="1227">
        <f t="shared" si="3"/>
        <v>1</v>
      </c>
      <c r="AB9" s="1227">
        <f t="shared" si="4"/>
        <v>1</v>
      </c>
      <c r="AC9" s="1227">
        <f t="shared" si="5"/>
        <v>1</v>
      </c>
    </row>
    <row r="10" spans="1:29" s="1009" customFormat="1" ht="28.8">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78"/>
      <c r="Q10" s="794" t="str">
        <f t="shared" si="6"/>
        <v>土地使用年限（年）</v>
      </c>
      <c r="R10" s="1215" t="s">
        <v>1393</v>
      </c>
      <c r="S10" s="1216">
        <f t="shared" si="0"/>
        <v>100</v>
      </c>
      <c r="T10" s="1215" t="s">
        <v>1393</v>
      </c>
      <c r="U10" s="1216">
        <f t="shared" si="1"/>
        <v>100</v>
      </c>
      <c r="V10" s="1215" t="s">
        <v>1393</v>
      </c>
      <c r="W10" s="1216">
        <f t="shared" si="2"/>
        <v>100</v>
      </c>
      <c r="X10" s="1217"/>
      <c r="Y10" s="3264"/>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78"/>
      <c r="Q11" s="794" t="str">
        <f t="shared" si="6"/>
        <v>容积率</v>
      </c>
      <c r="R11" s="1215" t="s">
        <v>1393</v>
      </c>
      <c r="S11" s="1216">
        <f t="shared" si="0"/>
        <v>100</v>
      </c>
      <c r="T11" s="1215" t="s">
        <v>1393</v>
      </c>
      <c r="U11" s="1216">
        <f t="shared" si="1"/>
        <v>100</v>
      </c>
      <c r="V11" s="1215" t="s">
        <v>1393</v>
      </c>
      <c r="W11" s="1216">
        <f t="shared" si="2"/>
        <v>100</v>
      </c>
      <c r="X11" s="1217"/>
      <c r="Y11" s="3264"/>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78"/>
      <c r="Q12" s="794">
        <f t="shared" si="6"/>
        <v>111</v>
      </c>
      <c r="R12" s="1215" t="s">
        <v>1393</v>
      </c>
      <c r="S12" s="1216">
        <f t="shared" si="0"/>
        <v>100</v>
      </c>
      <c r="T12" s="1215" t="s">
        <v>1393</v>
      </c>
      <c r="U12" s="1216">
        <f t="shared" si="1"/>
        <v>100</v>
      </c>
      <c r="V12" s="1215" t="s">
        <v>1393</v>
      </c>
      <c r="W12" s="1216">
        <f t="shared" si="2"/>
        <v>100</v>
      </c>
      <c r="X12" s="1217"/>
      <c r="Y12" s="3264"/>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78"/>
      <c r="Q13" s="794">
        <f t="shared" si="6"/>
        <v>111</v>
      </c>
      <c r="R13" s="1215" t="s">
        <v>1393</v>
      </c>
      <c r="S13" s="1216">
        <f t="shared" si="0"/>
        <v>100</v>
      </c>
      <c r="T13" s="1215" t="s">
        <v>1393</v>
      </c>
      <c r="U13" s="1216">
        <f t="shared" si="1"/>
        <v>100</v>
      </c>
      <c r="V13" s="1215" t="s">
        <v>1393</v>
      </c>
      <c r="W13" s="1216">
        <f t="shared" si="2"/>
        <v>100</v>
      </c>
      <c r="X13" s="1217"/>
      <c r="Y13" s="3264"/>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78"/>
      <c r="Q14" s="794">
        <f t="shared" si="6"/>
        <v>111</v>
      </c>
      <c r="R14" s="1215" t="s">
        <v>1393</v>
      </c>
      <c r="S14" s="1216">
        <f t="shared" si="0"/>
        <v>100</v>
      </c>
      <c r="T14" s="1215" t="s">
        <v>1393</v>
      </c>
      <c r="U14" s="1216">
        <f t="shared" si="1"/>
        <v>100</v>
      </c>
      <c r="V14" s="1215" t="s">
        <v>1393</v>
      </c>
      <c r="W14" s="1216">
        <f t="shared" si="2"/>
        <v>100</v>
      </c>
      <c r="X14" s="1217"/>
      <c r="Y14" s="3264"/>
      <c r="Z14" s="1227">
        <f t="shared" si="7"/>
        <v>111</v>
      </c>
      <c r="AA14" s="1227">
        <f t="shared" si="3"/>
        <v>1</v>
      </c>
      <c r="AB14" s="1227">
        <f t="shared" si="4"/>
        <v>1</v>
      </c>
      <c r="AC14" s="1227">
        <f t="shared" si="5"/>
        <v>1</v>
      </c>
    </row>
    <row r="15" spans="1:29" ht="69">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90" t="s">
        <v>1406</v>
      </c>
      <c r="Q15" s="625" t="str">
        <f t="shared" si="6"/>
        <v>产业集聚程度</v>
      </c>
      <c r="R15" s="1219" t="s">
        <v>1393</v>
      </c>
      <c r="S15" s="1220">
        <f t="shared" si="0"/>
        <v>100</v>
      </c>
      <c r="T15" s="1219" t="s">
        <v>1393</v>
      </c>
      <c r="U15" s="1220">
        <f t="shared" si="1"/>
        <v>100</v>
      </c>
      <c r="V15" s="1219" t="s">
        <v>1393</v>
      </c>
      <c r="W15" s="1220">
        <f t="shared" si="2"/>
        <v>100</v>
      </c>
      <c r="X15" s="1214"/>
      <c r="Y15" s="3390"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91"/>
      <c r="Q16" s="625"/>
      <c r="R16" s="1219"/>
      <c r="S16" s="1220"/>
      <c r="T16" s="1219"/>
      <c r="U16" s="1220"/>
      <c r="V16" s="1219"/>
      <c r="W16" s="1220"/>
      <c r="X16" s="1214"/>
      <c r="Y16" s="3391"/>
      <c r="Z16" s="1204"/>
      <c r="AA16" s="1204">
        <v>1</v>
      </c>
      <c r="AB16" s="1204">
        <v>1</v>
      </c>
      <c r="AC16" s="1204">
        <v>1</v>
      </c>
    </row>
    <row r="17" spans="1:29" ht="96.6">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91"/>
      <c r="Q17" s="625" t="str">
        <f>B17</f>
        <v>交通便捷度</v>
      </c>
      <c r="R17" s="1219" t="s">
        <v>1393</v>
      </c>
      <c r="S17" s="1220">
        <f>F17</f>
        <v>100</v>
      </c>
      <c r="T17" s="1219" t="s">
        <v>1393</v>
      </c>
      <c r="U17" s="1220">
        <f>H17</f>
        <v>100</v>
      </c>
      <c r="V17" s="1219" t="s">
        <v>1393</v>
      </c>
      <c r="W17" s="1220">
        <f>J17</f>
        <v>100</v>
      </c>
      <c r="X17" s="1214"/>
      <c r="Y17" s="3391"/>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91"/>
      <c r="Q18" s="625"/>
      <c r="R18" s="1219"/>
      <c r="S18" s="1220"/>
      <c r="T18" s="1219"/>
      <c r="U18" s="1220"/>
      <c r="V18" s="1219"/>
      <c r="W18" s="1220"/>
      <c r="X18" s="1214"/>
      <c r="Y18" s="3391"/>
      <c r="Z18" s="1204"/>
      <c r="AA18" s="1204">
        <v>1</v>
      </c>
      <c r="AB18" s="1204">
        <v>1</v>
      </c>
      <c r="AC18" s="1204">
        <v>1</v>
      </c>
    </row>
    <row r="19" spans="1:29" ht="41.4">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91"/>
      <c r="Q19" s="625" t="str">
        <f>B19</f>
        <v>公共配套设施</v>
      </c>
      <c r="R19" s="1219" t="s">
        <v>1393</v>
      </c>
      <c r="S19" s="1220">
        <f>F19</f>
        <v>100</v>
      </c>
      <c r="T19" s="1219" t="s">
        <v>1393</v>
      </c>
      <c r="U19" s="1220">
        <f>H19</f>
        <v>100</v>
      </c>
      <c r="V19" s="1219" t="s">
        <v>1393</v>
      </c>
      <c r="W19" s="1220">
        <f>J19</f>
        <v>100</v>
      </c>
      <c r="X19" s="1214"/>
      <c r="Y19" s="3391"/>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91"/>
      <c r="Q20" s="625"/>
      <c r="R20" s="1219"/>
      <c r="S20" s="1220"/>
      <c r="T20" s="1219"/>
      <c r="U20" s="1220"/>
      <c r="V20" s="1219"/>
      <c r="W20" s="1220"/>
      <c r="X20" s="1214"/>
      <c r="Y20" s="3391"/>
      <c r="Z20" s="1204"/>
      <c r="AA20" s="1204">
        <v>1</v>
      </c>
      <c r="AB20" s="1204">
        <v>1</v>
      </c>
      <c r="AC20" s="1204">
        <v>1</v>
      </c>
    </row>
    <row r="21" spans="1:29" ht="41.4">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91"/>
      <c r="Q21" s="625" t="str">
        <f>B21</f>
        <v>基础设施水平</v>
      </c>
      <c r="R21" s="1219" t="s">
        <v>1393</v>
      </c>
      <c r="S21" s="1220">
        <f>F21</f>
        <v>100</v>
      </c>
      <c r="T21" s="1219" t="s">
        <v>1393</v>
      </c>
      <c r="U21" s="1220">
        <f>H21</f>
        <v>100</v>
      </c>
      <c r="V21" s="1219" t="s">
        <v>1393</v>
      </c>
      <c r="W21" s="1220">
        <f>J21</f>
        <v>100</v>
      </c>
      <c r="X21" s="1214"/>
      <c r="Y21" s="3391"/>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91"/>
      <c r="Q22" s="625"/>
      <c r="R22" s="1219"/>
      <c r="S22" s="1220"/>
      <c r="T22" s="1219"/>
      <c r="U22" s="1220"/>
      <c r="V22" s="1219"/>
      <c r="W22" s="1220"/>
      <c r="X22" s="1214"/>
      <c r="Y22" s="3391"/>
      <c r="Z22" s="1204"/>
      <c r="AA22" s="1204">
        <v>1</v>
      </c>
      <c r="AB22" s="1204">
        <v>1</v>
      </c>
      <c r="AC22" s="1204">
        <v>1</v>
      </c>
    </row>
    <row r="23" spans="1:29" ht="82.8">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91"/>
      <c r="Q23" s="625" t="str">
        <f>B23</f>
        <v>环境质量</v>
      </c>
      <c r="R23" s="1219" t="s">
        <v>1393</v>
      </c>
      <c r="S23" s="1220">
        <f>F23</f>
        <v>100</v>
      </c>
      <c r="T23" s="1219" t="s">
        <v>1393</v>
      </c>
      <c r="U23" s="1220">
        <f>H23</f>
        <v>100</v>
      </c>
      <c r="V23" s="1219" t="s">
        <v>1393</v>
      </c>
      <c r="W23" s="1220">
        <f>J23</f>
        <v>100</v>
      </c>
      <c r="X23" s="1214"/>
      <c r="Y23" s="3391"/>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91"/>
      <c r="Q24" s="625"/>
      <c r="R24" s="1219"/>
      <c r="S24" s="1220"/>
      <c r="T24" s="1219"/>
      <c r="U24" s="1220"/>
      <c r="V24" s="1219"/>
      <c r="W24" s="1220"/>
      <c r="X24" s="1214"/>
      <c r="Y24" s="3391"/>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91"/>
      <c r="Q25" s="625">
        <f>B25</f>
        <v>111</v>
      </c>
      <c r="R25" s="1219" t="s">
        <v>1393</v>
      </c>
      <c r="S25" s="1220">
        <f>F25</f>
        <v>100</v>
      </c>
      <c r="T25" s="1219" t="s">
        <v>1393</v>
      </c>
      <c r="U25" s="1220">
        <f>H25</f>
        <v>100</v>
      </c>
      <c r="V25" s="1219" t="s">
        <v>1393</v>
      </c>
      <c r="W25" s="1220">
        <f>J25</f>
        <v>100</v>
      </c>
      <c r="X25" s="1214"/>
      <c r="Y25" s="3391"/>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91"/>
      <c r="Q26" s="625">
        <f t="shared" ref="Q26:Q40" si="11">B26</f>
        <v>111</v>
      </c>
      <c r="R26" s="1219" t="s">
        <v>1393</v>
      </c>
      <c r="S26" s="1220">
        <f>F26</f>
        <v>100</v>
      </c>
      <c r="T26" s="1219" t="s">
        <v>1393</v>
      </c>
      <c r="U26" s="1220">
        <f>H26</f>
        <v>100</v>
      </c>
      <c r="V26" s="1219" t="s">
        <v>1393</v>
      </c>
      <c r="W26" s="1220">
        <f>J26</f>
        <v>100</v>
      </c>
      <c r="X26" s="1214"/>
      <c r="Y26" s="3391"/>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91"/>
      <c r="Q27" s="794">
        <f t="shared" si="11"/>
        <v>111</v>
      </c>
      <c r="R27" s="1215" t="s">
        <v>1393</v>
      </c>
      <c r="S27" s="1216">
        <f>F27</f>
        <v>100</v>
      </c>
      <c r="T27" s="1215" t="s">
        <v>1393</v>
      </c>
      <c r="U27" s="1216">
        <f>H27</f>
        <v>100</v>
      </c>
      <c r="V27" s="1215" t="s">
        <v>1393</v>
      </c>
      <c r="W27" s="1216">
        <f>J27</f>
        <v>100</v>
      </c>
      <c r="X27" s="1217"/>
      <c r="Y27" s="3391"/>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91"/>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91"/>
      <c r="Z28" s="1204">
        <f t="shared" ref="Z28:Z40" si="15">Q28</f>
        <v>111</v>
      </c>
      <c r="AA28" s="1204">
        <f t="shared" si="3"/>
        <v>1</v>
      </c>
      <c r="AB28" s="1204">
        <f t="shared" si="4"/>
        <v>1</v>
      </c>
      <c r="AC28" s="1204">
        <f t="shared" si="5"/>
        <v>1</v>
      </c>
    </row>
    <row r="29" spans="1:29" ht="30">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38" t="s">
        <v>1421</v>
      </c>
      <c r="Q29" s="625" t="str">
        <f t="shared" si="11"/>
        <v>建筑类型</v>
      </c>
      <c r="R29" s="1219" t="s">
        <v>1393</v>
      </c>
      <c r="S29" s="1220">
        <f t="shared" si="12"/>
        <v>100</v>
      </c>
      <c r="T29" s="1219" t="s">
        <v>1393</v>
      </c>
      <c r="U29" s="1220">
        <f t="shared" si="13"/>
        <v>100</v>
      </c>
      <c r="V29" s="1219" t="s">
        <v>1393</v>
      </c>
      <c r="W29" s="1220">
        <f t="shared" si="14"/>
        <v>100</v>
      </c>
      <c r="X29" s="1214"/>
      <c r="Y29" s="3392"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92"/>
      <c r="Q30" s="1415" t="str">
        <f t="shared" si="11"/>
        <v>项目建筑规模</v>
      </c>
      <c r="R30" s="1221" t="s">
        <v>1393</v>
      </c>
      <c r="S30" s="1222" t="e">
        <f t="shared" si="12"/>
        <v>#N/A</v>
      </c>
      <c r="T30" s="1221" t="s">
        <v>1393</v>
      </c>
      <c r="U30" s="1222" t="e">
        <f t="shared" si="13"/>
        <v>#N/A</v>
      </c>
      <c r="V30" s="1221" t="s">
        <v>1393</v>
      </c>
      <c r="W30" s="1222" t="e">
        <f t="shared" si="14"/>
        <v>#N/A</v>
      </c>
      <c r="X30" s="1223"/>
      <c r="Y30" s="3392"/>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92"/>
      <c r="Q31" s="625" t="str">
        <f t="shared" si="11"/>
        <v>建筑结构</v>
      </c>
      <c r="R31" s="1219" t="s">
        <v>1393</v>
      </c>
      <c r="S31" s="1220">
        <f t="shared" si="12"/>
        <v>100</v>
      </c>
      <c r="T31" s="1219" t="s">
        <v>1393</v>
      </c>
      <c r="U31" s="1220">
        <f t="shared" si="13"/>
        <v>100</v>
      </c>
      <c r="V31" s="1219" t="s">
        <v>1393</v>
      </c>
      <c r="W31" s="1220">
        <f t="shared" si="14"/>
        <v>100</v>
      </c>
      <c r="X31" s="1214"/>
      <c r="Y31" s="3392"/>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92"/>
      <c r="Q32" s="625" t="str">
        <f t="shared" si="11"/>
        <v>公共部分装修</v>
      </c>
      <c r="R32" s="1219" t="s">
        <v>1393</v>
      </c>
      <c r="S32" s="1220">
        <f t="shared" si="12"/>
        <v>100</v>
      </c>
      <c r="T32" s="1219" t="s">
        <v>1393</v>
      </c>
      <c r="U32" s="1220">
        <f t="shared" si="13"/>
        <v>100</v>
      </c>
      <c r="V32" s="1219" t="s">
        <v>1393</v>
      </c>
      <c r="W32" s="1220">
        <f t="shared" si="14"/>
        <v>100</v>
      </c>
      <c r="X32" s="1214"/>
      <c r="Y32" s="3392"/>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92"/>
      <c r="Q33" s="625" t="str">
        <f t="shared" si="11"/>
        <v>成新度</v>
      </c>
      <c r="R33" s="1219" t="s">
        <v>1393</v>
      </c>
      <c r="S33" s="1220" t="e">
        <f t="shared" si="12"/>
        <v>#N/A</v>
      </c>
      <c r="T33" s="1219" t="s">
        <v>1393</v>
      </c>
      <c r="U33" s="1220" t="e">
        <f t="shared" si="13"/>
        <v>#N/A</v>
      </c>
      <c r="V33" s="1219" t="s">
        <v>1393</v>
      </c>
      <c r="W33" s="1220" t="e">
        <f t="shared" si="14"/>
        <v>#N/A</v>
      </c>
      <c r="X33" s="1214"/>
      <c r="Y33" s="3392"/>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92"/>
      <c r="Q34" s="794" t="str">
        <f t="shared" si="11"/>
        <v>物业管理</v>
      </c>
      <c r="R34" s="1215" t="s">
        <v>1393</v>
      </c>
      <c r="S34" s="1216">
        <f t="shared" si="12"/>
        <v>100</v>
      </c>
      <c r="T34" s="1215" t="s">
        <v>1393</v>
      </c>
      <c r="U34" s="1216">
        <f t="shared" si="13"/>
        <v>100</v>
      </c>
      <c r="V34" s="1215" t="s">
        <v>1393</v>
      </c>
      <c r="W34" s="1216">
        <f t="shared" si="14"/>
        <v>100</v>
      </c>
      <c r="X34" s="1217"/>
      <c r="Y34" s="3392"/>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92" t="s">
        <v>1421</v>
      </c>
      <c r="Q35" s="625" t="str">
        <f t="shared" si="11"/>
        <v>市政基础设施</v>
      </c>
      <c r="R35" s="1219" t="s">
        <v>1393</v>
      </c>
      <c r="S35" s="1220">
        <f t="shared" si="12"/>
        <v>100</v>
      </c>
      <c r="T35" s="1219" t="s">
        <v>1393</v>
      </c>
      <c r="U35" s="1220">
        <f t="shared" si="13"/>
        <v>100</v>
      </c>
      <c r="V35" s="1219" t="s">
        <v>1393</v>
      </c>
      <c r="W35" s="1220">
        <f t="shared" si="14"/>
        <v>100</v>
      </c>
      <c r="X35" s="1214"/>
      <c r="Y35" s="3392"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92"/>
      <c r="Q36" s="625" t="str">
        <f t="shared" si="11"/>
        <v>内部装修</v>
      </c>
      <c r="R36" s="1219" t="s">
        <v>1393</v>
      </c>
      <c r="S36" s="1220">
        <f t="shared" si="12"/>
        <v>100</v>
      </c>
      <c r="T36" s="1219" t="s">
        <v>1393</v>
      </c>
      <c r="U36" s="1220">
        <f t="shared" si="13"/>
        <v>100</v>
      </c>
      <c r="V36" s="1219" t="s">
        <v>1393</v>
      </c>
      <c r="W36" s="1220">
        <f t="shared" si="14"/>
        <v>100</v>
      </c>
      <c r="X36" s="1214"/>
      <c r="Y36" s="3392"/>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92"/>
      <c r="Q37" s="625" t="str">
        <f t="shared" si="11"/>
        <v>内部装修状况</v>
      </c>
      <c r="R37" s="1219" t="s">
        <v>1393</v>
      </c>
      <c r="S37" s="1220">
        <f t="shared" si="12"/>
        <v>100</v>
      </c>
      <c r="T37" s="1219" t="s">
        <v>1393</v>
      </c>
      <c r="U37" s="1220">
        <f t="shared" si="13"/>
        <v>100</v>
      </c>
      <c r="V37" s="1219" t="s">
        <v>1393</v>
      </c>
      <c r="W37" s="1220">
        <f t="shared" si="14"/>
        <v>100</v>
      </c>
      <c r="X37" s="1214"/>
      <c r="Y37" s="3392"/>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92"/>
      <c r="Q38" s="1415">
        <f t="shared" si="11"/>
        <v>111</v>
      </c>
      <c r="R38" s="1221" t="s">
        <v>1393</v>
      </c>
      <c r="S38" s="1222">
        <f t="shared" si="12"/>
        <v>100</v>
      </c>
      <c r="T38" s="1221" t="s">
        <v>1393</v>
      </c>
      <c r="U38" s="1222">
        <f t="shared" si="13"/>
        <v>100</v>
      </c>
      <c r="V38" s="1221" t="s">
        <v>1393</v>
      </c>
      <c r="W38" s="1222">
        <f t="shared" si="14"/>
        <v>100</v>
      </c>
      <c r="X38" s="1223"/>
      <c r="Y38" s="3392"/>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92"/>
      <c r="Q39" s="625">
        <f t="shared" si="11"/>
        <v>111</v>
      </c>
      <c r="R39" s="1219" t="s">
        <v>1393</v>
      </c>
      <c r="S39" s="1220">
        <f t="shared" si="12"/>
        <v>100</v>
      </c>
      <c r="T39" s="1219" t="s">
        <v>1393</v>
      </c>
      <c r="U39" s="1220">
        <f t="shared" si="13"/>
        <v>100</v>
      </c>
      <c r="V39" s="1219" t="s">
        <v>1393</v>
      </c>
      <c r="W39" s="1220">
        <f t="shared" si="14"/>
        <v>100</v>
      </c>
      <c r="X39" s="1214"/>
      <c r="Y39" s="3392"/>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93"/>
      <c r="Q40" s="625">
        <f t="shared" si="11"/>
        <v>111</v>
      </c>
      <c r="R40" s="1219" t="s">
        <v>1393</v>
      </c>
      <c r="S40" s="1220">
        <f t="shared" si="12"/>
        <v>100</v>
      </c>
      <c r="T40" s="1219" t="s">
        <v>1393</v>
      </c>
      <c r="U40" s="1220">
        <f t="shared" si="13"/>
        <v>100</v>
      </c>
      <c r="V40" s="1219" t="s">
        <v>1393</v>
      </c>
      <c r="W40" s="1220">
        <f t="shared" si="14"/>
        <v>100</v>
      </c>
      <c r="X40" s="1214"/>
      <c r="Y40" s="3393"/>
      <c r="Z40" s="1204">
        <f t="shared" si="15"/>
        <v>111</v>
      </c>
      <c r="AA40" s="1204">
        <f t="shared" si="3"/>
        <v>1</v>
      </c>
      <c r="AB40" s="1204">
        <f t="shared" si="4"/>
        <v>1</v>
      </c>
      <c r="AC40" s="1204">
        <f t="shared" si="5"/>
        <v>1</v>
      </c>
    </row>
    <row r="41" spans="1:29" ht="14.4">
      <c r="A41" s="1105" t="s">
        <v>1437</v>
      </c>
      <c r="B41" s="1398"/>
      <c r="C41" s="1399" t="s">
        <v>124</v>
      </c>
      <c r="D41" s="1108"/>
      <c r="E41" s="1109"/>
      <c r="F41" s="1110"/>
      <c r="G41" s="1111"/>
      <c r="H41" s="1112"/>
      <c r="I41" s="1109"/>
      <c r="J41" s="1112"/>
      <c r="K41" s="1195"/>
      <c r="L41" s="1499"/>
      <c r="M41" s="1157"/>
      <c r="N41" s="1157"/>
      <c r="O41" s="1157"/>
      <c r="P41" s="3378" t="str">
        <f>A41</f>
        <v>成交单价（元/平方米）</v>
      </c>
      <c r="Q41" s="3378"/>
      <c r="R41" s="3376">
        <f>E41</f>
        <v>0</v>
      </c>
      <c r="S41" s="3376"/>
      <c r="T41" s="3376">
        <f>G41</f>
        <v>0</v>
      </c>
      <c r="U41" s="3376"/>
      <c r="V41" s="3376">
        <f>I41</f>
        <v>0</v>
      </c>
      <c r="W41" s="3376"/>
      <c r="X41" s="1162"/>
      <c r="Y41" s="1229"/>
      <c r="Z41" s="1162"/>
      <c r="AA41" s="1162"/>
      <c r="AB41" s="1162"/>
      <c r="AC41" s="1162"/>
    </row>
    <row r="42" spans="1:29" ht="14.4">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78" t="str">
        <f>A42</f>
        <v>比较价值（元/平方米）</v>
      </c>
      <c r="Q42" s="3378"/>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1162"/>
      <c r="Y42" s="1162"/>
      <c r="Z42" s="1162"/>
      <c r="AA42" s="1162"/>
      <c r="AB42" s="1162"/>
      <c r="AC42" s="1162"/>
    </row>
    <row r="43" spans="1:29" ht="14.4">
      <c r="A43" s="1119" t="s">
        <v>1440</v>
      </c>
      <c r="B43" s="1120"/>
      <c r="C43" s="1032" t="e">
        <f>R43</f>
        <v>#DIV/0!</v>
      </c>
      <c r="D43" s="1032"/>
      <c r="E43" s="1032"/>
      <c r="F43" s="1032"/>
      <c r="G43" s="1032"/>
      <c r="H43" s="1032"/>
      <c r="I43" s="1032"/>
      <c r="J43" s="1032"/>
      <c r="K43" s="1198"/>
      <c r="L43" s="1499"/>
      <c r="M43" s="1157"/>
      <c r="N43" s="1157"/>
      <c r="O43" s="1157"/>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6">
      <c r="A51" s="1161" t="s">
        <v>1444</v>
      </c>
      <c r="B51" s="1162"/>
      <c r="C51" s="1163"/>
      <c r="D51" s="1163"/>
      <c r="E51" s="1163"/>
      <c r="F51" s="1164"/>
      <c r="G51" s="1164"/>
      <c r="H51" s="1163"/>
      <c r="I51" s="1163"/>
      <c r="J51" s="1163"/>
      <c r="K51" s="1358"/>
      <c r="L51" s="1359"/>
      <c r="M51" s="1212"/>
      <c r="N51" s="1212"/>
      <c r="O51" s="1212"/>
      <c r="P51" s="1502"/>
      <c r="Q51" s="1503"/>
    </row>
    <row r="52" spans="1:17" s="1013" customFormat="1" ht="14.4">
      <c r="A52" s="1404" t="s">
        <v>1391</v>
      </c>
      <c r="B52" s="1405"/>
      <c r="C52" s="1406" t="str">
        <f>YEAR(C7)&amp;"-"&amp;MONTH(C7)</f>
        <v>2025-9</v>
      </c>
      <c r="D52" s="1407">
        <f>EDATE(C52,-1)</f>
        <v>45870</v>
      </c>
      <c r="E52" s="1407">
        <f t="shared" ref="E52:O52" si="16">EDATE(D52,-1)</f>
        <v>45839</v>
      </c>
      <c r="F52" s="1407">
        <f t="shared" si="16"/>
        <v>45809</v>
      </c>
      <c r="G52" s="1407">
        <f t="shared" si="16"/>
        <v>45778</v>
      </c>
      <c r="H52" s="1407">
        <f t="shared" si="16"/>
        <v>45748</v>
      </c>
      <c r="I52" s="1407">
        <f t="shared" si="16"/>
        <v>45717</v>
      </c>
      <c r="J52" s="1407">
        <f t="shared" si="16"/>
        <v>45689</v>
      </c>
      <c r="K52" s="1407">
        <f t="shared" si="16"/>
        <v>45658</v>
      </c>
      <c r="L52" s="1407">
        <f t="shared" si="16"/>
        <v>45627</v>
      </c>
      <c r="M52" s="1407">
        <f t="shared" si="16"/>
        <v>45597</v>
      </c>
      <c r="N52" s="1407">
        <f t="shared" si="16"/>
        <v>45566</v>
      </c>
      <c r="O52" s="1407">
        <f t="shared" si="16"/>
        <v>45536</v>
      </c>
    </row>
    <row r="53" spans="1:17" s="1008" customFormat="1">
      <c r="A53" s="1078"/>
      <c r="B53" s="1241"/>
      <c r="C53" s="1408">
        <v>100</v>
      </c>
      <c r="D53" s="1245"/>
      <c r="E53" s="1245"/>
      <c r="F53" s="1245"/>
      <c r="G53" s="1245"/>
      <c r="H53" s="1245"/>
      <c r="I53" s="1245"/>
      <c r="J53" s="1245"/>
      <c r="K53" s="1245"/>
      <c r="L53" s="1245"/>
      <c r="M53" s="1053"/>
      <c r="N53" s="1245"/>
      <c r="O53" s="1285"/>
      <c r="P53" s="1503"/>
    </row>
    <row r="54" spans="1:17" s="1008" customFormat="1" ht="14.4">
      <c r="A54" s="1236" t="s">
        <v>1445</v>
      </c>
      <c r="B54" s="1237"/>
      <c r="C54" s="1238"/>
      <c r="D54" s="1239"/>
      <c r="E54" s="1239"/>
      <c r="F54" s="1239"/>
      <c r="G54" s="1239"/>
      <c r="H54" s="1239"/>
      <c r="I54" s="1239"/>
      <c r="J54" s="1239"/>
      <c r="K54" s="1239"/>
      <c r="L54" s="1239"/>
      <c r="M54" s="1280"/>
      <c r="N54" s="1504"/>
      <c r="O54" s="1505"/>
      <c r="P54" s="1503"/>
      <c r="Q54" s="1503"/>
    </row>
    <row r="55" spans="1:17" s="1008" customFormat="1" ht="14.4">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c r="A56" s="1240"/>
      <c r="B56" s="1241"/>
      <c r="C56" s="1244">
        <v>100</v>
      </c>
      <c r="D56" s="1245"/>
      <c r="E56" s="1245"/>
      <c r="F56" s="1245"/>
      <c r="G56" s="1245"/>
      <c r="H56" s="1245"/>
      <c r="I56" s="1245"/>
      <c r="J56" s="1245"/>
      <c r="K56" s="1245"/>
      <c r="L56" s="1245"/>
      <c r="M56" s="1285"/>
      <c r="N56" s="1506"/>
      <c r="O56" s="1506"/>
      <c r="P56" s="1503"/>
      <c r="Q56" s="1503"/>
    </row>
    <row r="57" spans="1:17" ht="14.4">
      <c r="A57" s="1062" t="s">
        <v>1447</v>
      </c>
      <c r="B57" s="1246" t="s">
        <v>1399</v>
      </c>
      <c r="C57" s="621">
        <f>C9</f>
        <v>0</v>
      </c>
      <c r="D57" s="1193"/>
      <c r="E57" s="1193"/>
      <c r="F57" s="1193"/>
      <c r="G57" s="1193"/>
      <c r="H57" s="1193"/>
      <c r="I57" s="1193"/>
      <c r="J57" s="1193"/>
      <c r="K57" s="1286"/>
      <c r="L57" s="1287"/>
      <c r="M57" s="1288"/>
      <c r="N57" s="1508"/>
      <c r="O57" s="1508"/>
      <c r="P57" s="1509"/>
      <c r="Q57" s="1503"/>
    </row>
    <row r="58" spans="1:17">
      <c r="A58" s="1049"/>
      <c r="B58" s="1247"/>
      <c r="C58" s="1248">
        <v>100</v>
      </c>
      <c r="D58" s="1248"/>
      <c r="E58" s="1248"/>
      <c r="F58" s="1248"/>
      <c r="G58" s="1248"/>
      <c r="H58" s="1248"/>
      <c r="I58" s="1248"/>
      <c r="J58" s="1248"/>
      <c r="K58" s="1248"/>
      <c r="L58" s="1248"/>
      <c r="M58" s="1290"/>
      <c r="N58" s="1510"/>
      <c r="O58" s="1510"/>
      <c r="P58" s="1509"/>
      <c r="Q58" s="1503"/>
    </row>
    <row r="59" spans="1:17" ht="28.8">
      <c r="A59" s="1049"/>
      <c r="B59" s="1249" t="s">
        <v>1402</v>
      </c>
      <c r="C59" s="1272"/>
      <c r="D59" s="1272"/>
      <c r="E59" s="1272"/>
      <c r="F59" s="1272"/>
      <c r="G59" s="1272"/>
      <c r="H59" s="1272"/>
      <c r="I59" s="1272"/>
      <c r="J59" s="1272"/>
      <c r="K59" s="1317"/>
      <c r="L59" s="1318"/>
      <c r="M59" s="1319"/>
      <c r="N59" s="1508"/>
      <c r="O59" s="1508"/>
      <c r="P59" s="1509"/>
      <c r="Q59" s="1503"/>
    </row>
    <row r="60" spans="1:17">
      <c r="A60" s="1049"/>
      <c r="B60" s="1251"/>
      <c r="C60" s="1248"/>
      <c r="D60" s="1248"/>
      <c r="E60" s="1248"/>
      <c r="F60" s="1248"/>
      <c r="G60" s="1248"/>
      <c r="H60" s="1248"/>
      <c r="I60" s="1248"/>
      <c r="J60" s="1248"/>
      <c r="K60" s="1248"/>
      <c r="L60" s="1248"/>
      <c r="M60" s="1290"/>
      <c r="N60" s="1510"/>
      <c r="O60" s="1510"/>
      <c r="P60" s="1509"/>
      <c r="Q60" s="1503"/>
    </row>
    <row r="61" spans="1:17" ht="14.4">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c r="A62" s="1049"/>
      <c r="B62" s="1255"/>
      <c r="C62" s="1055">
        <v>0</v>
      </c>
      <c r="D62" s="1055">
        <v>2</v>
      </c>
      <c r="E62" s="1055"/>
      <c r="F62" s="1055"/>
      <c r="G62" s="1055"/>
      <c r="H62" s="1055"/>
      <c r="I62" s="1055"/>
      <c r="J62" s="1055"/>
      <c r="K62" s="1296"/>
      <c r="L62" s="1297"/>
      <c r="M62" s="1298"/>
      <c r="N62" s="1508"/>
      <c r="O62" s="1508"/>
      <c r="P62" s="1509"/>
      <c r="Q62" s="1503"/>
    </row>
    <row r="63" spans="1:17">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c r="A64" s="1256"/>
      <c r="B64" s="1249">
        <f>B12</f>
        <v>111</v>
      </c>
      <c r="C64" s="1257"/>
      <c r="D64" s="1257"/>
      <c r="E64" s="1257"/>
      <c r="F64" s="1257"/>
      <c r="G64" s="1257"/>
      <c r="H64" s="1258"/>
      <c r="I64" s="1258"/>
      <c r="J64" s="1258"/>
      <c r="K64" s="1258"/>
      <c r="L64" s="1299"/>
      <c r="M64" s="1300"/>
      <c r="N64" s="1511"/>
      <c r="O64" s="1511"/>
      <c r="P64" s="1512"/>
      <c r="Q64" s="1513"/>
    </row>
    <row r="65" spans="1:17" s="1010" customFormat="1">
      <c r="A65" s="1256"/>
      <c r="B65" s="1251"/>
      <c r="C65" s="1259"/>
      <c r="D65" s="1248"/>
      <c r="E65" s="1248"/>
      <c r="F65" s="1248"/>
      <c r="G65" s="1248"/>
      <c r="H65" s="1248"/>
      <c r="I65" s="1248"/>
      <c r="J65" s="1248"/>
      <c r="K65" s="1248"/>
      <c r="L65" s="1248"/>
      <c r="M65" s="1290"/>
      <c r="N65" s="1510"/>
      <c r="O65" s="1510"/>
      <c r="P65" s="1512"/>
      <c r="Q65" s="1513"/>
    </row>
    <row r="66" spans="1:17" s="1010" customFormat="1">
      <c r="A66" s="1256"/>
      <c r="B66" s="1249">
        <f>B13</f>
        <v>111</v>
      </c>
      <c r="C66" s="1257"/>
      <c r="D66" s="1257"/>
      <c r="E66" s="1257"/>
      <c r="F66" s="1257"/>
      <c r="G66" s="1257"/>
      <c r="H66" s="1258"/>
      <c r="I66" s="1258"/>
      <c r="J66" s="1258"/>
      <c r="K66" s="1258"/>
      <c r="L66" s="1299"/>
      <c r="M66" s="1300"/>
      <c r="N66" s="1511"/>
      <c r="O66" s="1511"/>
      <c r="Q66" s="1516"/>
    </row>
    <row r="67" spans="1:17" s="1010" customFormat="1">
      <c r="A67" s="1256"/>
      <c r="B67" s="1251"/>
      <c r="C67" s="1259"/>
      <c r="D67" s="1248"/>
      <c r="E67" s="1248"/>
      <c r="F67" s="1248"/>
      <c r="G67" s="1259"/>
      <c r="H67" s="1260"/>
      <c r="I67" s="1260"/>
      <c r="J67" s="1260"/>
      <c r="K67" s="1260"/>
      <c r="L67" s="1260"/>
      <c r="M67" s="1302"/>
      <c r="N67" s="1511"/>
      <c r="O67" s="1511"/>
      <c r="P67" s="1512"/>
      <c r="Q67" s="1513"/>
    </row>
    <row r="68" spans="1:17" s="1010" customFormat="1">
      <c r="A68" s="1256"/>
      <c r="B68" s="1253">
        <f>B14</f>
        <v>111</v>
      </c>
      <c r="C68" s="1243"/>
      <c r="D68" s="1243"/>
      <c r="E68" s="1243"/>
      <c r="F68" s="1243"/>
      <c r="G68" s="1243"/>
      <c r="H68" s="1261"/>
      <c r="I68" s="1261"/>
      <c r="J68" s="1261"/>
      <c r="K68" s="1261"/>
      <c r="L68" s="1303"/>
      <c r="M68" s="1304"/>
      <c r="N68" s="1511"/>
      <c r="O68" s="1511"/>
      <c r="P68" s="1514"/>
      <c r="Q68" s="1513"/>
    </row>
    <row r="69" spans="1:17" s="1010" customFormat="1">
      <c r="A69" s="1262"/>
      <c r="B69" s="1263"/>
      <c r="C69" s="1264"/>
      <c r="D69" s="1264"/>
      <c r="E69" s="1264"/>
      <c r="F69" s="1264"/>
      <c r="G69" s="1264"/>
      <c r="H69" s="1265"/>
      <c r="I69" s="1265"/>
      <c r="J69" s="1265"/>
      <c r="K69" s="1265"/>
      <c r="L69" s="1265"/>
      <c r="M69" s="1306"/>
      <c r="N69" s="1511"/>
      <c r="O69" s="1511"/>
      <c r="P69" s="1512"/>
      <c r="Q69" s="1513"/>
    </row>
    <row r="70" spans="1:17" ht="14.4">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4.4">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4.4">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4.4">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4.4">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c r="A80" s="1052"/>
      <c r="B80" s="1249">
        <f>B25</f>
        <v>111</v>
      </c>
      <c r="C80" s="1257"/>
      <c r="D80" s="1257"/>
      <c r="E80" s="1257"/>
      <c r="F80" s="1257"/>
      <c r="G80" s="1257"/>
      <c r="H80" s="1257"/>
      <c r="I80" s="1257"/>
      <c r="J80" s="1257"/>
      <c r="K80" s="1257"/>
      <c r="L80" s="1420"/>
      <c r="M80" s="1421"/>
      <c r="N80" s="1506"/>
      <c r="O80" s="1506"/>
      <c r="P80" s="1509"/>
      <c r="Q80" s="1503"/>
    </row>
    <row r="81" spans="1:17" s="1008" customFormat="1">
      <c r="A81" s="1052"/>
      <c r="B81" s="1251"/>
      <c r="C81" s="1259"/>
      <c r="D81" s="1248"/>
      <c r="E81" s="1248"/>
      <c r="F81" s="1248"/>
      <c r="G81" s="1248"/>
      <c r="H81" s="1248"/>
      <c r="I81" s="1248"/>
      <c r="J81" s="1248"/>
      <c r="K81" s="1248"/>
      <c r="L81" s="1248"/>
      <c r="M81" s="1290"/>
      <c r="N81" s="1510"/>
      <c r="O81" s="1510"/>
      <c r="P81" s="1509"/>
      <c r="Q81" s="1503"/>
    </row>
    <row r="82" spans="1:17" s="1008" customFormat="1">
      <c r="A82" s="1052"/>
      <c r="B82" s="1249">
        <f>B26</f>
        <v>111</v>
      </c>
      <c r="C82" s="1257"/>
      <c r="D82" s="1257"/>
      <c r="E82" s="1257"/>
      <c r="F82" s="1257"/>
      <c r="G82" s="1257"/>
      <c r="H82" s="1257"/>
      <c r="I82" s="1257"/>
      <c r="J82" s="1257"/>
      <c r="K82" s="1257"/>
      <c r="L82" s="1420"/>
      <c r="M82" s="1421"/>
      <c r="N82" s="1506"/>
      <c r="O82" s="1506"/>
      <c r="P82" s="1509"/>
      <c r="Q82" s="1503"/>
    </row>
    <row r="83" spans="1:17" s="1008" customFormat="1">
      <c r="A83" s="1052"/>
      <c r="B83" s="1251"/>
      <c r="C83" s="1259"/>
      <c r="D83" s="1248"/>
      <c r="E83" s="1248"/>
      <c r="F83" s="1248"/>
      <c r="G83" s="1248"/>
      <c r="H83" s="1248"/>
      <c r="I83" s="1248"/>
      <c r="J83" s="1248"/>
      <c r="K83" s="1248"/>
      <c r="L83" s="1248"/>
      <c r="M83" s="1290"/>
      <c r="N83" s="1510"/>
      <c r="O83" s="1510"/>
      <c r="P83" s="1509"/>
      <c r="Q83" s="1503"/>
    </row>
    <row r="84" spans="1:17" s="1010" customFormat="1">
      <c r="A84" s="1256"/>
      <c r="B84" s="1249">
        <f>B27</f>
        <v>111</v>
      </c>
      <c r="C84" s="1257"/>
      <c r="D84" s="1257"/>
      <c r="E84" s="1257"/>
      <c r="F84" s="1257"/>
      <c r="G84" s="1257"/>
      <c r="H84" s="1257"/>
      <c r="I84" s="1257"/>
      <c r="J84" s="1257"/>
      <c r="K84" s="1257"/>
      <c r="L84" s="1420"/>
      <c r="M84" s="1421"/>
      <c r="N84" s="1511"/>
      <c r="O84" s="1511"/>
      <c r="P84" s="1512"/>
      <c r="Q84" s="1513"/>
    </row>
    <row r="85" spans="1:17" s="1010" customFormat="1">
      <c r="A85" s="1256"/>
      <c r="B85" s="1251"/>
      <c r="C85" s="1259"/>
      <c r="D85" s="1248"/>
      <c r="E85" s="1248"/>
      <c r="F85" s="1248"/>
      <c r="G85" s="1248"/>
      <c r="H85" s="1248"/>
      <c r="I85" s="1248"/>
      <c r="J85" s="1248"/>
      <c r="K85" s="1248"/>
      <c r="L85" s="1248"/>
      <c r="M85" s="1290"/>
      <c r="N85" s="1511"/>
      <c r="O85" s="1511"/>
      <c r="P85" s="1512"/>
      <c r="Q85" s="1513"/>
    </row>
    <row r="86" spans="1:17">
      <c r="A86" s="1049"/>
      <c r="B86" s="1253">
        <f>B28</f>
        <v>111</v>
      </c>
      <c r="C86" s="1243"/>
      <c r="D86" s="1243"/>
      <c r="E86" s="1243"/>
      <c r="F86" s="1243"/>
      <c r="G86" s="1273"/>
      <c r="H86" s="1273"/>
      <c r="I86" s="1273"/>
      <c r="J86" s="1273"/>
      <c r="K86" s="1320"/>
      <c r="L86" s="1321"/>
      <c r="M86" s="1322"/>
      <c r="N86" s="1508"/>
      <c r="O86" s="1508"/>
      <c r="P86" s="1509"/>
      <c r="Q86" s="1503"/>
    </row>
    <row r="87" spans="1:17">
      <c r="A87" s="1058"/>
      <c r="B87" s="1263"/>
      <c r="C87" s="1264"/>
      <c r="D87" s="1264"/>
      <c r="E87" s="1264"/>
      <c r="F87" s="1264"/>
      <c r="G87" s="1274"/>
      <c r="H87" s="1274"/>
      <c r="I87" s="1274"/>
      <c r="J87" s="1274"/>
      <c r="K87" s="1274"/>
      <c r="L87" s="1274"/>
      <c r="M87" s="1323"/>
      <c r="N87" s="1510"/>
      <c r="O87" s="1510"/>
      <c r="P87" s="1509"/>
      <c r="Q87" s="1503"/>
    </row>
    <row r="88" spans="1:17" ht="14.4">
      <c r="A88" s="1062" t="s">
        <v>1418</v>
      </c>
      <c r="B88" s="1246" t="s">
        <v>1419</v>
      </c>
      <c r="C88" s="1193"/>
      <c r="D88" s="1193"/>
      <c r="E88" s="1193"/>
      <c r="F88" s="1193"/>
      <c r="G88" s="1193"/>
      <c r="H88" s="1193"/>
      <c r="I88" s="1193"/>
      <c r="J88" s="1193"/>
      <c r="K88" s="1286"/>
      <c r="L88" s="1287"/>
      <c r="M88" s="1288"/>
      <c r="N88" s="1508"/>
      <c r="O88" s="1508"/>
      <c r="P88" s="1509"/>
      <c r="Q88" s="1503"/>
    </row>
    <row r="89" spans="1:17">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4.4">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c r="A92" s="1256"/>
      <c r="B92" s="1251"/>
      <c r="C92" s="1259"/>
      <c r="D92" s="1248"/>
      <c r="E92" s="1248"/>
      <c r="F92" s="1248"/>
      <c r="G92" s="1248"/>
      <c r="H92" s="1248"/>
      <c r="I92" s="1248"/>
      <c r="J92" s="1248"/>
      <c r="K92" s="1248"/>
      <c r="L92" s="1248"/>
      <c r="M92" s="1290"/>
      <c r="N92" s="1510"/>
      <c r="O92" s="1510"/>
      <c r="P92" s="1512"/>
      <c r="Q92" s="1513"/>
    </row>
    <row r="93" spans="1:17" ht="14.4">
      <c r="A93" s="1098"/>
      <c r="B93" s="1249" t="s">
        <v>1423</v>
      </c>
      <c r="C93" s="1257"/>
      <c r="D93" s="1257"/>
      <c r="E93" s="1272"/>
      <c r="F93" s="1272"/>
      <c r="G93" s="1272"/>
      <c r="H93" s="1272"/>
      <c r="I93" s="1272"/>
      <c r="J93" s="1272"/>
      <c r="K93" s="1317"/>
      <c r="L93" s="1318"/>
      <c r="M93" s="1319"/>
      <c r="N93" s="1508"/>
      <c r="O93" s="1508"/>
      <c r="P93" s="1509"/>
      <c r="Q93" s="1503"/>
    </row>
    <row r="94" spans="1:17">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ht="14.4">
      <c r="A95" s="1098"/>
      <c r="B95" s="1249" t="s">
        <v>1425</v>
      </c>
      <c r="C95" s="1257"/>
      <c r="D95" s="1257"/>
      <c r="E95" s="1257"/>
      <c r="F95" s="1272"/>
      <c r="G95" s="1272"/>
      <c r="H95" s="1272"/>
      <c r="I95" s="1272"/>
      <c r="J95" s="1272"/>
      <c r="K95" s="1317"/>
      <c r="L95" s="1318"/>
      <c r="M95" s="1319"/>
      <c r="N95" s="1508"/>
      <c r="O95" s="1508"/>
      <c r="P95" s="1509"/>
      <c r="Q95" s="1503"/>
    </row>
    <row r="96" spans="1:17">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ht="14.4">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ht="14.4">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ht="14.4">
      <c r="A102" s="1098"/>
      <c r="B102" s="1249" t="s">
        <v>1431</v>
      </c>
      <c r="C102" s="1257"/>
      <c r="D102" s="1257"/>
      <c r="E102" s="1257"/>
      <c r="F102" s="1257"/>
      <c r="G102" s="1257"/>
      <c r="H102" s="1272"/>
      <c r="I102" s="1272"/>
      <c r="J102" s="1272"/>
      <c r="K102" s="1317"/>
      <c r="L102" s="1318"/>
      <c r="M102" s="1319"/>
      <c r="N102" s="1508"/>
      <c r="O102" s="1508"/>
      <c r="P102" s="1509"/>
      <c r="Q102" s="1503"/>
    </row>
    <row r="103" spans="1:17">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ht="14.4">
      <c r="A104" s="1098"/>
      <c r="B104" s="1249" t="s">
        <v>1434</v>
      </c>
      <c r="C104" s="1257"/>
      <c r="D104" s="1257"/>
      <c r="E104" s="1257"/>
      <c r="F104" s="1257"/>
      <c r="G104" s="1257"/>
      <c r="H104" s="1272"/>
      <c r="I104" s="1272"/>
      <c r="J104" s="1272"/>
      <c r="K104" s="1317"/>
      <c r="L104" s="1318"/>
      <c r="M104" s="1319"/>
      <c r="N104" s="1508"/>
      <c r="O104" s="1508"/>
      <c r="P104" s="1509"/>
      <c r="Q104" s="1503"/>
    </row>
    <row r="105" spans="1:17">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ht="28.8">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0" customWidth="1"/>
    <col min="2" max="16384" width="9" style="880"/>
  </cols>
  <sheetData>
    <row r="1" spans="1:1" ht="22.8">
      <c r="A1" s="3136" t="s">
        <v>82</v>
      </c>
    </row>
    <row r="3" spans="1:1" ht="17.399999999999999">
      <c r="A3" s="3137" t="str">
        <f>项目基本情况!B5&amp;"："</f>
        <v>：</v>
      </c>
    </row>
    <row r="4" spans="1:1" ht="17.399999999999999">
      <c r="A4" s="3138" t="str">
        <f>"受贵公司委托，我公司对"&amp;项目基本情况!S1&amp;"进行了预评估。"</f>
        <v>受贵公司委托，我公司对北京市房地产抵押价值进行了预评估。</v>
      </c>
    </row>
    <row r="5" spans="1:1" ht="17.399999999999999">
      <c r="A5" s="3139" t="s">
        <v>83</v>
      </c>
    </row>
    <row r="6" spans="1:1" ht="17.399999999999999">
      <c r="A6" s="3140" t="s">
        <v>84</v>
      </c>
    </row>
    <row r="7" spans="1:1" ht="52.2">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估价对象为北京市房地产，为所有。根据《国有土地使用证》[]，估价对象（分摊）出让国有建设用地使用权面积为0平方米，建筑面积为240.83平方米。</v>
      </c>
    </row>
    <row r="8" spans="1:1" ht="54.6">
      <c r="A8" s="3141" t="s">
        <v>85</v>
      </c>
    </row>
    <row r="9" spans="1:1" ht="17.399999999999999">
      <c r="A9" s="3140" t="s">
        <v>86</v>
      </c>
    </row>
    <row r="10" spans="1:1" ht="52.2">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估价对象为北京市房地产,属开发建设的办公项目，该项目尚在开发建设中。根据《国有土地使用证》[]，估价对象（分摊）出让国有建设用地使用权面积为0平方米，规划建筑面积为240.83平方米。</v>
      </c>
    </row>
    <row r="11" spans="1:1" ht="72">
      <c r="A11" s="3141" t="s">
        <v>87</v>
      </c>
    </row>
    <row r="12" spans="1:1" ht="17.399999999999999">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7" t="s">
        <v>89</v>
      </c>
    </row>
    <row r="15" spans="1:1" ht="17.399999999999999">
      <c r="A15" s="3142" t="str">
        <f>TEXT(项目基本情况!D3,"yyyy年m月d日;;")&amp;IF(项目基本情况!D3=项目基本情况!B3,"（评估专业人员实地查勘之日）","")</f>
        <v>2025年9月24日（评估专业人员实地查勘之日）</v>
      </c>
    </row>
    <row r="16" spans="1:1" ht="17.399999999999999">
      <c r="A16" s="3137" t="s">
        <v>90</v>
      </c>
    </row>
    <row r="17" spans="1:1" ht="69.599999999999994">
      <c r="A17" s="3138" t="s">
        <v>91</v>
      </c>
    </row>
    <row r="18" spans="1:1" ht="69.59999999999999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7" t="s">
        <v>92</v>
      </c>
    </row>
    <row r="24" spans="1:1" ht="17.399999999999999">
      <c r="A24" s="3112" t="str">
        <f>"本次评估采用的主估价方法为"&amp;结果表!K4&amp;"和"&amp;结果表!L4&amp;"。"</f>
        <v>本次评估采用的主估价方法为比较法和收益法。</v>
      </c>
    </row>
    <row r="25" spans="1:1" ht="17.399999999999999">
      <c r="A25" s="3112"/>
    </row>
    <row r="26" spans="1:1" ht="17.399999999999999">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5.44140625" style="1014" customWidth="1"/>
    <col min="10" max="10" width="12.21875" style="1014" customWidth="1"/>
    <col min="11" max="11" width="12.21875" style="1015" customWidth="1"/>
    <col min="12" max="12" width="12.21875" style="1016" customWidth="1"/>
    <col min="13" max="15" width="12.21875" style="1014" customWidth="1"/>
    <col min="16" max="16" width="4.77734375" style="142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4.4">
      <c r="A4" s="1027" t="s">
        <v>1378</v>
      </c>
      <c r="B4" s="1028"/>
      <c r="C4" s="3399" t="s">
        <v>1379</v>
      </c>
      <c r="D4" s="3400"/>
      <c r="E4" s="3401" t="s">
        <v>1380</v>
      </c>
      <c r="F4" s="3402"/>
      <c r="G4" s="3399" t="s">
        <v>1381</v>
      </c>
      <c r="H4" s="3400"/>
      <c r="I4" s="3399" t="s">
        <v>1382</v>
      </c>
      <c r="J4" s="3400"/>
      <c r="K4" s="1171" t="s">
        <v>1383</v>
      </c>
      <c r="L4" s="1172"/>
      <c r="M4" s="1122"/>
      <c r="N4" s="1122"/>
      <c r="O4" s="1122"/>
      <c r="P4" s="3408" t="s">
        <v>1384</v>
      </c>
      <c r="Q4" s="3409"/>
      <c r="R4" s="3412" t="s">
        <v>1380</v>
      </c>
      <c r="S4" s="3413"/>
      <c r="T4" s="3412" t="s">
        <v>1381</v>
      </c>
      <c r="U4" s="3413"/>
      <c r="V4" s="3376" t="s">
        <v>1382</v>
      </c>
      <c r="W4" s="3376"/>
      <c r="X4" s="1214"/>
      <c r="Y4" s="3412" t="s">
        <v>1384</v>
      </c>
      <c r="Z4" s="3413"/>
      <c r="AA4" s="3407" t="s">
        <v>1380</v>
      </c>
      <c r="AB4" s="3358" t="s">
        <v>1381</v>
      </c>
      <c r="AC4" s="3407" t="s">
        <v>1382</v>
      </c>
    </row>
    <row r="5" spans="1:29">
      <c r="A5" s="1029"/>
      <c r="B5" s="1030"/>
      <c r="C5" s="3403" t="s">
        <v>1385</v>
      </c>
      <c r="D5" s="3404"/>
      <c r="E5" s="3405" t="s">
        <v>1386</v>
      </c>
      <c r="F5" s="3406"/>
      <c r="G5" s="3403" t="s">
        <v>1387</v>
      </c>
      <c r="H5" s="3404"/>
      <c r="I5" s="3403" t="s">
        <v>1388</v>
      </c>
      <c r="J5" s="3404"/>
      <c r="K5" s="1171"/>
      <c r="L5" s="1172"/>
      <c r="M5" s="1122"/>
      <c r="N5" s="1122"/>
      <c r="O5" s="1122"/>
      <c r="P5" s="3410"/>
      <c r="Q5" s="3366"/>
      <c r="R5" s="3371"/>
      <c r="S5" s="3372"/>
      <c r="T5" s="3371"/>
      <c r="U5" s="3372"/>
      <c r="V5" s="3376"/>
      <c r="W5" s="3376"/>
      <c r="X5" s="1214"/>
      <c r="Y5" s="3371"/>
      <c r="Z5" s="3372"/>
      <c r="AA5" s="3358"/>
      <c r="AB5" s="3358"/>
      <c r="AC5" s="3358"/>
    </row>
    <row r="6" spans="1:29" ht="14.4">
      <c r="A6" s="1031"/>
      <c r="B6" s="1032"/>
      <c r="C6" s="3394" t="s">
        <v>1389</v>
      </c>
      <c r="D6" s="3395"/>
      <c r="E6" s="3396" t="s">
        <v>1389</v>
      </c>
      <c r="F6" s="3397"/>
      <c r="G6" s="3394" t="s">
        <v>1389</v>
      </c>
      <c r="H6" s="3395"/>
      <c r="I6" s="3394" t="s">
        <v>1389</v>
      </c>
      <c r="J6" s="3395"/>
      <c r="K6" s="1171" t="s">
        <v>1390</v>
      </c>
      <c r="L6" s="1172"/>
      <c r="M6" s="1122"/>
      <c r="N6" s="1122"/>
      <c r="O6" s="1122"/>
      <c r="P6" s="3411"/>
      <c r="Q6" s="3368"/>
      <c r="R6" s="3371"/>
      <c r="S6" s="3372"/>
      <c r="T6" s="3373"/>
      <c r="U6" s="3374"/>
      <c r="V6" s="3376"/>
      <c r="W6" s="3376"/>
      <c r="X6" s="1214"/>
      <c r="Y6" s="3373"/>
      <c r="Z6" s="3374"/>
      <c r="AA6" s="3359"/>
      <c r="AB6" s="3359"/>
      <c r="AC6" s="3359"/>
    </row>
    <row r="7" spans="1:29" s="1008" customFormat="1" ht="14.4">
      <c r="A7" s="1033" t="s">
        <v>1391</v>
      </c>
      <c r="B7" s="1034"/>
      <c r="C7" s="1035">
        <f>'数据-取费表'!B2</f>
        <v>45924</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82" t="s">
        <v>1392</v>
      </c>
      <c r="Q7" s="3398"/>
      <c r="R7" s="1215" t="s">
        <v>1393</v>
      </c>
      <c r="S7" s="1216">
        <f t="shared" ref="S7:S14" si="0">F7</f>
        <v>0</v>
      </c>
      <c r="T7" s="1215" t="s">
        <v>1393</v>
      </c>
      <c r="U7" s="1216">
        <f t="shared" ref="U7:U14" si="1">H7</f>
        <v>0</v>
      </c>
      <c r="V7" s="1215" t="s">
        <v>1393</v>
      </c>
      <c r="W7" s="1216">
        <f t="shared" ref="W7:W14" si="2">J7</f>
        <v>0</v>
      </c>
      <c r="X7" s="1217"/>
      <c r="Y7" s="3382" t="s">
        <v>1392</v>
      </c>
      <c r="Z7" s="3383"/>
      <c r="AA7" s="1227" t="e">
        <f>D7/F7</f>
        <v>#DIV/0!</v>
      </c>
      <c r="AB7" s="1227" t="e">
        <f>D7/H7</f>
        <v>#DIV/0!</v>
      </c>
      <c r="AC7" s="1227" t="e">
        <f>D7/J7</f>
        <v>#DIV/0!</v>
      </c>
    </row>
    <row r="8" spans="1:29" s="1008" customFormat="1" ht="14.4">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82" t="s">
        <v>1397</v>
      </c>
      <c r="Q8" s="3383"/>
      <c r="R8" s="1215" t="s">
        <v>1393</v>
      </c>
      <c r="S8" s="1216">
        <f t="shared" si="0"/>
        <v>100</v>
      </c>
      <c r="T8" s="1215" t="s">
        <v>1393</v>
      </c>
      <c r="U8" s="1216">
        <f t="shared" si="1"/>
        <v>100</v>
      </c>
      <c r="V8" s="1215" t="s">
        <v>1393</v>
      </c>
      <c r="W8" s="1216">
        <f t="shared" si="2"/>
        <v>100</v>
      </c>
      <c r="X8" s="1217"/>
      <c r="Y8" s="3382" t="s">
        <v>1397</v>
      </c>
      <c r="Z8" s="3383"/>
      <c r="AA8" s="1227">
        <f t="shared" ref="AA8:AA36" si="3">D8/F8</f>
        <v>1</v>
      </c>
      <c r="AB8" s="1227">
        <f t="shared" ref="AB8:AB36" si="4">D8/H8</f>
        <v>1</v>
      </c>
      <c r="AC8" s="1227">
        <f t="shared" ref="AC8:AC36" si="5">D8/J8</f>
        <v>1</v>
      </c>
    </row>
    <row r="9" spans="1:29" s="1008" customFormat="1" ht="14.4">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78" t="s">
        <v>1400</v>
      </c>
      <c r="Q9" s="794" t="str">
        <f t="shared" ref="Q9:Q14" si="6">B9</f>
        <v>用途</v>
      </c>
      <c r="R9" s="1215" t="s">
        <v>1393</v>
      </c>
      <c r="S9" s="1216">
        <f t="shared" si="0"/>
        <v>100</v>
      </c>
      <c r="T9" s="1215" t="s">
        <v>1393</v>
      </c>
      <c r="U9" s="1216">
        <f t="shared" si="1"/>
        <v>100</v>
      </c>
      <c r="V9" s="1215" t="s">
        <v>1393</v>
      </c>
      <c r="W9" s="1216">
        <f t="shared" si="2"/>
        <v>100</v>
      </c>
      <c r="X9" s="1217"/>
      <c r="Y9" s="3264" t="s">
        <v>1401</v>
      </c>
      <c r="Z9" s="1227" t="str">
        <f t="shared" ref="Z9:Z14" si="7">Q9</f>
        <v>用途</v>
      </c>
      <c r="AA9" s="1227">
        <f t="shared" si="3"/>
        <v>1</v>
      </c>
      <c r="AB9" s="1227">
        <f t="shared" si="4"/>
        <v>1</v>
      </c>
      <c r="AC9" s="1227">
        <f t="shared" si="5"/>
        <v>1</v>
      </c>
    </row>
    <row r="10" spans="1:29" s="1009" customFormat="1" ht="28.8">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264"/>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78"/>
      <c r="Q11" s="794">
        <f t="shared" si="6"/>
        <v>111</v>
      </c>
      <c r="R11" s="1215" t="s">
        <v>1393</v>
      </c>
      <c r="S11" s="1216">
        <f t="shared" si="0"/>
        <v>100</v>
      </c>
      <c r="T11" s="1215" t="s">
        <v>1393</v>
      </c>
      <c r="U11" s="1216">
        <f t="shared" si="1"/>
        <v>100</v>
      </c>
      <c r="V11" s="1215" t="s">
        <v>1393</v>
      </c>
      <c r="W11" s="1216">
        <f t="shared" si="2"/>
        <v>100</v>
      </c>
      <c r="X11" s="1217"/>
      <c r="Y11" s="3264"/>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264"/>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264"/>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90" t="s">
        <v>1406</v>
      </c>
      <c r="Q14" s="625" t="str">
        <f t="shared" si="6"/>
        <v>交通便捷度</v>
      </c>
      <c r="R14" s="1219" t="s">
        <v>1393</v>
      </c>
      <c r="S14" s="1220">
        <f t="shared" si="0"/>
        <v>100</v>
      </c>
      <c r="T14" s="1219" t="s">
        <v>1393</v>
      </c>
      <c r="U14" s="1220">
        <f t="shared" si="1"/>
        <v>100</v>
      </c>
      <c r="V14" s="1219" t="s">
        <v>1393</v>
      </c>
      <c r="W14" s="1220">
        <f t="shared" si="2"/>
        <v>100</v>
      </c>
      <c r="X14" s="1214"/>
      <c r="Y14" s="3390"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91"/>
      <c r="Q15" s="625"/>
      <c r="R15" s="1219"/>
      <c r="S15" s="1220"/>
      <c r="T15" s="1219"/>
      <c r="U15" s="1220"/>
      <c r="V15" s="1219"/>
      <c r="W15" s="1220"/>
      <c r="X15" s="1214"/>
      <c r="Y15" s="3391"/>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91"/>
      <c r="Q16" s="625" t="str">
        <f>B16</f>
        <v>公共配套设施</v>
      </c>
      <c r="R16" s="1219" t="s">
        <v>1393</v>
      </c>
      <c r="S16" s="1220">
        <f>F16</f>
        <v>100</v>
      </c>
      <c r="T16" s="1219" t="s">
        <v>1393</v>
      </c>
      <c r="U16" s="1220">
        <f>H16</f>
        <v>100</v>
      </c>
      <c r="V16" s="1219" t="s">
        <v>1393</v>
      </c>
      <c r="W16" s="1220">
        <f>J16</f>
        <v>100</v>
      </c>
      <c r="X16" s="1214"/>
      <c r="Y16" s="3391"/>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91"/>
      <c r="Q17" s="625"/>
      <c r="R17" s="1219"/>
      <c r="S17" s="1220"/>
      <c r="T17" s="1219"/>
      <c r="U17" s="1220"/>
      <c r="V17" s="1219"/>
      <c r="W17" s="1220"/>
      <c r="X17" s="1214"/>
      <c r="Y17" s="3391"/>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91"/>
      <c r="Q18" s="625" t="str">
        <f>B18</f>
        <v>基础设施水平</v>
      </c>
      <c r="R18" s="1219" t="s">
        <v>1393</v>
      </c>
      <c r="S18" s="1220">
        <f>F18</f>
        <v>100</v>
      </c>
      <c r="T18" s="1219" t="s">
        <v>1393</v>
      </c>
      <c r="U18" s="1220">
        <f>H18</f>
        <v>100</v>
      </c>
      <c r="V18" s="1219" t="s">
        <v>1393</v>
      </c>
      <c r="W18" s="1220">
        <f>J18</f>
        <v>100</v>
      </c>
      <c r="X18" s="1214"/>
      <c r="Y18" s="3391"/>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91"/>
      <c r="Q19" s="625"/>
      <c r="R19" s="1219"/>
      <c r="S19" s="1220"/>
      <c r="T19" s="1219"/>
      <c r="U19" s="1220"/>
      <c r="V19" s="1219"/>
      <c r="W19" s="1220"/>
      <c r="X19" s="1214"/>
      <c r="Y19" s="3391"/>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91"/>
      <c r="Q20" s="625" t="str">
        <f>B20</f>
        <v>自然及人文环境</v>
      </c>
      <c r="R20" s="1219" t="s">
        <v>1393</v>
      </c>
      <c r="S20" s="1220">
        <f>F20</f>
        <v>100</v>
      </c>
      <c r="T20" s="1219" t="s">
        <v>1393</v>
      </c>
      <c r="U20" s="1220">
        <f>H20</f>
        <v>100</v>
      </c>
      <c r="V20" s="1219" t="s">
        <v>1393</v>
      </c>
      <c r="W20" s="1220">
        <f>J20</f>
        <v>100</v>
      </c>
      <c r="X20" s="1214"/>
      <c r="Y20" s="3391"/>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91"/>
      <c r="Q21" s="625"/>
      <c r="R21" s="1219"/>
      <c r="S21" s="1220"/>
      <c r="T21" s="1219"/>
      <c r="U21" s="1220"/>
      <c r="V21" s="1219"/>
      <c r="W21" s="1220"/>
      <c r="X21" s="1214"/>
      <c r="Y21" s="3391"/>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91"/>
      <c r="Q22" s="625" t="str">
        <f>B22</f>
        <v>楼层</v>
      </c>
      <c r="R22" s="1219" t="s">
        <v>1393</v>
      </c>
      <c r="S22" s="1220">
        <f>F22</f>
        <v>100</v>
      </c>
      <c r="T22" s="1219" t="s">
        <v>1393</v>
      </c>
      <c r="U22" s="1220">
        <f>H22</f>
        <v>100</v>
      </c>
      <c r="V22" s="1219" t="s">
        <v>1393</v>
      </c>
      <c r="W22" s="1220">
        <f>J22</f>
        <v>100</v>
      </c>
      <c r="X22" s="1214"/>
      <c r="Y22" s="3391"/>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91"/>
      <c r="Q23" s="625">
        <f>B23</f>
        <v>111</v>
      </c>
      <c r="R23" s="1219" t="s">
        <v>1393</v>
      </c>
      <c r="S23" s="1220">
        <f>F23</f>
        <v>100</v>
      </c>
      <c r="T23" s="1219" t="s">
        <v>1393</v>
      </c>
      <c r="U23" s="1220">
        <f>H23</f>
        <v>100</v>
      </c>
      <c r="V23" s="1219" t="s">
        <v>1393</v>
      </c>
      <c r="W23" s="1220">
        <f>J23</f>
        <v>100</v>
      </c>
      <c r="X23" s="1214"/>
      <c r="Y23" s="3391"/>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91"/>
      <c r="Q24" s="625">
        <f t="shared" ref="Q24:Q36" si="11">B24</f>
        <v>111</v>
      </c>
      <c r="R24" s="1219" t="s">
        <v>1393</v>
      </c>
      <c r="S24" s="1220">
        <f>F24</f>
        <v>100</v>
      </c>
      <c r="T24" s="1219" t="s">
        <v>1393</v>
      </c>
      <c r="U24" s="1220">
        <f>H24</f>
        <v>100</v>
      </c>
      <c r="V24" s="1219" t="s">
        <v>1393</v>
      </c>
      <c r="W24" s="1220">
        <f>J24</f>
        <v>100</v>
      </c>
      <c r="X24" s="1214"/>
      <c r="Y24" s="3391"/>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91"/>
      <c r="Q25" s="794">
        <f t="shared" si="11"/>
        <v>111</v>
      </c>
      <c r="R25" s="1215" t="s">
        <v>1393</v>
      </c>
      <c r="S25" s="1216">
        <f>F25</f>
        <v>100</v>
      </c>
      <c r="T25" s="1215" t="s">
        <v>1393</v>
      </c>
      <c r="U25" s="1216">
        <f>H25</f>
        <v>100</v>
      </c>
      <c r="V25" s="1215" t="s">
        <v>1393</v>
      </c>
      <c r="W25" s="1216">
        <f>J25</f>
        <v>100</v>
      </c>
      <c r="X25" s="1217"/>
      <c r="Y25" s="3391"/>
      <c r="Z25" s="1227">
        <f>Q25</f>
        <v>111</v>
      </c>
      <c r="AA25" s="1204">
        <f t="shared" si="3"/>
        <v>1</v>
      </c>
      <c r="AB25" s="1204">
        <f t="shared" si="4"/>
        <v>1</v>
      </c>
      <c r="AC25" s="1204">
        <f t="shared" si="5"/>
        <v>1</v>
      </c>
    </row>
    <row r="26" spans="1:29" ht="30">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38"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92"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92"/>
      <c r="Q27" s="1415" t="str">
        <f t="shared" si="11"/>
        <v>项目停车位配比</v>
      </c>
      <c r="R27" s="1221" t="s">
        <v>1393</v>
      </c>
      <c r="S27" s="1222">
        <f t="shared" si="12"/>
        <v>100</v>
      </c>
      <c r="T27" s="1221" t="s">
        <v>1393</v>
      </c>
      <c r="U27" s="1222">
        <f t="shared" si="13"/>
        <v>100</v>
      </c>
      <c r="V27" s="1221" t="s">
        <v>1393</v>
      </c>
      <c r="W27" s="1222">
        <f t="shared" si="14"/>
        <v>100</v>
      </c>
      <c r="X27" s="1223"/>
      <c r="Y27" s="3392"/>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92"/>
      <c r="Q28" s="625" t="str">
        <f t="shared" si="11"/>
        <v>公共部分装修</v>
      </c>
      <c r="R28" s="1219" t="s">
        <v>1393</v>
      </c>
      <c r="S28" s="1220">
        <f t="shared" si="12"/>
        <v>100</v>
      </c>
      <c r="T28" s="1219" t="s">
        <v>1393</v>
      </c>
      <c r="U28" s="1220">
        <f t="shared" si="13"/>
        <v>100</v>
      </c>
      <c r="V28" s="1219" t="s">
        <v>1393</v>
      </c>
      <c r="W28" s="1220">
        <f t="shared" si="14"/>
        <v>100</v>
      </c>
      <c r="X28" s="1214"/>
      <c r="Y28" s="3392"/>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92"/>
      <c r="Q29" s="625" t="str">
        <f t="shared" si="11"/>
        <v>成新率</v>
      </c>
      <c r="R29" s="1219" t="s">
        <v>1393</v>
      </c>
      <c r="S29" s="1220" t="e">
        <f t="shared" si="12"/>
        <v>#N/A</v>
      </c>
      <c r="T29" s="1219" t="s">
        <v>1393</v>
      </c>
      <c r="U29" s="1220" t="e">
        <f t="shared" si="13"/>
        <v>#N/A</v>
      </c>
      <c r="V29" s="1219" t="s">
        <v>1393</v>
      </c>
      <c r="W29" s="1220" t="e">
        <f t="shared" si="14"/>
        <v>#N/A</v>
      </c>
      <c r="X29" s="1214"/>
      <c r="Y29" s="3392"/>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92"/>
      <c r="Q30" s="625" t="str">
        <f t="shared" si="11"/>
        <v>物业等级</v>
      </c>
      <c r="R30" s="1219" t="s">
        <v>1393</v>
      </c>
      <c r="S30" s="1220">
        <f t="shared" si="12"/>
        <v>100</v>
      </c>
      <c r="T30" s="1219" t="s">
        <v>1393</v>
      </c>
      <c r="U30" s="1220">
        <f t="shared" si="13"/>
        <v>100</v>
      </c>
      <c r="V30" s="1219" t="s">
        <v>1393</v>
      </c>
      <c r="W30" s="1220">
        <f t="shared" si="14"/>
        <v>100</v>
      </c>
      <c r="X30" s="1214"/>
      <c r="Y30" s="3392"/>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92"/>
      <c r="Q31" s="794" t="str">
        <f t="shared" si="11"/>
        <v>停车位面积</v>
      </c>
      <c r="R31" s="1215" t="s">
        <v>1393</v>
      </c>
      <c r="S31" s="1216" t="e">
        <f t="shared" si="12"/>
        <v>#N/A</v>
      </c>
      <c r="T31" s="1215" t="s">
        <v>1393</v>
      </c>
      <c r="U31" s="1216" t="e">
        <f t="shared" si="13"/>
        <v>#N/A</v>
      </c>
      <c r="V31" s="1215" t="s">
        <v>1393</v>
      </c>
      <c r="W31" s="1216" t="e">
        <f t="shared" si="14"/>
        <v>#N/A</v>
      </c>
      <c r="X31" s="1217"/>
      <c r="Y31" s="3392"/>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92" t="s">
        <v>1421</v>
      </c>
      <c r="Q32" s="625" t="str">
        <f t="shared" si="11"/>
        <v>车位类型</v>
      </c>
      <c r="R32" s="1219" t="s">
        <v>1393</v>
      </c>
      <c r="S32" s="1220">
        <f t="shared" si="12"/>
        <v>100</v>
      </c>
      <c r="T32" s="1219" t="s">
        <v>1393</v>
      </c>
      <c r="U32" s="1220">
        <f t="shared" si="13"/>
        <v>100</v>
      </c>
      <c r="V32" s="1219" t="s">
        <v>1393</v>
      </c>
      <c r="W32" s="1220">
        <f t="shared" si="14"/>
        <v>100</v>
      </c>
      <c r="X32" s="1214"/>
      <c r="Y32" s="3392"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92"/>
      <c r="Q33" s="625" t="str">
        <f t="shared" si="11"/>
        <v>是否直接入户</v>
      </c>
      <c r="R33" s="1219" t="s">
        <v>1393</v>
      </c>
      <c r="S33" s="1220">
        <f t="shared" si="12"/>
        <v>100</v>
      </c>
      <c r="T33" s="1219" t="s">
        <v>1393</v>
      </c>
      <c r="U33" s="1220">
        <f t="shared" si="13"/>
        <v>100</v>
      </c>
      <c r="V33" s="1219" t="s">
        <v>1393</v>
      </c>
      <c r="W33" s="1220">
        <f t="shared" si="14"/>
        <v>100</v>
      </c>
      <c r="X33" s="1214"/>
      <c r="Y33" s="3392"/>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92"/>
      <c r="Q34" s="625">
        <f t="shared" si="11"/>
        <v>111</v>
      </c>
      <c r="R34" s="1219" t="s">
        <v>1393</v>
      </c>
      <c r="S34" s="1220">
        <f t="shared" si="12"/>
        <v>100</v>
      </c>
      <c r="T34" s="1219" t="s">
        <v>1393</v>
      </c>
      <c r="U34" s="1220">
        <f t="shared" si="13"/>
        <v>100</v>
      </c>
      <c r="V34" s="1219" t="s">
        <v>1393</v>
      </c>
      <c r="W34" s="1220">
        <f t="shared" si="14"/>
        <v>100</v>
      </c>
      <c r="X34" s="1214"/>
      <c r="Y34" s="3392"/>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92"/>
      <c r="Q35" s="1415">
        <f t="shared" si="11"/>
        <v>111</v>
      </c>
      <c r="R35" s="1221" t="s">
        <v>1393</v>
      </c>
      <c r="S35" s="1222">
        <f t="shared" si="12"/>
        <v>100</v>
      </c>
      <c r="T35" s="1221" t="s">
        <v>1393</v>
      </c>
      <c r="U35" s="1222">
        <f t="shared" si="13"/>
        <v>100</v>
      </c>
      <c r="V35" s="1221" t="s">
        <v>1393</v>
      </c>
      <c r="W35" s="1222">
        <f t="shared" si="14"/>
        <v>100</v>
      </c>
      <c r="X35" s="1223"/>
      <c r="Y35" s="3392"/>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92"/>
      <c r="Q36" s="625">
        <f t="shared" si="11"/>
        <v>111</v>
      </c>
      <c r="R36" s="1219" t="s">
        <v>1393</v>
      </c>
      <c r="S36" s="1220">
        <f t="shared" si="12"/>
        <v>100</v>
      </c>
      <c r="T36" s="1219" t="s">
        <v>1393</v>
      </c>
      <c r="U36" s="1220">
        <f t="shared" si="13"/>
        <v>100</v>
      </c>
      <c r="V36" s="1219" t="s">
        <v>1393</v>
      </c>
      <c r="W36" s="1220">
        <f t="shared" si="14"/>
        <v>100</v>
      </c>
      <c r="X36" s="1214"/>
      <c r="Y36" s="3392"/>
      <c r="Z36" s="1204">
        <f t="shared" si="15"/>
        <v>111</v>
      </c>
      <c r="AA36" s="1204">
        <f t="shared" si="3"/>
        <v>1</v>
      </c>
      <c r="AB36" s="1204">
        <f t="shared" si="4"/>
        <v>1</v>
      </c>
      <c r="AC36" s="1204">
        <f t="shared" si="5"/>
        <v>1</v>
      </c>
    </row>
    <row r="37" spans="1:29" ht="14.4">
      <c r="A37" s="1105" t="s">
        <v>1648</v>
      </c>
      <c r="B37" s="1453" t="s">
        <v>1649</v>
      </c>
      <c r="C37" s="1399" t="s">
        <v>124</v>
      </c>
      <c r="D37" s="1108"/>
      <c r="E37" s="1109"/>
      <c r="F37" s="1110"/>
      <c r="G37" s="1111"/>
      <c r="H37" s="1112"/>
      <c r="I37" s="1109"/>
      <c r="J37" s="1112"/>
      <c r="K37" s="1462"/>
      <c r="L37" s="1196"/>
      <c r="M37" s="1122"/>
      <c r="N37" s="1122"/>
      <c r="O37" s="1122"/>
      <c r="P37" s="3378" t="str">
        <f>A37</f>
        <v>成交单价</v>
      </c>
      <c r="Q37" s="3378"/>
      <c r="R37" s="3376">
        <f>E37</f>
        <v>0</v>
      </c>
      <c r="S37" s="3376"/>
      <c r="T37" s="3376">
        <f>G37</f>
        <v>0</v>
      </c>
      <c r="U37" s="3376"/>
      <c r="V37" s="3376">
        <f>I37</f>
        <v>0</v>
      </c>
      <c r="W37" s="3376"/>
      <c r="X37" s="1162"/>
      <c r="Y37" s="1229"/>
      <c r="Z37" s="1162"/>
      <c r="AA37" s="1162"/>
      <c r="AB37" s="1162"/>
      <c r="AC37" s="1162"/>
    </row>
    <row r="38" spans="1:29" ht="14.4">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78" t="str">
        <f>A38</f>
        <v>比较价值（元/平方米）</v>
      </c>
      <c r="Q38" s="3378"/>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1162"/>
      <c r="Y38" s="1162"/>
      <c r="Z38" s="1162"/>
      <c r="AA38" s="1162"/>
      <c r="AB38" s="1162"/>
      <c r="AC38" s="1162"/>
    </row>
    <row r="39" spans="1:29" ht="14.4">
      <c r="A39" s="1119" t="s">
        <v>1650</v>
      </c>
      <c r="B39" s="1120"/>
      <c r="C39" s="1032" t="e">
        <f>R39</f>
        <v>#DIV/0!</v>
      </c>
      <c r="D39" s="1032"/>
      <c r="E39" s="1032"/>
      <c r="F39" s="1032"/>
      <c r="G39" s="1032"/>
      <c r="H39" s="1032"/>
      <c r="I39" s="1032"/>
      <c r="J39" s="1032"/>
      <c r="K39" s="1463"/>
      <c r="L39" s="1196"/>
      <c r="M39" s="1122"/>
      <c r="N39" s="1122"/>
      <c r="O39" s="1122"/>
      <c r="P39" s="3414" t="str">
        <f>A39</f>
        <v>估价对象XX用房的比较价值（楼面单价，元/平方米）</v>
      </c>
      <c r="Q39" s="3415"/>
      <c r="R39" s="3439" t="e">
        <f>IF(F1="售价",ROUND(IF(D38="简单平均",AVERAGE(R38:W38),R38*F38+T38*H38+V38*J38),0),ROUND(IF(D38="简单平均",AVERAGE(R38:V38),R38*F38+T38*H38+V38*J38),1))</f>
        <v>#DIV/0!</v>
      </c>
      <c r="S39" s="3439"/>
      <c r="T39" s="3439"/>
      <c r="U39" s="3439"/>
      <c r="V39" s="3439"/>
      <c r="W39" s="3439"/>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6">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4.4">
      <c r="A48" s="1404" t="s">
        <v>1391</v>
      </c>
      <c r="B48" s="1405"/>
      <c r="C48" s="1406" t="str">
        <f>YEAR(C7)&amp;"-"&amp;MONTH(C7)</f>
        <v>2025-9</v>
      </c>
      <c r="D48" s="1407">
        <f>EDATE(C48,-1)</f>
        <v>45870</v>
      </c>
      <c r="E48" s="1407">
        <f t="shared" ref="E48:O48" si="16">EDATE(D48,-1)</f>
        <v>45839</v>
      </c>
      <c r="F48" s="1407">
        <f t="shared" si="16"/>
        <v>45809</v>
      </c>
      <c r="G48" s="1407">
        <f t="shared" si="16"/>
        <v>45778</v>
      </c>
      <c r="H48" s="1407">
        <f t="shared" si="16"/>
        <v>45748</v>
      </c>
      <c r="I48" s="1407">
        <f t="shared" si="16"/>
        <v>45717</v>
      </c>
      <c r="J48" s="1407">
        <f t="shared" si="16"/>
        <v>45689</v>
      </c>
      <c r="K48" s="1407">
        <f t="shared" si="16"/>
        <v>45658</v>
      </c>
      <c r="L48" s="1407">
        <f t="shared" si="16"/>
        <v>45627</v>
      </c>
      <c r="M48" s="1407">
        <f t="shared" si="16"/>
        <v>45597</v>
      </c>
      <c r="N48" s="1407">
        <f t="shared" si="16"/>
        <v>45566</v>
      </c>
      <c r="O48" s="1407">
        <f t="shared" si="16"/>
        <v>45536</v>
      </c>
      <c r="P48" s="1467"/>
      <c r="Q48" s="1278"/>
      <c r="R48" s="1278"/>
      <c r="S48" s="1278"/>
      <c r="T48" s="1278"/>
      <c r="U48" s="1278"/>
      <c r="V48" s="1278"/>
      <c r="W48" s="1278"/>
      <c r="X48" s="1278"/>
      <c r="Y48" s="1278"/>
      <c r="Z48" s="1278"/>
      <c r="AA48" s="1278"/>
      <c r="AB48" s="1278"/>
      <c r="AC48" s="1278"/>
    </row>
    <row r="49" spans="1:29" s="1008" customFormat="1">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4.4">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4.4">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ht="14.4">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8.8">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ht="14.4">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4.4">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4.4">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4.4">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4.4">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8.8">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4.4">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ht="14.4">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ht="14.4">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ht="14.4">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ht="14.4">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ht="14.4">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ht="14.4">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4.4">
      <c r="A4" s="1027" t="s">
        <v>1378</v>
      </c>
      <c r="B4" s="1028"/>
      <c r="C4" s="3399" t="s">
        <v>1379</v>
      </c>
      <c r="D4" s="3400"/>
      <c r="E4" s="3401" t="s">
        <v>1380</v>
      </c>
      <c r="F4" s="3402"/>
      <c r="G4" s="3399" t="s">
        <v>1381</v>
      </c>
      <c r="H4" s="3400"/>
      <c r="I4" s="3399" t="s">
        <v>1382</v>
      </c>
      <c r="J4" s="3400"/>
      <c r="K4" s="1171" t="s">
        <v>1383</v>
      </c>
      <c r="L4" s="1172"/>
      <c r="M4" s="1122"/>
      <c r="N4" s="1122"/>
      <c r="O4" s="1122"/>
      <c r="P4" s="3408" t="s">
        <v>1384</v>
      </c>
      <c r="Q4" s="3409"/>
      <c r="R4" s="3412" t="s">
        <v>1380</v>
      </c>
      <c r="S4" s="3413"/>
      <c r="T4" s="3412" t="s">
        <v>1381</v>
      </c>
      <c r="U4" s="3413"/>
      <c r="V4" s="3376" t="s">
        <v>1382</v>
      </c>
      <c r="W4" s="3376"/>
      <c r="X4" s="1214"/>
      <c r="Y4" s="3412" t="s">
        <v>1384</v>
      </c>
      <c r="Z4" s="3413"/>
      <c r="AA4" s="3407" t="s">
        <v>1380</v>
      </c>
      <c r="AB4" s="3358" t="s">
        <v>1381</v>
      </c>
      <c r="AC4" s="3407" t="s">
        <v>1382</v>
      </c>
    </row>
    <row r="5" spans="1:29">
      <c r="A5" s="1029"/>
      <c r="B5" s="1030"/>
      <c r="C5" s="3403" t="s">
        <v>1385</v>
      </c>
      <c r="D5" s="3404"/>
      <c r="E5" s="3405" t="s">
        <v>1386</v>
      </c>
      <c r="F5" s="3406"/>
      <c r="G5" s="3403" t="s">
        <v>1387</v>
      </c>
      <c r="H5" s="3404"/>
      <c r="I5" s="3403" t="s">
        <v>1388</v>
      </c>
      <c r="J5" s="3404"/>
      <c r="K5" s="1171"/>
      <c r="L5" s="1172"/>
      <c r="M5" s="1122"/>
      <c r="N5" s="1122"/>
      <c r="O5" s="1122"/>
      <c r="P5" s="3410"/>
      <c r="Q5" s="3366"/>
      <c r="R5" s="3371"/>
      <c r="S5" s="3372"/>
      <c r="T5" s="3371"/>
      <c r="U5" s="3372"/>
      <c r="V5" s="3376"/>
      <c r="W5" s="3376"/>
      <c r="X5" s="1214"/>
      <c r="Y5" s="3371"/>
      <c r="Z5" s="3372"/>
      <c r="AA5" s="3358"/>
      <c r="AB5" s="3358"/>
      <c r="AC5" s="3358"/>
    </row>
    <row r="6" spans="1:29" ht="14.4">
      <c r="A6" s="1031"/>
      <c r="B6" s="1032"/>
      <c r="C6" s="3394" t="s">
        <v>1389</v>
      </c>
      <c r="D6" s="3395"/>
      <c r="E6" s="3396" t="s">
        <v>1389</v>
      </c>
      <c r="F6" s="3397"/>
      <c r="G6" s="3394" t="s">
        <v>1389</v>
      </c>
      <c r="H6" s="3395"/>
      <c r="I6" s="3394" t="s">
        <v>1389</v>
      </c>
      <c r="J6" s="3395"/>
      <c r="K6" s="1171" t="s">
        <v>1390</v>
      </c>
      <c r="L6" s="1172"/>
      <c r="M6" s="1122"/>
      <c r="N6" s="1122"/>
      <c r="O6" s="1122"/>
      <c r="P6" s="3411"/>
      <c r="Q6" s="3368"/>
      <c r="R6" s="3371"/>
      <c r="S6" s="3372"/>
      <c r="T6" s="3373"/>
      <c r="U6" s="3374"/>
      <c r="V6" s="3376"/>
      <c r="W6" s="3376"/>
      <c r="X6" s="1214"/>
      <c r="Y6" s="3373"/>
      <c r="Z6" s="3374"/>
      <c r="AA6" s="3359"/>
      <c r="AB6" s="3359"/>
      <c r="AC6" s="3359"/>
    </row>
    <row r="7" spans="1:29" s="1008" customFormat="1" ht="14.4">
      <c r="A7" s="1033" t="s">
        <v>1391</v>
      </c>
      <c r="B7" s="1034"/>
      <c r="C7" s="1035">
        <f>'数据-取费表'!B2</f>
        <v>45924</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82" t="s">
        <v>1392</v>
      </c>
      <c r="Q7" s="3398"/>
      <c r="R7" s="1215" t="s">
        <v>1393</v>
      </c>
      <c r="S7" s="1216">
        <f t="shared" ref="S7:S14" si="0">F7</f>
        <v>0</v>
      </c>
      <c r="T7" s="1215" t="s">
        <v>1393</v>
      </c>
      <c r="U7" s="1216">
        <f t="shared" ref="U7:U14" si="1">H7</f>
        <v>0</v>
      </c>
      <c r="V7" s="1215" t="s">
        <v>1393</v>
      </c>
      <c r="W7" s="1216">
        <f t="shared" ref="W7:W14" si="2">J7</f>
        <v>0</v>
      </c>
      <c r="X7" s="1217"/>
      <c r="Y7" s="3382" t="s">
        <v>1392</v>
      </c>
      <c r="Z7" s="3383"/>
      <c r="AA7" s="1227" t="e">
        <f>D7/F7</f>
        <v>#DIV/0!</v>
      </c>
      <c r="AB7" s="1227" t="e">
        <f>D7/H7</f>
        <v>#DIV/0!</v>
      </c>
      <c r="AC7" s="1227" t="e">
        <f>D7/J7</f>
        <v>#DIV/0!</v>
      </c>
    </row>
    <row r="8" spans="1:29" s="1008" customFormat="1" ht="14.4">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82" t="s">
        <v>1397</v>
      </c>
      <c r="Q8" s="3383"/>
      <c r="R8" s="1215" t="s">
        <v>1393</v>
      </c>
      <c r="S8" s="1216">
        <f t="shared" si="0"/>
        <v>100</v>
      </c>
      <c r="T8" s="1215" t="s">
        <v>1393</v>
      </c>
      <c r="U8" s="1216">
        <f t="shared" si="1"/>
        <v>100</v>
      </c>
      <c r="V8" s="1215" t="s">
        <v>1393</v>
      </c>
      <c r="W8" s="1216">
        <f t="shared" si="2"/>
        <v>100</v>
      </c>
      <c r="X8" s="1217"/>
      <c r="Y8" s="3382" t="s">
        <v>1397</v>
      </c>
      <c r="Z8" s="3383"/>
      <c r="AA8" s="1227">
        <f t="shared" ref="AA8:AA34" si="3">D8/F8</f>
        <v>1</v>
      </c>
      <c r="AB8" s="1227">
        <f t="shared" ref="AB8:AB34" si="4">D8/H8</f>
        <v>1</v>
      </c>
      <c r="AC8" s="1227">
        <f t="shared" ref="AC8:AC34" si="5">D8/J8</f>
        <v>1</v>
      </c>
    </row>
    <row r="9" spans="1:29" s="1008" customFormat="1" ht="14.4">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78" t="s">
        <v>1400</v>
      </c>
      <c r="Q9" s="794" t="str">
        <f t="shared" ref="Q9:Q14" si="6">B9</f>
        <v>用途</v>
      </c>
      <c r="R9" s="1215" t="s">
        <v>1393</v>
      </c>
      <c r="S9" s="1216">
        <f t="shared" si="0"/>
        <v>100</v>
      </c>
      <c r="T9" s="1215" t="s">
        <v>1393</v>
      </c>
      <c r="U9" s="1216">
        <f t="shared" si="1"/>
        <v>100</v>
      </c>
      <c r="V9" s="1215" t="s">
        <v>1393</v>
      </c>
      <c r="W9" s="1216">
        <f t="shared" si="2"/>
        <v>100</v>
      </c>
      <c r="X9" s="1217"/>
      <c r="Y9" s="3264" t="s">
        <v>1401</v>
      </c>
      <c r="Z9" s="1227" t="str">
        <f t="shared" ref="Z9:Z14" si="7">Q9</f>
        <v>用途</v>
      </c>
      <c r="AA9" s="1227">
        <f t="shared" si="3"/>
        <v>1</v>
      </c>
      <c r="AB9" s="1227">
        <f t="shared" si="4"/>
        <v>1</v>
      </c>
      <c r="AC9" s="1227">
        <f t="shared" si="5"/>
        <v>1</v>
      </c>
    </row>
    <row r="10" spans="1:29" s="1009" customFormat="1" ht="28.8">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78"/>
      <c r="Q10" s="794" t="str">
        <f t="shared" si="6"/>
        <v>土地使用年限（年）</v>
      </c>
      <c r="R10" s="1215" t="s">
        <v>1393</v>
      </c>
      <c r="S10" s="1216">
        <f t="shared" si="0"/>
        <v>100</v>
      </c>
      <c r="T10" s="1215" t="s">
        <v>1393</v>
      </c>
      <c r="U10" s="1216">
        <f t="shared" si="1"/>
        <v>100</v>
      </c>
      <c r="V10" s="1215" t="s">
        <v>1393</v>
      </c>
      <c r="W10" s="1216">
        <f t="shared" si="2"/>
        <v>100</v>
      </c>
      <c r="X10" s="1217"/>
      <c r="Y10" s="3264"/>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78"/>
      <c r="Q11" s="794">
        <f t="shared" si="6"/>
        <v>111</v>
      </c>
      <c r="R11" s="1215" t="s">
        <v>1393</v>
      </c>
      <c r="S11" s="1216">
        <f t="shared" si="0"/>
        <v>100</v>
      </c>
      <c r="T11" s="1215" t="s">
        <v>1393</v>
      </c>
      <c r="U11" s="1216">
        <f t="shared" si="1"/>
        <v>100</v>
      </c>
      <c r="V11" s="1215" t="s">
        <v>1393</v>
      </c>
      <c r="W11" s="1216">
        <f t="shared" si="2"/>
        <v>100</v>
      </c>
      <c r="X11" s="1217"/>
      <c r="Y11" s="3264"/>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78"/>
      <c r="Q12" s="794">
        <f t="shared" si="6"/>
        <v>111</v>
      </c>
      <c r="R12" s="1215" t="s">
        <v>1393</v>
      </c>
      <c r="S12" s="1216">
        <f t="shared" si="0"/>
        <v>100</v>
      </c>
      <c r="T12" s="1215" t="s">
        <v>1393</v>
      </c>
      <c r="U12" s="1216">
        <f t="shared" si="1"/>
        <v>100</v>
      </c>
      <c r="V12" s="1215" t="s">
        <v>1393</v>
      </c>
      <c r="W12" s="1216">
        <f t="shared" si="2"/>
        <v>100</v>
      </c>
      <c r="X12" s="1217"/>
      <c r="Y12" s="3264"/>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264"/>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90" t="s">
        <v>1406</v>
      </c>
      <c r="Q14" s="625" t="str">
        <f t="shared" si="6"/>
        <v>交通便捷度</v>
      </c>
      <c r="R14" s="1219" t="s">
        <v>1393</v>
      </c>
      <c r="S14" s="1220">
        <f t="shared" si="0"/>
        <v>100</v>
      </c>
      <c r="T14" s="1219" t="s">
        <v>1393</v>
      </c>
      <c r="U14" s="1220">
        <f t="shared" si="1"/>
        <v>100</v>
      </c>
      <c r="V14" s="1219" t="s">
        <v>1393</v>
      </c>
      <c r="W14" s="1220">
        <f t="shared" si="2"/>
        <v>100</v>
      </c>
      <c r="X14" s="1214"/>
      <c r="Y14" s="3390"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91"/>
      <c r="Q15" s="625"/>
      <c r="R15" s="1219"/>
      <c r="S15" s="1220"/>
      <c r="T15" s="1219"/>
      <c r="U15" s="1220"/>
      <c r="V15" s="1219"/>
      <c r="W15" s="1220"/>
      <c r="X15" s="1214"/>
      <c r="Y15" s="3391"/>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91"/>
      <c r="Q16" s="625" t="str">
        <f>B16</f>
        <v>公共配套设施</v>
      </c>
      <c r="R16" s="1219" t="s">
        <v>1393</v>
      </c>
      <c r="S16" s="1220">
        <f>F16</f>
        <v>100</v>
      </c>
      <c r="T16" s="1219" t="s">
        <v>1393</v>
      </c>
      <c r="U16" s="1220">
        <f>H16</f>
        <v>100</v>
      </c>
      <c r="V16" s="1219" t="s">
        <v>1393</v>
      </c>
      <c r="W16" s="1220">
        <f>J16</f>
        <v>100</v>
      </c>
      <c r="X16" s="1214"/>
      <c r="Y16" s="3391"/>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91"/>
      <c r="Q17" s="625"/>
      <c r="R17" s="1219"/>
      <c r="S17" s="1220"/>
      <c r="T17" s="1219"/>
      <c r="U17" s="1220"/>
      <c r="V17" s="1219"/>
      <c r="W17" s="1220"/>
      <c r="X17" s="1214"/>
      <c r="Y17" s="3391"/>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91"/>
      <c r="Q18" s="625" t="str">
        <f>B18</f>
        <v>基础设施水平</v>
      </c>
      <c r="R18" s="1219" t="s">
        <v>1393</v>
      </c>
      <c r="S18" s="1220">
        <f>F18</f>
        <v>100</v>
      </c>
      <c r="T18" s="1219" t="s">
        <v>1393</v>
      </c>
      <c r="U18" s="1220">
        <f>H18</f>
        <v>100</v>
      </c>
      <c r="V18" s="1219" t="s">
        <v>1393</v>
      </c>
      <c r="W18" s="1220">
        <f>J18</f>
        <v>100</v>
      </c>
      <c r="X18" s="1214"/>
      <c r="Y18" s="3391"/>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91"/>
      <c r="Q19" s="625"/>
      <c r="R19" s="1219"/>
      <c r="S19" s="1220"/>
      <c r="T19" s="1219"/>
      <c r="U19" s="1220"/>
      <c r="V19" s="1219"/>
      <c r="W19" s="1220"/>
      <c r="X19" s="1214"/>
      <c r="Y19" s="3391"/>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91"/>
      <c r="Q20" s="625" t="str">
        <f>B20</f>
        <v>自然及人文环境</v>
      </c>
      <c r="R20" s="1219" t="s">
        <v>1393</v>
      </c>
      <c r="S20" s="1220">
        <f>F20</f>
        <v>100</v>
      </c>
      <c r="T20" s="1219" t="s">
        <v>1393</v>
      </c>
      <c r="U20" s="1220">
        <f>H20</f>
        <v>100</v>
      </c>
      <c r="V20" s="1219" t="s">
        <v>1393</v>
      </c>
      <c r="W20" s="1220">
        <f>J20</f>
        <v>100</v>
      </c>
      <c r="X20" s="1214"/>
      <c r="Y20" s="3391"/>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91"/>
      <c r="Q21" s="625"/>
      <c r="R21" s="1219"/>
      <c r="S21" s="1220"/>
      <c r="T21" s="1219"/>
      <c r="U21" s="1220"/>
      <c r="V21" s="1219"/>
      <c r="W21" s="1220"/>
      <c r="X21" s="1214"/>
      <c r="Y21" s="3391"/>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91"/>
      <c r="Q22" s="625" t="str">
        <f>B22</f>
        <v>楼层</v>
      </c>
      <c r="R22" s="1219" t="s">
        <v>1393</v>
      </c>
      <c r="S22" s="1220">
        <f>F22</f>
        <v>100</v>
      </c>
      <c r="T22" s="1219" t="s">
        <v>1393</v>
      </c>
      <c r="U22" s="1220">
        <f>H22</f>
        <v>100</v>
      </c>
      <c r="V22" s="1219" t="s">
        <v>1393</v>
      </c>
      <c r="W22" s="1220">
        <f>J22</f>
        <v>100</v>
      </c>
      <c r="X22" s="1214"/>
      <c r="Y22" s="3391"/>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91"/>
      <c r="Q23" s="625">
        <f>B23</f>
        <v>111</v>
      </c>
      <c r="R23" s="1219" t="s">
        <v>1393</v>
      </c>
      <c r="S23" s="1220">
        <f>F23</f>
        <v>100</v>
      </c>
      <c r="T23" s="1219" t="s">
        <v>1393</v>
      </c>
      <c r="U23" s="1220">
        <f>H23</f>
        <v>100</v>
      </c>
      <c r="V23" s="1219" t="s">
        <v>1393</v>
      </c>
      <c r="W23" s="1220">
        <f>J23</f>
        <v>100</v>
      </c>
      <c r="X23" s="1214"/>
      <c r="Y23" s="3391"/>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91"/>
      <c r="Q24" s="625">
        <f t="shared" ref="Q24:Q34" si="11">B24</f>
        <v>111</v>
      </c>
      <c r="R24" s="1219" t="s">
        <v>1393</v>
      </c>
      <c r="S24" s="1220">
        <f>F24</f>
        <v>100</v>
      </c>
      <c r="T24" s="1219" t="s">
        <v>1393</v>
      </c>
      <c r="U24" s="1220">
        <f>H24</f>
        <v>100</v>
      </c>
      <c r="V24" s="1219" t="s">
        <v>1393</v>
      </c>
      <c r="W24" s="1220">
        <f>J24</f>
        <v>100</v>
      </c>
      <c r="X24" s="1214"/>
      <c r="Y24" s="3391"/>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91"/>
      <c r="Q25" s="794">
        <f t="shared" si="11"/>
        <v>111</v>
      </c>
      <c r="R25" s="1215" t="s">
        <v>1393</v>
      </c>
      <c r="S25" s="1216">
        <f>F25</f>
        <v>100</v>
      </c>
      <c r="T25" s="1215" t="s">
        <v>1393</v>
      </c>
      <c r="U25" s="1216">
        <f>H25</f>
        <v>100</v>
      </c>
      <c r="V25" s="1215" t="s">
        <v>1393</v>
      </c>
      <c r="W25" s="1216">
        <f>J25</f>
        <v>100</v>
      </c>
      <c r="X25" s="1217"/>
      <c r="Y25" s="3391"/>
      <c r="Z25" s="1227">
        <f>Q25</f>
        <v>111</v>
      </c>
      <c r="AA25" s="1204">
        <f t="shared" si="3"/>
        <v>1</v>
      </c>
      <c r="AB25" s="1204">
        <f t="shared" si="4"/>
        <v>1</v>
      </c>
      <c r="AC25" s="1204">
        <f t="shared" si="5"/>
        <v>1</v>
      </c>
    </row>
    <row r="26" spans="1:29" ht="30">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38"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92"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92"/>
      <c r="Q27" s="1415" t="str">
        <f t="shared" si="11"/>
        <v>成新率</v>
      </c>
      <c r="R27" s="1221" t="s">
        <v>1393</v>
      </c>
      <c r="S27" s="1222" t="e">
        <f t="shared" si="12"/>
        <v>#N/A</v>
      </c>
      <c r="T27" s="1221" t="s">
        <v>1393</v>
      </c>
      <c r="U27" s="1222" t="e">
        <f t="shared" si="13"/>
        <v>#N/A</v>
      </c>
      <c r="V27" s="1221" t="s">
        <v>1393</v>
      </c>
      <c r="W27" s="1222" t="e">
        <f t="shared" si="14"/>
        <v>#N/A</v>
      </c>
      <c r="X27" s="1223"/>
      <c r="Y27" s="3392"/>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92"/>
      <c r="Q28" s="625" t="str">
        <f t="shared" si="11"/>
        <v>物业等级</v>
      </c>
      <c r="R28" s="1219" t="s">
        <v>1393</v>
      </c>
      <c r="S28" s="1220">
        <f t="shared" si="12"/>
        <v>100</v>
      </c>
      <c r="T28" s="1219" t="s">
        <v>1393</v>
      </c>
      <c r="U28" s="1220">
        <f t="shared" si="13"/>
        <v>100</v>
      </c>
      <c r="V28" s="1219" t="s">
        <v>1393</v>
      </c>
      <c r="W28" s="1220">
        <f t="shared" si="14"/>
        <v>100</v>
      </c>
      <c r="X28" s="1214"/>
      <c r="Y28" s="3392"/>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92"/>
      <c r="Q29" s="625" t="str">
        <f t="shared" si="11"/>
        <v>有无电梯</v>
      </c>
      <c r="R29" s="1219" t="s">
        <v>1393</v>
      </c>
      <c r="S29" s="1220">
        <f t="shared" si="12"/>
        <v>100</v>
      </c>
      <c r="T29" s="1219" t="s">
        <v>1393</v>
      </c>
      <c r="U29" s="1220">
        <f t="shared" si="13"/>
        <v>100</v>
      </c>
      <c r="V29" s="1219" t="s">
        <v>1393</v>
      </c>
      <c r="W29" s="1220">
        <f t="shared" si="14"/>
        <v>100</v>
      </c>
      <c r="X29" s="1214"/>
      <c r="Y29" s="3392"/>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92"/>
      <c r="Q30" s="625" t="str">
        <f t="shared" si="11"/>
        <v>建筑面积</v>
      </c>
      <c r="R30" s="1219" t="s">
        <v>1393</v>
      </c>
      <c r="S30" s="1220" t="e">
        <f t="shared" si="12"/>
        <v>#N/A</v>
      </c>
      <c r="T30" s="1219" t="s">
        <v>1393</v>
      </c>
      <c r="U30" s="1220" t="e">
        <f t="shared" si="13"/>
        <v>#N/A</v>
      </c>
      <c r="V30" s="1219" t="s">
        <v>1393</v>
      </c>
      <c r="W30" s="1220" t="e">
        <f t="shared" si="14"/>
        <v>#N/A</v>
      </c>
      <c r="X30" s="1214"/>
      <c r="Y30" s="3392"/>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92"/>
      <c r="Q31" s="794" t="str">
        <f t="shared" si="11"/>
        <v>是否封闭</v>
      </c>
      <c r="R31" s="1215" t="s">
        <v>1393</v>
      </c>
      <c r="S31" s="1216">
        <f t="shared" si="12"/>
        <v>100</v>
      </c>
      <c r="T31" s="1215" t="s">
        <v>1393</v>
      </c>
      <c r="U31" s="1216">
        <f t="shared" si="13"/>
        <v>100</v>
      </c>
      <c r="V31" s="1215" t="s">
        <v>1393</v>
      </c>
      <c r="W31" s="1216">
        <f t="shared" si="14"/>
        <v>100</v>
      </c>
      <c r="X31" s="1217"/>
      <c r="Y31" s="3392"/>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92" t="s">
        <v>1421</v>
      </c>
      <c r="Q32" s="625">
        <f t="shared" si="11"/>
        <v>111</v>
      </c>
      <c r="R32" s="1219" t="s">
        <v>1393</v>
      </c>
      <c r="S32" s="1220">
        <f t="shared" si="12"/>
        <v>100</v>
      </c>
      <c r="T32" s="1219" t="s">
        <v>1393</v>
      </c>
      <c r="U32" s="1220">
        <f t="shared" si="13"/>
        <v>100</v>
      </c>
      <c r="V32" s="1219" t="s">
        <v>1393</v>
      </c>
      <c r="W32" s="1220">
        <f t="shared" si="14"/>
        <v>100</v>
      </c>
      <c r="X32" s="1214"/>
      <c r="Y32" s="3392"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92"/>
      <c r="Q33" s="625">
        <f t="shared" si="11"/>
        <v>111</v>
      </c>
      <c r="R33" s="1219" t="s">
        <v>1393</v>
      </c>
      <c r="S33" s="1220">
        <f t="shared" si="12"/>
        <v>100</v>
      </c>
      <c r="T33" s="1219" t="s">
        <v>1393</v>
      </c>
      <c r="U33" s="1220">
        <f t="shared" si="13"/>
        <v>100</v>
      </c>
      <c r="V33" s="1219" t="s">
        <v>1393</v>
      </c>
      <c r="W33" s="1220">
        <f t="shared" si="14"/>
        <v>100</v>
      </c>
      <c r="X33" s="1214"/>
      <c r="Y33" s="3392"/>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92"/>
      <c r="Q34" s="625">
        <f t="shared" si="11"/>
        <v>111</v>
      </c>
      <c r="R34" s="1219" t="s">
        <v>1393</v>
      </c>
      <c r="S34" s="1220">
        <f t="shared" si="12"/>
        <v>100</v>
      </c>
      <c r="T34" s="1219" t="s">
        <v>1393</v>
      </c>
      <c r="U34" s="1220">
        <f t="shared" si="13"/>
        <v>100</v>
      </c>
      <c r="V34" s="1219" t="s">
        <v>1393</v>
      </c>
      <c r="W34" s="1220">
        <f t="shared" si="14"/>
        <v>100</v>
      </c>
      <c r="X34" s="1214"/>
      <c r="Y34" s="3392"/>
      <c r="Z34" s="1204">
        <f t="shared" si="15"/>
        <v>111</v>
      </c>
      <c r="AA34" s="1204">
        <f t="shared" si="3"/>
        <v>1</v>
      </c>
      <c r="AB34" s="1204">
        <f t="shared" si="4"/>
        <v>1</v>
      </c>
      <c r="AC34" s="1204">
        <f t="shared" si="5"/>
        <v>1</v>
      </c>
    </row>
    <row r="35" spans="1:30" ht="14.4">
      <c r="A35" s="1105" t="s">
        <v>1437</v>
      </c>
      <c r="B35" s="1398"/>
      <c r="C35" s="1399" t="s">
        <v>124</v>
      </c>
      <c r="D35" s="1108"/>
      <c r="E35" s="1109"/>
      <c r="F35" s="1110"/>
      <c r="G35" s="1111"/>
      <c r="H35" s="1112"/>
      <c r="I35" s="1109"/>
      <c r="J35" s="1112"/>
      <c r="K35" s="1195"/>
      <c r="L35" s="1196"/>
      <c r="M35" s="1122"/>
      <c r="N35" s="1122"/>
      <c r="O35" s="1122"/>
      <c r="P35" s="3378" t="str">
        <f>A35</f>
        <v>成交单价（元/平方米）</v>
      </c>
      <c r="Q35" s="3378"/>
      <c r="R35" s="3376">
        <f>E35</f>
        <v>0</v>
      </c>
      <c r="S35" s="3376"/>
      <c r="T35" s="3376">
        <f>G35</f>
        <v>0</v>
      </c>
      <c r="U35" s="3376"/>
      <c r="V35" s="3376">
        <f>I35</f>
        <v>0</v>
      </c>
      <c r="W35" s="3376"/>
      <c r="X35" s="1162"/>
      <c r="Y35" s="1229"/>
      <c r="Z35" s="1162"/>
      <c r="AA35" s="1162"/>
      <c r="AB35" s="1162"/>
      <c r="AC35" s="1162"/>
    </row>
    <row r="36" spans="1:30" ht="14.4">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78" t="str">
        <f>A36</f>
        <v>比较价值（元/平方米）</v>
      </c>
      <c r="Q36" s="3378"/>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1162"/>
      <c r="Y36" s="1162"/>
      <c r="Z36" s="1162"/>
      <c r="AA36" s="1162"/>
      <c r="AB36" s="1162"/>
      <c r="AC36" s="1162"/>
    </row>
    <row r="37" spans="1:30" ht="14.4">
      <c r="A37" s="1119" t="s">
        <v>1440</v>
      </c>
      <c r="B37" s="1120"/>
      <c r="C37" s="1032" t="e">
        <f>R37</f>
        <v>#DIV/0!</v>
      </c>
      <c r="D37" s="1032"/>
      <c r="E37" s="1032"/>
      <c r="F37" s="1032"/>
      <c r="G37" s="1032"/>
      <c r="H37" s="1032"/>
      <c r="I37" s="1032"/>
      <c r="J37" s="1032"/>
      <c r="K37" s="1198"/>
      <c r="L37" s="1196"/>
      <c r="M37" s="1122"/>
      <c r="N37" s="1122"/>
      <c r="O37" s="1122"/>
      <c r="P37" s="3414" t="str">
        <f>A37</f>
        <v>估价对象XX用房的比较价值（楼面单价，元/平方米）</v>
      </c>
      <c r="Q37" s="3415"/>
      <c r="R37" s="3439" t="e">
        <f>IF(F1="售价",ROUND(IF(D36="简单平均",AVERAGE(R36:W36),R36*F36+T36*H36+V36*J36),0),ROUND(IF(D36="简单平均",AVERAGE(R36:V36),R36*F36+T36*H36+V36*J36),1))</f>
        <v>#DIV/0!</v>
      </c>
      <c r="S37" s="3439"/>
      <c r="T37" s="3439"/>
      <c r="U37" s="3439"/>
      <c r="V37" s="3439"/>
      <c r="W37" s="3439"/>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6">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4.4">
      <c r="A46" s="1404" t="s">
        <v>1391</v>
      </c>
      <c r="B46" s="1405"/>
      <c r="C46" s="1406" t="str">
        <f>YEAR(C7)&amp;"-"&amp;MONTH(C7)</f>
        <v>2025-9</v>
      </c>
      <c r="D46" s="1407">
        <f>EDATE(C46,-1)</f>
        <v>45870</v>
      </c>
      <c r="E46" s="1407">
        <f t="shared" ref="E46:O46" si="16">EDATE(D46,-1)</f>
        <v>45839</v>
      </c>
      <c r="F46" s="1407">
        <f t="shared" si="16"/>
        <v>45809</v>
      </c>
      <c r="G46" s="1407">
        <f t="shared" si="16"/>
        <v>45778</v>
      </c>
      <c r="H46" s="1407">
        <f t="shared" si="16"/>
        <v>45748</v>
      </c>
      <c r="I46" s="1407">
        <f t="shared" si="16"/>
        <v>45717</v>
      </c>
      <c r="J46" s="1407">
        <f t="shared" si="16"/>
        <v>45689</v>
      </c>
      <c r="K46" s="1407">
        <f t="shared" si="16"/>
        <v>45658</v>
      </c>
      <c r="L46" s="1407">
        <f t="shared" si="16"/>
        <v>45627</v>
      </c>
      <c r="M46" s="1407">
        <f t="shared" si="16"/>
        <v>45597</v>
      </c>
      <c r="N46" s="1407">
        <f t="shared" si="16"/>
        <v>45566</v>
      </c>
      <c r="O46" s="1407">
        <f t="shared" si="16"/>
        <v>45536</v>
      </c>
      <c r="P46" s="1278"/>
      <c r="Q46" s="1278"/>
      <c r="R46" s="1278"/>
      <c r="S46" s="1278"/>
      <c r="T46" s="1278"/>
      <c r="U46" s="1278"/>
      <c r="V46" s="1278"/>
      <c r="W46" s="1278"/>
      <c r="X46" s="1278"/>
      <c r="Y46" s="1278"/>
      <c r="Z46" s="1278"/>
      <c r="AA46" s="1278"/>
      <c r="AB46" s="1278"/>
      <c r="AC46" s="1278"/>
      <c r="AD46" s="1278"/>
    </row>
    <row r="47" spans="1:30" s="1008" customFormat="1">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4.4">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4.4">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ht="14.4">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8.8">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ht="14.4">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8.8">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4.4">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4.4">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4.4">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ht="14.4">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4.4">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ht="14.4">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ht="14.4">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ht="14.4">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ht="14.4">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3.8"/>
  <cols>
    <col min="1" max="1" width="14.33203125" style="1014" customWidth="1"/>
    <col min="2" max="2" width="15.77734375" style="1014" customWidth="1"/>
    <col min="3" max="3" width="14.33203125" style="1014" customWidth="1"/>
    <col min="4" max="4" width="14.1093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4.4">
      <c r="A4" s="1027" t="s">
        <v>1378</v>
      </c>
      <c r="B4" s="1028"/>
      <c r="C4" s="3399" t="s">
        <v>1379</v>
      </c>
      <c r="D4" s="3400"/>
      <c r="E4" s="3401" t="s">
        <v>1380</v>
      </c>
      <c r="F4" s="3402"/>
      <c r="G4" s="3399" t="s">
        <v>1381</v>
      </c>
      <c r="H4" s="3400"/>
      <c r="I4" s="3399" t="s">
        <v>1382</v>
      </c>
      <c r="J4" s="3400"/>
      <c r="K4" s="1171" t="s">
        <v>1383</v>
      </c>
      <c r="L4" s="1172"/>
      <c r="M4" s="1122"/>
      <c r="N4" s="1122"/>
      <c r="O4" s="1122"/>
      <c r="P4" s="3408" t="s">
        <v>1384</v>
      </c>
      <c r="Q4" s="3409"/>
      <c r="R4" s="3412" t="s">
        <v>1380</v>
      </c>
      <c r="S4" s="3413"/>
      <c r="T4" s="3412" t="s">
        <v>1381</v>
      </c>
      <c r="U4" s="3413"/>
      <c r="V4" s="3376" t="s">
        <v>1382</v>
      </c>
      <c r="W4" s="3376"/>
      <c r="X4" s="1214"/>
      <c r="Y4" s="3412" t="s">
        <v>1384</v>
      </c>
      <c r="Z4" s="3413"/>
      <c r="AA4" s="3407" t="s">
        <v>1380</v>
      </c>
      <c r="AB4" s="3358" t="s">
        <v>1381</v>
      </c>
      <c r="AC4" s="3407" t="s">
        <v>1382</v>
      </c>
    </row>
    <row r="5" spans="1:29">
      <c r="A5" s="1029"/>
      <c r="B5" s="1030"/>
      <c r="C5" s="3403" t="s">
        <v>1385</v>
      </c>
      <c r="D5" s="3404"/>
      <c r="E5" s="3405" t="s">
        <v>1386</v>
      </c>
      <c r="F5" s="3406"/>
      <c r="G5" s="3403" t="s">
        <v>1387</v>
      </c>
      <c r="H5" s="3404"/>
      <c r="I5" s="3403" t="s">
        <v>1388</v>
      </c>
      <c r="J5" s="3404"/>
      <c r="K5" s="1171"/>
      <c r="L5" s="1172"/>
      <c r="M5" s="1122"/>
      <c r="N5" s="1122"/>
      <c r="O5" s="1122"/>
      <c r="P5" s="3410"/>
      <c r="Q5" s="3366"/>
      <c r="R5" s="3371"/>
      <c r="S5" s="3372"/>
      <c r="T5" s="3371"/>
      <c r="U5" s="3372"/>
      <c r="V5" s="3376"/>
      <c r="W5" s="3376"/>
      <c r="X5" s="1214"/>
      <c r="Y5" s="3371"/>
      <c r="Z5" s="3372"/>
      <c r="AA5" s="3358"/>
      <c r="AB5" s="3358"/>
      <c r="AC5" s="3358"/>
    </row>
    <row r="6" spans="1:29" ht="14.4">
      <c r="A6" s="1031"/>
      <c r="B6" s="1032"/>
      <c r="C6" s="3394" t="s">
        <v>1389</v>
      </c>
      <c r="D6" s="3395"/>
      <c r="E6" s="3396" t="s">
        <v>1389</v>
      </c>
      <c r="F6" s="3397"/>
      <c r="G6" s="3394" t="s">
        <v>1389</v>
      </c>
      <c r="H6" s="3395"/>
      <c r="I6" s="3394" t="s">
        <v>1389</v>
      </c>
      <c r="J6" s="3395"/>
      <c r="K6" s="1171" t="s">
        <v>1390</v>
      </c>
      <c r="L6" s="1172"/>
      <c r="M6" s="1122"/>
      <c r="N6" s="1122"/>
      <c r="O6" s="1122"/>
      <c r="P6" s="3411"/>
      <c r="Q6" s="3368"/>
      <c r="R6" s="3371"/>
      <c r="S6" s="3372"/>
      <c r="T6" s="3373"/>
      <c r="U6" s="3374"/>
      <c r="V6" s="3376"/>
      <c r="W6" s="3376"/>
      <c r="X6" s="1214"/>
      <c r="Y6" s="3373"/>
      <c r="Z6" s="3374"/>
      <c r="AA6" s="3359"/>
      <c r="AB6" s="3359"/>
      <c r="AC6" s="3359"/>
    </row>
    <row r="7" spans="1:29" s="1008" customFormat="1" ht="14.4">
      <c r="A7" s="1033" t="s">
        <v>1391</v>
      </c>
      <c r="B7" s="1034"/>
      <c r="C7" s="1035">
        <f>'数据-取费表'!B2</f>
        <v>45924</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82" t="s">
        <v>1392</v>
      </c>
      <c r="Q7" s="3398"/>
      <c r="R7" s="1215" t="s">
        <v>1393</v>
      </c>
      <c r="S7" s="1216">
        <f t="shared" ref="S7:S15" si="0">F7</f>
        <v>0</v>
      </c>
      <c r="T7" s="1215" t="s">
        <v>1393</v>
      </c>
      <c r="U7" s="1216">
        <f t="shared" ref="U7:U15" si="1">H7</f>
        <v>0</v>
      </c>
      <c r="V7" s="1215" t="s">
        <v>1393</v>
      </c>
      <c r="W7" s="1216">
        <f t="shared" ref="W7:W15" si="2">J7</f>
        <v>0</v>
      </c>
      <c r="X7" s="1217"/>
      <c r="Y7" s="3382" t="s">
        <v>1392</v>
      </c>
      <c r="Z7" s="3383"/>
      <c r="AA7" s="1227" t="e">
        <f>D7/F7</f>
        <v>#DIV/0!</v>
      </c>
      <c r="AB7" s="1227" t="e">
        <f>D7/H7</f>
        <v>#DIV/0!</v>
      </c>
      <c r="AC7" s="1227" t="e">
        <f>D7/J7</f>
        <v>#DIV/0!</v>
      </c>
    </row>
    <row r="8" spans="1:29" s="1008" customFormat="1" ht="14.4">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82" t="s">
        <v>1397</v>
      </c>
      <c r="Q8" s="3383"/>
      <c r="R8" s="1215" t="s">
        <v>1393</v>
      </c>
      <c r="S8" s="1216">
        <f t="shared" si="0"/>
        <v>0</v>
      </c>
      <c r="T8" s="1215" t="s">
        <v>1393</v>
      </c>
      <c r="U8" s="1216">
        <f t="shared" si="1"/>
        <v>0</v>
      </c>
      <c r="V8" s="1215" t="s">
        <v>1393</v>
      </c>
      <c r="W8" s="1216">
        <f t="shared" si="2"/>
        <v>0</v>
      </c>
      <c r="X8" s="1217"/>
      <c r="Y8" s="3382" t="s">
        <v>1397</v>
      </c>
      <c r="Z8" s="3383"/>
      <c r="AA8" s="1227" t="e">
        <f t="shared" ref="AA8:AA45" si="3">D8/F8</f>
        <v>#DIV/0!</v>
      </c>
      <c r="AB8" s="1227" t="e">
        <f t="shared" ref="AB8:AB45" si="4">D8/H8</f>
        <v>#DIV/0!</v>
      </c>
      <c r="AC8" s="1227" t="e">
        <f t="shared" ref="AC8:AC45" si="5">D8/J8</f>
        <v>#DIV/0!</v>
      </c>
    </row>
    <row r="9" spans="1:29" s="1008" customFormat="1" ht="14.4">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78" t="s">
        <v>1400</v>
      </c>
      <c r="Q9" s="794" t="str">
        <f t="shared" ref="Q9:Q15" si="6">B9</f>
        <v>用途</v>
      </c>
      <c r="R9" s="1215" t="s">
        <v>1393</v>
      </c>
      <c r="S9" s="1216">
        <f t="shared" si="0"/>
        <v>100</v>
      </c>
      <c r="T9" s="1215" t="s">
        <v>1393</v>
      </c>
      <c r="U9" s="1216">
        <f t="shared" si="1"/>
        <v>100</v>
      </c>
      <c r="V9" s="1215" t="s">
        <v>1393</v>
      </c>
      <c r="W9" s="1216">
        <f t="shared" si="2"/>
        <v>100</v>
      </c>
      <c r="X9" s="1217"/>
      <c r="Y9" s="3264" t="s">
        <v>1401</v>
      </c>
      <c r="Z9" s="1227" t="str">
        <f t="shared" ref="Z9:Z15" si="7">Q9</f>
        <v>用途</v>
      </c>
      <c r="AA9" s="1227">
        <f t="shared" si="3"/>
        <v>1</v>
      </c>
      <c r="AB9" s="1227">
        <f t="shared" si="4"/>
        <v>1</v>
      </c>
      <c r="AC9" s="1227">
        <f t="shared" si="5"/>
        <v>1</v>
      </c>
    </row>
    <row r="10" spans="1:29" s="1009" customFormat="1" ht="28.8">
      <c r="A10" s="1045"/>
      <c r="B10" s="1046" t="s">
        <v>1402</v>
      </c>
      <c r="C10" s="1047"/>
      <c r="D10" s="1048">
        <v>100</v>
      </c>
      <c r="E10" s="1333"/>
      <c r="F10" s="1048">
        <f>ROUND(100/'数据-取费表'!G16,0)</f>
        <v>158</v>
      </c>
      <c r="G10" s="1334"/>
      <c r="H10" s="1048">
        <f>ROUND(100/'数据-取费表'!G16,0)</f>
        <v>158</v>
      </c>
      <c r="I10" s="1334"/>
      <c r="J10" s="1048">
        <f>ROUND(100/'数据-取费表'!G16,0)</f>
        <v>158</v>
      </c>
      <c r="K10" s="1177"/>
      <c r="L10" s="1178"/>
      <c r="M10" s="1179"/>
      <c r="N10" s="1179"/>
      <c r="O10" s="1180"/>
      <c r="P10" s="3378"/>
      <c r="Q10" s="794" t="str">
        <f t="shared" si="6"/>
        <v>土地使用年限（年）</v>
      </c>
      <c r="R10" s="1215" t="s">
        <v>1393</v>
      </c>
      <c r="S10" s="1216">
        <f t="shared" si="0"/>
        <v>158</v>
      </c>
      <c r="T10" s="1215" t="s">
        <v>1393</v>
      </c>
      <c r="U10" s="1216">
        <f t="shared" si="1"/>
        <v>158</v>
      </c>
      <c r="V10" s="1215" t="s">
        <v>1393</v>
      </c>
      <c r="W10" s="1216">
        <f t="shared" si="2"/>
        <v>158</v>
      </c>
      <c r="X10" s="1217"/>
      <c r="Y10" s="3264"/>
      <c r="Z10" s="1227" t="str">
        <f t="shared" si="7"/>
        <v>土地使用年限（年）</v>
      </c>
      <c r="AA10" s="1227">
        <f t="shared" si="3"/>
        <v>0.63291139240506333</v>
      </c>
      <c r="AB10" s="1227">
        <f t="shared" si="4"/>
        <v>0.63291139240506333</v>
      </c>
      <c r="AC10" s="1227">
        <f t="shared" si="5"/>
        <v>0.63291139240506333</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78"/>
      <c r="Q11" s="794" t="str">
        <f t="shared" si="6"/>
        <v>容积率</v>
      </c>
      <c r="R11" s="1215" t="s">
        <v>1393</v>
      </c>
      <c r="S11" s="1216" t="e">
        <f t="shared" si="0"/>
        <v>#N/A</v>
      </c>
      <c r="T11" s="1215" t="s">
        <v>1393</v>
      </c>
      <c r="U11" s="1216" t="e">
        <f t="shared" si="1"/>
        <v>#N/A</v>
      </c>
      <c r="V11" s="1215" t="s">
        <v>1393</v>
      </c>
      <c r="W11" s="1216" t="e">
        <f t="shared" si="2"/>
        <v>#N/A</v>
      </c>
      <c r="X11" s="1217"/>
      <c r="Y11" s="3264"/>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78"/>
      <c r="Q12" s="794" t="str">
        <f t="shared" si="6"/>
        <v>配建</v>
      </c>
      <c r="R12" s="1215" t="s">
        <v>1393</v>
      </c>
      <c r="S12" s="1216">
        <f t="shared" si="0"/>
        <v>100</v>
      </c>
      <c r="T12" s="1215" t="s">
        <v>1393</v>
      </c>
      <c r="U12" s="1216">
        <f t="shared" si="1"/>
        <v>100</v>
      </c>
      <c r="V12" s="1215" t="s">
        <v>1393</v>
      </c>
      <c r="W12" s="1216">
        <f t="shared" si="2"/>
        <v>100</v>
      </c>
      <c r="X12" s="1217"/>
      <c r="Y12" s="3264"/>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264"/>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78"/>
      <c r="Q14" s="794">
        <f t="shared" si="6"/>
        <v>111</v>
      </c>
      <c r="R14" s="1215" t="s">
        <v>1393</v>
      </c>
      <c r="S14" s="1216">
        <f t="shared" si="0"/>
        <v>100</v>
      </c>
      <c r="T14" s="1215" t="s">
        <v>1393</v>
      </c>
      <c r="U14" s="1216">
        <f t="shared" si="1"/>
        <v>100</v>
      </c>
      <c r="V14" s="1215" t="s">
        <v>1393</v>
      </c>
      <c r="W14" s="1216">
        <f t="shared" si="2"/>
        <v>100</v>
      </c>
      <c r="X14" s="1217"/>
      <c r="Y14" s="3264"/>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90" t="s">
        <v>1406</v>
      </c>
      <c r="Q15" s="625" t="str">
        <f t="shared" si="6"/>
        <v>居住社区成熟度</v>
      </c>
      <c r="R15" s="1219" t="s">
        <v>1393</v>
      </c>
      <c r="S15" s="1220">
        <f t="shared" si="0"/>
        <v>100</v>
      </c>
      <c r="T15" s="1219" t="s">
        <v>1393</v>
      </c>
      <c r="U15" s="1220">
        <f t="shared" si="1"/>
        <v>100</v>
      </c>
      <c r="V15" s="1219" t="s">
        <v>1393</v>
      </c>
      <c r="W15" s="1220">
        <f t="shared" si="2"/>
        <v>100</v>
      </c>
      <c r="X15" s="1214"/>
      <c r="Y15" s="3390"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91"/>
      <c r="Q16" s="625"/>
      <c r="R16" s="1219"/>
      <c r="S16" s="1220"/>
      <c r="T16" s="1219"/>
      <c r="U16" s="1220"/>
      <c r="V16" s="1219"/>
      <c r="W16" s="1220"/>
      <c r="X16" s="1214"/>
      <c r="Y16" s="3391"/>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91"/>
      <c r="Q17" s="625" t="str">
        <f>B17</f>
        <v>商业繁华度</v>
      </c>
      <c r="R17" s="1219" t="s">
        <v>1393</v>
      </c>
      <c r="S17" s="1220">
        <f>F17</f>
        <v>100</v>
      </c>
      <c r="T17" s="1219" t="s">
        <v>1393</v>
      </c>
      <c r="U17" s="1220">
        <f>H17</f>
        <v>100</v>
      </c>
      <c r="V17" s="1219" t="s">
        <v>1393</v>
      </c>
      <c r="W17" s="1220">
        <f>J17</f>
        <v>100</v>
      </c>
      <c r="X17" s="1214"/>
      <c r="Y17" s="3391"/>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91"/>
      <c r="Q18" s="625"/>
      <c r="R18" s="1219"/>
      <c r="S18" s="1220"/>
      <c r="T18" s="1219"/>
      <c r="U18" s="1220"/>
      <c r="V18" s="1219"/>
      <c r="W18" s="1220"/>
      <c r="X18" s="1214"/>
      <c r="Y18" s="3391"/>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91"/>
      <c r="Q19" s="625" t="str">
        <f>B19</f>
        <v>办公集聚程度</v>
      </c>
      <c r="R19" s="1219" t="s">
        <v>1393</v>
      </c>
      <c r="S19" s="1220">
        <f>F19</f>
        <v>100</v>
      </c>
      <c r="T19" s="1219" t="s">
        <v>1393</v>
      </c>
      <c r="U19" s="1220">
        <f>H19</f>
        <v>100</v>
      </c>
      <c r="V19" s="1219" t="s">
        <v>1393</v>
      </c>
      <c r="W19" s="1220">
        <f>J19</f>
        <v>100</v>
      </c>
      <c r="X19" s="1214"/>
      <c r="Y19" s="3391"/>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91"/>
      <c r="Q20" s="625"/>
      <c r="R20" s="1219"/>
      <c r="S20" s="1220"/>
      <c r="T20" s="1219"/>
      <c r="U20" s="1220"/>
      <c r="V20" s="1219"/>
      <c r="W20" s="1220"/>
      <c r="X20" s="1214"/>
      <c r="Y20" s="3391"/>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91"/>
      <c r="Q21" s="625" t="str">
        <f>B21</f>
        <v>交通便捷度</v>
      </c>
      <c r="R21" s="1219" t="s">
        <v>1393</v>
      </c>
      <c r="S21" s="1220">
        <f>F21</f>
        <v>100</v>
      </c>
      <c r="T21" s="1219" t="s">
        <v>1393</v>
      </c>
      <c r="U21" s="1220">
        <f>H21</f>
        <v>100</v>
      </c>
      <c r="V21" s="1219" t="s">
        <v>1393</v>
      </c>
      <c r="W21" s="1220">
        <f>J21</f>
        <v>100</v>
      </c>
      <c r="X21" s="1214"/>
      <c r="Y21" s="3391"/>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91"/>
      <c r="Q22" s="625"/>
      <c r="R22" s="1219"/>
      <c r="S22" s="1220"/>
      <c r="T22" s="1219"/>
      <c r="U22" s="1220"/>
      <c r="V22" s="1219"/>
      <c r="W22" s="1220"/>
      <c r="X22" s="1214"/>
      <c r="Y22" s="3391"/>
      <c r="Z22" s="1204"/>
      <c r="AA22" s="1204">
        <v>1</v>
      </c>
      <c r="AB22" s="1204">
        <v>1</v>
      </c>
      <c r="AC22" s="1204">
        <v>1</v>
      </c>
    </row>
    <row r="23" spans="1:29" ht="28.8">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91"/>
      <c r="Q23" s="625" t="str">
        <f t="shared" ref="Q23:Q38" si="8">B23</f>
        <v>区域土地利用方向</v>
      </c>
      <c r="R23" s="1219" t="s">
        <v>1393</v>
      </c>
      <c r="S23" s="1220">
        <f>F23</f>
        <v>100</v>
      </c>
      <c r="T23" s="1219" t="s">
        <v>1393</v>
      </c>
      <c r="U23" s="1220">
        <f>H23</f>
        <v>100</v>
      </c>
      <c r="V23" s="1219" t="s">
        <v>1393</v>
      </c>
      <c r="W23" s="1220">
        <f>J23</f>
        <v>100</v>
      </c>
      <c r="X23" s="1214"/>
      <c r="Y23" s="3391"/>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91"/>
      <c r="Q24" s="625"/>
      <c r="R24" s="1219"/>
      <c r="S24" s="1220"/>
      <c r="T24" s="1219"/>
      <c r="U24" s="1220"/>
      <c r="V24" s="1219"/>
      <c r="W24" s="1220"/>
      <c r="X24" s="1214"/>
      <c r="Y24" s="3391"/>
      <c r="Z24" s="1204"/>
      <c r="AA24" s="1204"/>
      <c r="AB24" s="1204"/>
      <c r="AC24" s="1204"/>
    </row>
    <row r="25" spans="1:29" ht="28.8">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91"/>
      <c r="Q25" s="625" t="str">
        <f t="shared" si="8"/>
        <v>自然及人文环境状况</v>
      </c>
      <c r="R25" s="1219" t="s">
        <v>1393</v>
      </c>
      <c r="S25" s="1220">
        <f>F25</f>
        <v>100</v>
      </c>
      <c r="T25" s="1219" t="s">
        <v>1393</v>
      </c>
      <c r="U25" s="1220">
        <f>H25</f>
        <v>100</v>
      </c>
      <c r="V25" s="1219" t="s">
        <v>1393</v>
      </c>
      <c r="W25" s="1220">
        <f>J25</f>
        <v>100</v>
      </c>
      <c r="X25" s="1214"/>
      <c r="Y25" s="3391"/>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91"/>
      <c r="Q26" s="625"/>
      <c r="R26" s="1219"/>
      <c r="S26" s="1220"/>
      <c r="T26" s="1219"/>
      <c r="U26" s="1220"/>
      <c r="V26" s="1219"/>
      <c r="W26" s="1220"/>
      <c r="X26" s="1214"/>
      <c r="Y26" s="3391"/>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91"/>
      <c r="Q27" s="794" t="str">
        <f t="shared" si="8"/>
        <v>公共配套设施</v>
      </c>
      <c r="R27" s="1215" t="s">
        <v>1393</v>
      </c>
      <c r="S27" s="1216">
        <f>F27</f>
        <v>100</v>
      </c>
      <c r="T27" s="1215" t="s">
        <v>1393</v>
      </c>
      <c r="U27" s="1216">
        <f>H27</f>
        <v>100</v>
      </c>
      <c r="V27" s="1215" t="s">
        <v>1393</v>
      </c>
      <c r="W27" s="1216">
        <f>J27</f>
        <v>100</v>
      </c>
      <c r="X27" s="1217"/>
      <c r="Y27" s="3391"/>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91"/>
      <c r="Q28" s="794"/>
      <c r="R28" s="1215"/>
      <c r="S28" s="1216"/>
      <c r="T28" s="1215"/>
      <c r="U28" s="1216"/>
      <c r="V28" s="1215"/>
      <c r="W28" s="1216"/>
      <c r="X28" s="1217"/>
      <c r="Y28" s="3391"/>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91"/>
      <c r="Q29" s="794" t="str">
        <f t="shared" ref="Q29" si="9">B29</f>
        <v>基础设施水平</v>
      </c>
      <c r="R29" s="1215" t="s">
        <v>1393</v>
      </c>
      <c r="S29" s="1216">
        <f>F29</f>
        <v>100</v>
      </c>
      <c r="T29" s="1215" t="s">
        <v>1393</v>
      </c>
      <c r="U29" s="1216">
        <f>H29</f>
        <v>100</v>
      </c>
      <c r="V29" s="1215" t="s">
        <v>1393</v>
      </c>
      <c r="W29" s="1216">
        <f>J29</f>
        <v>100</v>
      </c>
      <c r="X29" s="1217"/>
      <c r="Y29" s="3391"/>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91"/>
      <c r="Q30" s="794"/>
      <c r="R30" s="1215"/>
      <c r="S30" s="1216"/>
      <c r="T30" s="1215"/>
      <c r="U30" s="1216"/>
      <c r="V30" s="1215"/>
      <c r="W30" s="1216"/>
      <c r="X30" s="1217"/>
      <c r="Y30" s="3391"/>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91"/>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91"/>
      <c r="Z31" s="1204" t="str">
        <f t="shared" ref="Z31:Z45" si="13">Q31</f>
        <v>临街状况</v>
      </c>
      <c r="AA31" s="1204">
        <f t="shared" si="3"/>
        <v>1</v>
      </c>
      <c r="AB31" s="1204">
        <f t="shared" si="4"/>
        <v>1</v>
      </c>
      <c r="AC31" s="1204">
        <f t="shared" si="5"/>
        <v>1</v>
      </c>
    </row>
    <row r="32" spans="1:29" ht="28.8">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91"/>
      <c r="Q32" s="625" t="str">
        <f t="shared" si="8"/>
        <v>毗邻道路的类型与等级</v>
      </c>
      <c r="R32" s="1219" t="s">
        <v>1393</v>
      </c>
      <c r="S32" s="1220">
        <f t="shared" si="10"/>
        <v>100</v>
      </c>
      <c r="T32" s="1219" t="s">
        <v>1393</v>
      </c>
      <c r="U32" s="1220">
        <f t="shared" si="11"/>
        <v>100</v>
      </c>
      <c r="V32" s="1219" t="s">
        <v>1393</v>
      </c>
      <c r="W32" s="1220">
        <f t="shared" si="12"/>
        <v>100</v>
      </c>
      <c r="X32" s="1214"/>
      <c r="Y32" s="3391"/>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91"/>
      <c r="Q33" s="625"/>
      <c r="R33" s="1219"/>
      <c r="S33" s="1220"/>
      <c r="T33" s="1219"/>
      <c r="U33" s="1220"/>
      <c r="V33" s="1219"/>
      <c r="W33" s="1220"/>
      <c r="X33" s="1214"/>
      <c r="Y33" s="3391"/>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91"/>
      <c r="Q34" s="625" t="str">
        <f t="shared" si="8"/>
        <v>土地级别</v>
      </c>
      <c r="R34" s="1219" t="s">
        <v>1393</v>
      </c>
      <c r="S34" s="1220">
        <f t="shared" si="10"/>
        <v>100</v>
      </c>
      <c r="T34" s="1219" t="s">
        <v>1393</v>
      </c>
      <c r="U34" s="1220">
        <f t="shared" si="11"/>
        <v>100</v>
      </c>
      <c r="V34" s="1219" t="s">
        <v>1393</v>
      </c>
      <c r="W34" s="1220">
        <f t="shared" si="12"/>
        <v>100</v>
      </c>
      <c r="X34" s="1214"/>
      <c r="Y34" s="3391"/>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91"/>
      <c r="Q35" s="625">
        <f t="shared" si="8"/>
        <v>111</v>
      </c>
      <c r="R35" s="1219" t="s">
        <v>1393</v>
      </c>
      <c r="S35" s="1220">
        <f t="shared" si="10"/>
        <v>100</v>
      </c>
      <c r="T35" s="1219" t="s">
        <v>1393</v>
      </c>
      <c r="U35" s="1220">
        <f t="shared" si="11"/>
        <v>100</v>
      </c>
      <c r="V35" s="1219" t="s">
        <v>1393</v>
      </c>
      <c r="W35" s="1220">
        <f t="shared" si="12"/>
        <v>100</v>
      </c>
      <c r="X35" s="1214"/>
      <c r="Y35" s="3391"/>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38" t="s">
        <v>1421</v>
      </c>
      <c r="Q36" s="625">
        <f t="shared" si="8"/>
        <v>111</v>
      </c>
      <c r="R36" s="1219" t="s">
        <v>1393</v>
      </c>
      <c r="S36" s="1220">
        <f t="shared" si="10"/>
        <v>100</v>
      </c>
      <c r="T36" s="1219" t="s">
        <v>1393</v>
      </c>
      <c r="U36" s="1220">
        <f t="shared" si="11"/>
        <v>100</v>
      </c>
      <c r="V36" s="1219" t="s">
        <v>1393</v>
      </c>
      <c r="W36" s="1220">
        <f t="shared" si="12"/>
        <v>100</v>
      </c>
      <c r="X36" s="1214"/>
      <c r="Y36" s="3392"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92"/>
      <c r="Q37" s="625">
        <f t="shared" si="8"/>
        <v>111</v>
      </c>
      <c r="R37" s="1221" t="s">
        <v>1393</v>
      </c>
      <c r="S37" s="1222">
        <f t="shared" si="10"/>
        <v>100</v>
      </c>
      <c r="T37" s="1221" t="s">
        <v>1393</v>
      </c>
      <c r="U37" s="1222">
        <f t="shared" si="11"/>
        <v>100</v>
      </c>
      <c r="V37" s="1221" t="s">
        <v>1393</v>
      </c>
      <c r="W37" s="1222">
        <f t="shared" si="12"/>
        <v>100</v>
      </c>
      <c r="X37" s="1223"/>
      <c r="Y37" s="3392"/>
      <c r="Z37" s="1228">
        <f t="shared" si="13"/>
        <v>111</v>
      </c>
      <c r="AA37" s="1204">
        <f t="shared" si="3"/>
        <v>1</v>
      </c>
      <c r="AB37" s="1204">
        <f t="shared" si="4"/>
        <v>1</v>
      </c>
      <c r="AC37" s="1204">
        <f t="shared" si="5"/>
        <v>1</v>
      </c>
    </row>
    <row r="38" spans="1:29" ht="15.6">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92"/>
      <c r="Q38" s="625" t="str">
        <f t="shared" si="8"/>
        <v>宗地面积</v>
      </c>
      <c r="R38" s="1219" t="s">
        <v>1393</v>
      </c>
      <c r="S38" s="1220" t="e">
        <f t="shared" si="10"/>
        <v>#N/A</v>
      </c>
      <c r="T38" s="1219" t="s">
        <v>1393</v>
      </c>
      <c r="U38" s="1220" t="e">
        <f t="shared" si="11"/>
        <v>#N/A</v>
      </c>
      <c r="V38" s="1219" t="s">
        <v>1393</v>
      </c>
      <c r="W38" s="1220" t="e">
        <f t="shared" si="12"/>
        <v>#N/A</v>
      </c>
      <c r="X38" s="1214"/>
      <c r="Y38" s="3392"/>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92"/>
      <c r="Q39" s="625" t="str">
        <f t="shared" ref="Q39:Q45" si="14">B39</f>
        <v>宗地形状</v>
      </c>
      <c r="R39" s="1219" t="s">
        <v>1393</v>
      </c>
      <c r="S39" s="1220">
        <f t="shared" si="10"/>
        <v>100</v>
      </c>
      <c r="T39" s="1219" t="s">
        <v>1393</v>
      </c>
      <c r="U39" s="1220">
        <f t="shared" si="11"/>
        <v>100</v>
      </c>
      <c r="V39" s="1219" t="s">
        <v>1393</v>
      </c>
      <c r="W39" s="1220">
        <f t="shared" si="12"/>
        <v>100</v>
      </c>
      <c r="X39" s="1214"/>
      <c r="Y39" s="3392"/>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92"/>
      <c r="Q40" s="625" t="str">
        <f t="shared" si="14"/>
        <v>临街宽度及深度</v>
      </c>
      <c r="R40" s="1219" t="s">
        <v>1393</v>
      </c>
      <c r="S40" s="1220">
        <f t="shared" si="10"/>
        <v>100</v>
      </c>
      <c r="T40" s="1219" t="s">
        <v>1393</v>
      </c>
      <c r="U40" s="1220">
        <f t="shared" si="11"/>
        <v>100</v>
      </c>
      <c r="V40" s="1219" t="s">
        <v>1393</v>
      </c>
      <c r="W40" s="1220">
        <f t="shared" si="12"/>
        <v>100</v>
      </c>
      <c r="X40" s="1214"/>
      <c r="Y40" s="3392"/>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92"/>
      <c r="Q41" s="625" t="str">
        <f t="shared" si="14"/>
        <v>宗地开发程度</v>
      </c>
      <c r="R41" s="1215" t="s">
        <v>1393</v>
      </c>
      <c r="S41" s="1216">
        <f t="shared" si="10"/>
        <v>100</v>
      </c>
      <c r="T41" s="1215" t="s">
        <v>1393</v>
      </c>
      <c r="U41" s="1216">
        <f t="shared" si="11"/>
        <v>100</v>
      </c>
      <c r="V41" s="1215" t="s">
        <v>1393</v>
      </c>
      <c r="W41" s="1216">
        <f t="shared" si="12"/>
        <v>100</v>
      </c>
      <c r="X41" s="1217"/>
      <c r="Y41" s="3392"/>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92" t="s">
        <v>1421</v>
      </c>
      <c r="Q42" s="625" t="str">
        <f t="shared" si="14"/>
        <v>工程地质条件</v>
      </c>
      <c r="R42" s="1219" t="s">
        <v>1393</v>
      </c>
      <c r="S42" s="1220">
        <f t="shared" si="10"/>
        <v>100</v>
      </c>
      <c r="T42" s="1219" t="s">
        <v>1393</v>
      </c>
      <c r="U42" s="1220">
        <f t="shared" si="11"/>
        <v>100</v>
      </c>
      <c r="V42" s="1219" t="s">
        <v>1393</v>
      </c>
      <c r="W42" s="1220">
        <f t="shared" si="12"/>
        <v>100</v>
      </c>
      <c r="X42" s="1214"/>
      <c r="Y42" s="3392"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92"/>
      <c r="Q43" s="625">
        <f t="shared" si="14"/>
        <v>111</v>
      </c>
      <c r="R43" s="1219" t="s">
        <v>1393</v>
      </c>
      <c r="S43" s="1220">
        <f t="shared" si="10"/>
        <v>100</v>
      </c>
      <c r="T43" s="1219" t="s">
        <v>1393</v>
      </c>
      <c r="U43" s="1220">
        <f t="shared" si="11"/>
        <v>100</v>
      </c>
      <c r="V43" s="1219" t="s">
        <v>1393</v>
      </c>
      <c r="W43" s="1220">
        <f t="shared" si="12"/>
        <v>100</v>
      </c>
      <c r="X43" s="1214"/>
      <c r="Y43" s="3392"/>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92"/>
      <c r="Q44" s="625">
        <f t="shared" si="14"/>
        <v>111</v>
      </c>
      <c r="R44" s="1219" t="s">
        <v>1393</v>
      </c>
      <c r="S44" s="1220">
        <f t="shared" si="10"/>
        <v>100</v>
      </c>
      <c r="T44" s="1219" t="s">
        <v>1393</v>
      </c>
      <c r="U44" s="1220">
        <f t="shared" si="11"/>
        <v>100</v>
      </c>
      <c r="V44" s="1219" t="s">
        <v>1393</v>
      </c>
      <c r="W44" s="1220">
        <f t="shared" si="12"/>
        <v>100</v>
      </c>
      <c r="X44" s="1214"/>
      <c r="Y44" s="3392"/>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92"/>
      <c r="Q45" s="625">
        <f t="shared" si="14"/>
        <v>111</v>
      </c>
      <c r="R45" s="1221" t="s">
        <v>1393</v>
      </c>
      <c r="S45" s="1222">
        <f t="shared" si="10"/>
        <v>100</v>
      </c>
      <c r="T45" s="1221" t="s">
        <v>1393</v>
      </c>
      <c r="U45" s="1222">
        <f t="shared" si="11"/>
        <v>100</v>
      </c>
      <c r="V45" s="1221" t="s">
        <v>1393</v>
      </c>
      <c r="W45" s="1222">
        <f t="shared" si="12"/>
        <v>100</v>
      </c>
      <c r="X45" s="1223"/>
      <c r="Y45" s="3392"/>
      <c r="Z45" s="1228">
        <f t="shared" si="13"/>
        <v>111</v>
      </c>
      <c r="AA45" s="1204">
        <f t="shared" si="3"/>
        <v>1</v>
      </c>
      <c r="AB45" s="1204">
        <f t="shared" si="4"/>
        <v>1</v>
      </c>
      <c r="AC45" s="1204">
        <f t="shared" si="5"/>
        <v>1</v>
      </c>
    </row>
    <row r="46" spans="1:29" ht="14.4">
      <c r="A46" s="1105" t="s">
        <v>1648</v>
      </c>
      <c r="B46" s="1106" t="s">
        <v>1667</v>
      </c>
      <c r="C46" s="1107" t="s">
        <v>124</v>
      </c>
      <c r="D46" s="1108"/>
      <c r="E46" s="1109"/>
      <c r="F46" s="1110"/>
      <c r="G46" s="1111"/>
      <c r="H46" s="1112"/>
      <c r="I46" s="1109"/>
      <c r="J46" s="1112"/>
      <c r="K46" s="1195"/>
      <c r="L46" s="1196"/>
      <c r="M46" s="1122"/>
      <c r="N46" s="1122"/>
      <c r="O46" s="1122"/>
      <c r="P46" s="3378" t="str">
        <f>A46</f>
        <v>成交单价</v>
      </c>
      <c r="Q46" s="3378"/>
      <c r="R46" s="3376">
        <f>E46</f>
        <v>0</v>
      </c>
      <c r="S46" s="3376"/>
      <c r="T46" s="3376">
        <f>G46</f>
        <v>0</v>
      </c>
      <c r="U46" s="3376"/>
      <c r="V46" s="3376">
        <f>I46</f>
        <v>0</v>
      </c>
      <c r="W46" s="3376"/>
      <c r="X46" s="1162"/>
      <c r="Y46" s="1229"/>
      <c r="Z46" s="1162"/>
      <c r="AA46" s="1162"/>
      <c r="AB46" s="1162"/>
      <c r="AC46" s="1162"/>
    </row>
    <row r="47" spans="1:29" ht="14.4">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78" t="str">
        <f>A47</f>
        <v>比较价值（元/平方米）</v>
      </c>
      <c r="Q47" s="3378"/>
      <c r="R47" s="3441" t="e">
        <f>ROUND(PRODUCT(R46,AA7:AA45),0)</f>
        <v>#DIV/0!</v>
      </c>
      <c r="S47" s="3441"/>
      <c r="T47" s="3441" t="e">
        <f>ROUND(PRODUCT(T46,AB7:AB45),0)</f>
        <v>#DIV/0!</v>
      </c>
      <c r="U47" s="3441"/>
      <c r="V47" s="3441" t="e">
        <f>ROUND(PRODUCT(V46,AC7:AC45),0)</f>
        <v>#DIV/0!</v>
      </c>
      <c r="W47" s="3441"/>
      <c r="X47" s="1162"/>
      <c r="Y47" s="1162"/>
      <c r="Z47" s="1162"/>
      <c r="AA47" s="1162"/>
      <c r="AB47" s="1162"/>
      <c r="AC47" s="1162"/>
    </row>
    <row r="48" spans="1:29" ht="14.4">
      <c r="A48" s="1119" t="s">
        <v>1668</v>
      </c>
      <c r="B48" s="1120"/>
      <c r="C48" s="1121" t="e">
        <f>R48</f>
        <v>#DIV/0!</v>
      </c>
      <c r="D48" s="1121"/>
      <c r="E48" s="1121"/>
      <c r="F48" s="1121"/>
      <c r="G48" s="1121"/>
      <c r="H48" s="1121"/>
      <c r="I48" s="1121"/>
      <c r="J48" s="1121"/>
      <c r="K48" s="1198"/>
      <c r="L48" s="1196"/>
      <c r="M48" s="1122"/>
      <c r="N48" s="1122"/>
      <c r="O48" s="1122"/>
      <c r="P48" s="3414" t="str">
        <f>A48</f>
        <v>估价对象XX用房的比较价值（楼面单价，元/平方米）</v>
      </c>
      <c r="Q48" s="3415"/>
      <c r="R48" s="3442" t="e">
        <f>ROUND(IF(D47="简单平均",AVERAGE(R47:W47),R47*F47+T47*H47+V47*J47),0)</f>
        <v>#DIV/0!</v>
      </c>
      <c r="S48" s="3442"/>
      <c r="T48" s="3442"/>
      <c r="U48" s="3442"/>
      <c r="V48" s="3442"/>
      <c r="W48" s="3442"/>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99" t="s">
        <v>1675</v>
      </c>
      <c r="H55" s="3440"/>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240.83</v>
      </c>
      <c r="F56" s="1345" t="e">
        <f t="shared" ref="F56:F64" si="15">ROUND(B56*E56/10000,0)</f>
        <v>#DIV/0!</v>
      </c>
      <c r="G56" s="3377"/>
      <c r="H56" s="3378"/>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0.7</v>
      </c>
      <c r="D57" s="1143">
        <v>0.25</v>
      </c>
      <c r="E57" s="1144"/>
      <c r="F57" s="1345" t="e">
        <f t="shared" si="15"/>
        <v>#DIV/0!</v>
      </c>
      <c r="G57" s="1145" t="s">
        <v>1680</v>
      </c>
      <c r="H57" s="1146" t="str">
        <f>项目基本情况!B37</f>
        <v>二级</v>
      </c>
      <c r="I57" s="1350">
        <f>SUMIF(修正!A59:A70,H57,修正!B59:B70)</f>
        <v>0.7</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0.4</v>
      </c>
      <c r="D58" s="1143">
        <v>0.25</v>
      </c>
      <c r="E58" s="1144"/>
      <c r="F58" s="1345" t="e">
        <f t="shared" si="15"/>
        <v>#DIV/0!</v>
      </c>
      <c r="G58" s="1147"/>
      <c r="H58" s="1146" t="str">
        <f>项目基本情况!B37</f>
        <v>二级</v>
      </c>
      <c r="I58" s="1350">
        <f>SUMIF(修正!A59:A70,H58,修正!C59:C70)</f>
        <v>0.4</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0.3</v>
      </c>
      <c r="D59" s="1143">
        <v>0.25</v>
      </c>
      <c r="E59" s="1144"/>
      <c r="F59" s="1345" t="e">
        <f t="shared" si="15"/>
        <v>#DIV/0!</v>
      </c>
      <c r="G59" s="1147"/>
      <c r="H59" s="1146" t="str">
        <f>项目基本情况!B37</f>
        <v>二级</v>
      </c>
      <c r="I59" s="1350">
        <f>SUMIF(修正!A59:A70,H59,修正!D59:D70)</f>
        <v>0.3</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v>
      </c>
      <c r="D60" s="1143">
        <v>0.25</v>
      </c>
      <c r="E60" s="359">
        <f>'数据-汇总表'!E11</f>
        <v>0</v>
      </c>
      <c r="F60" s="1345" t="e">
        <f t="shared" si="15"/>
        <v>#DIV/0!</v>
      </c>
      <c r="G60" s="1149" t="s">
        <v>1684</v>
      </c>
      <c r="H60" s="1146">
        <f>项目基本情况!C37</f>
        <v>0</v>
      </c>
      <c r="I60" s="1350">
        <f>SUMIF(修正!A59:A70,H60,修正!E59:E70)</f>
        <v>0</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v>
      </c>
      <c r="D61" s="1143">
        <v>0.25</v>
      </c>
      <c r="E61" s="359">
        <f>'数据-汇总表'!E12</f>
        <v>0</v>
      </c>
      <c r="F61" s="1345" t="e">
        <f t="shared" si="15"/>
        <v>#DIV/0!</v>
      </c>
      <c r="G61" s="1150" t="s">
        <v>1686</v>
      </c>
      <c r="H61" s="1146">
        <f>IF(G61="商业",项目基本情况!B37,IF(G61="办公",项目基本情况!C37,IF(G61="住宅",项目基本情况!D37,项目基本情况!E37)))</f>
        <v>0</v>
      </c>
      <c r="I61" s="1350">
        <f>SUMIF(修正!A59:A70,H61,修正!F59:F70)</f>
        <v>0</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0.2</v>
      </c>
      <c r="D63" s="1143">
        <v>0.25</v>
      </c>
      <c r="E63" s="359">
        <f>'数据-汇总表'!E14</f>
        <v>0</v>
      </c>
      <c r="F63" s="1345" t="e">
        <f t="shared" si="15"/>
        <v>#DIV/0!</v>
      </c>
      <c r="G63" s="1149" t="s">
        <v>1680</v>
      </c>
      <c r="H63" s="1146" t="str">
        <f>项目基本情况!B37</f>
        <v>二级</v>
      </c>
      <c r="I63" s="1350">
        <f>SUMIF(修正!A59:A70,H63,修正!G59:G70)</f>
        <v>0.2</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v>
      </c>
      <c r="D64" s="1143">
        <v>0.25</v>
      </c>
      <c r="E64" s="359">
        <f>'数据-汇总表'!E15</f>
        <v>0</v>
      </c>
      <c r="F64" s="1345" t="e">
        <f t="shared" si="15"/>
        <v>#DIV/0!</v>
      </c>
      <c r="G64" s="1151" t="s">
        <v>1684</v>
      </c>
      <c r="H64" s="1152">
        <f>项目基本情况!C37</f>
        <v>0</v>
      </c>
      <c r="I64" s="1353">
        <f>SUMIF(修正!A59:A70,H64,修正!G59:G70)</f>
        <v>0</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3.2">
      <c r="A65" s="1153" t="s">
        <v>1691</v>
      </c>
      <c r="B65" s="1154" t="s">
        <v>1692</v>
      </c>
      <c r="C65" s="1154" t="s">
        <v>1692</v>
      </c>
      <c r="D65" s="1154" t="s">
        <v>1692</v>
      </c>
      <c r="E65" s="1154">
        <f>IF(B46="楼面地价",SUM(E56:E64),'数据-汇总表'!D3)</f>
        <v>240.83</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2025-9-1</v>
      </c>
      <c r="D67" s="1160">
        <f>EDATE(C67,-3)</f>
        <v>45809</v>
      </c>
      <c r="E67" s="1160">
        <f>EDATE(D67,-3)</f>
        <v>45717</v>
      </c>
      <c r="F67" s="1160">
        <f t="shared" ref="F67:O67" si="18">EDATE(E67,-3)</f>
        <v>45627</v>
      </c>
      <c r="G67" s="1160">
        <f t="shared" si="18"/>
        <v>45536</v>
      </c>
      <c r="H67" s="1160">
        <f t="shared" si="18"/>
        <v>45444</v>
      </c>
      <c r="I67" s="1160">
        <f t="shared" si="18"/>
        <v>45352</v>
      </c>
      <c r="J67" s="1160">
        <f t="shared" si="18"/>
        <v>45261</v>
      </c>
      <c r="K67" s="1160">
        <f t="shared" si="18"/>
        <v>45170</v>
      </c>
      <c r="L67" s="1160">
        <f t="shared" si="18"/>
        <v>45078</v>
      </c>
      <c r="M67" s="1160">
        <f t="shared" si="18"/>
        <v>44986</v>
      </c>
      <c r="N67" s="1160">
        <f t="shared" si="18"/>
        <v>44896</v>
      </c>
      <c r="O67" s="1160">
        <f t="shared" si="18"/>
        <v>44805</v>
      </c>
      <c r="P67" s="1122"/>
      <c r="Q67" s="1122"/>
      <c r="R67" s="1122"/>
      <c r="S67" s="1122"/>
      <c r="T67" s="1122"/>
      <c r="U67" s="1122"/>
      <c r="V67" s="1122"/>
      <c r="W67" s="1122"/>
      <c r="X67" s="1122"/>
      <c r="Y67" s="1122"/>
      <c r="Z67" s="1122"/>
      <c r="AA67" s="1122"/>
      <c r="AB67" s="1122"/>
      <c r="AC67" s="1122"/>
    </row>
    <row r="68" spans="1:29" ht="21.6">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4.4">
      <c r="A69" s="1230" t="s">
        <v>1693</v>
      </c>
      <c r="B69" s="1231"/>
      <c r="C69" s="1232" t="str">
        <f>YEAR(C67)&amp;"-"&amp;ROUNDUP(MONTH(C67)/3,0)</f>
        <v>2025-3</v>
      </c>
      <c r="D69" s="1232" t="str">
        <f>YEAR(D67)&amp;"-"&amp;ROUNDUP(MONTH(D67)/3,0)</f>
        <v>2025-2</v>
      </c>
      <c r="E69" s="1232" t="str">
        <f t="shared" ref="E69:O69" si="19">YEAR(E67)&amp;"-"&amp;ROUNDUP(MONTH(E67)/3,0)</f>
        <v>2025-1</v>
      </c>
      <c r="F69" s="1232" t="str">
        <f t="shared" si="19"/>
        <v>2024-4</v>
      </c>
      <c r="G69" s="1232" t="str">
        <f t="shared" si="19"/>
        <v>2024-3</v>
      </c>
      <c r="H69" s="1232" t="str">
        <f t="shared" si="19"/>
        <v>2024-2</v>
      </c>
      <c r="I69" s="1232" t="str">
        <f t="shared" si="19"/>
        <v>2024-1</v>
      </c>
      <c r="J69" s="1232" t="str">
        <f t="shared" si="19"/>
        <v>2023-4</v>
      </c>
      <c r="K69" s="1232" t="str">
        <f t="shared" si="19"/>
        <v>2023-3</v>
      </c>
      <c r="L69" s="1232" t="str">
        <f t="shared" si="19"/>
        <v>2023-2</v>
      </c>
      <c r="M69" s="1232" t="str">
        <f t="shared" si="19"/>
        <v>2023-1</v>
      </c>
      <c r="N69" s="1232" t="str">
        <f t="shared" si="19"/>
        <v>2022-4</v>
      </c>
      <c r="O69" s="1232" t="str">
        <f t="shared" si="19"/>
        <v>2022-3</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4.4">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4.4">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ht="14.4">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8.8">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4.4">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ht="14.4">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4.4">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4.4">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4.4">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28.8">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8.8">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4.4">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4.4">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4.4">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8.8">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4.4">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ht="14.4">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ht="14.4">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ht="14.4">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ht="14.4">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ht="14.4">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32031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4.4">
      <c r="A4" s="1027" t="s">
        <v>1378</v>
      </c>
      <c r="B4" s="1028"/>
      <c r="C4" s="3399" t="s">
        <v>1379</v>
      </c>
      <c r="D4" s="3400"/>
      <c r="E4" s="3401" t="s">
        <v>1380</v>
      </c>
      <c r="F4" s="3402"/>
      <c r="G4" s="3399" t="s">
        <v>1381</v>
      </c>
      <c r="H4" s="3400"/>
      <c r="I4" s="3399" t="s">
        <v>1382</v>
      </c>
      <c r="J4" s="3400"/>
      <c r="K4" s="1171" t="s">
        <v>1383</v>
      </c>
      <c r="L4" s="1172"/>
      <c r="M4" s="1122"/>
      <c r="N4" s="1122"/>
      <c r="O4" s="1122"/>
      <c r="P4" s="3408" t="s">
        <v>1384</v>
      </c>
      <c r="Q4" s="3409"/>
      <c r="R4" s="3412" t="s">
        <v>1380</v>
      </c>
      <c r="S4" s="3413"/>
      <c r="T4" s="3412" t="s">
        <v>1381</v>
      </c>
      <c r="U4" s="3413"/>
      <c r="V4" s="3376" t="s">
        <v>1382</v>
      </c>
      <c r="W4" s="3376"/>
      <c r="X4" s="1214"/>
      <c r="Y4" s="3412" t="s">
        <v>1384</v>
      </c>
      <c r="Z4" s="3413"/>
      <c r="AA4" s="3407" t="s">
        <v>1380</v>
      </c>
      <c r="AB4" s="3358" t="s">
        <v>1381</v>
      </c>
      <c r="AC4" s="3407" t="s">
        <v>1382</v>
      </c>
    </row>
    <row r="5" spans="1:29">
      <c r="A5" s="1029"/>
      <c r="B5" s="1030"/>
      <c r="C5" s="3403" t="s">
        <v>1385</v>
      </c>
      <c r="D5" s="3404"/>
      <c r="E5" s="3405" t="s">
        <v>1386</v>
      </c>
      <c r="F5" s="3406"/>
      <c r="G5" s="3403" t="s">
        <v>1387</v>
      </c>
      <c r="H5" s="3404"/>
      <c r="I5" s="3403" t="s">
        <v>1388</v>
      </c>
      <c r="J5" s="3404"/>
      <c r="K5" s="1171"/>
      <c r="L5" s="1172"/>
      <c r="M5" s="1122"/>
      <c r="N5" s="1122"/>
      <c r="O5" s="1122"/>
      <c r="P5" s="3410"/>
      <c r="Q5" s="3366"/>
      <c r="R5" s="3371"/>
      <c r="S5" s="3372"/>
      <c r="T5" s="3371"/>
      <c r="U5" s="3372"/>
      <c r="V5" s="3376"/>
      <c r="W5" s="3376"/>
      <c r="X5" s="1214"/>
      <c r="Y5" s="3371"/>
      <c r="Z5" s="3372"/>
      <c r="AA5" s="3358"/>
      <c r="AB5" s="3358"/>
      <c r="AC5" s="3358"/>
    </row>
    <row r="6" spans="1:29" ht="14.4">
      <c r="A6" s="1031"/>
      <c r="B6" s="1032"/>
      <c r="C6" s="3443" t="s">
        <v>1699</v>
      </c>
      <c r="D6" s="3444"/>
      <c r="E6" s="3445" t="s">
        <v>1699</v>
      </c>
      <c r="F6" s="3446"/>
      <c r="G6" s="3443" t="s">
        <v>1699</v>
      </c>
      <c r="H6" s="3444"/>
      <c r="I6" s="3443" t="s">
        <v>1699</v>
      </c>
      <c r="J6" s="3444"/>
      <c r="K6" s="1171" t="s">
        <v>1390</v>
      </c>
      <c r="L6" s="1172"/>
      <c r="M6" s="1122"/>
      <c r="N6" s="1122"/>
      <c r="O6" s="1122"/>
      <c r="P6" s="3411"/>
      <c r="Q6" s="3368"/>
      <c r="R6" s="3371"/>
      <c r="S6" s="3372"/>
      <c r="T6" s="3373"/>
      <c r="U6" s="3374"/>
      <c r="V6" s="3376"/>
      <c r="W6" s="3376"/>
      <c r="X6" s="1214"/>
      <c r="Y6" s="3373"/>
      <c r="Z6" s="3374"/>
      <c r="AA6" s="3359"/>
      <c r="AB6" s="3359"/>
      <c r="AC6" s="3359"/>
    </row>
    <row r="7" spans="1:29" s="1008" customFormat="1" ht="14.4">
      <c r="A7" s="1033" t="s">
        <v>1391</v>
      </c>
      <c r="B7" s="1034"/>
      <c r="C7" s="1035">
        <f>'数据-取费表'!B2</f>
        <v>45924</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82" t="s">
        <v>1392</v>
      </c>
      <c r="Q7" s="3398"/>
      <c r="R7" s="1215" t="s">
        <v>1393</v>
      </c>
      <c r="S7" s="1216">
        <f t="shared" ref="S7:S15" si="0">F7</f>
        <v>0</v>
      </c>
      <c r="T7" s="1215" t="s">
        <v>1393</v>
      </c>
      <c r="U7" s="1216">
        <f t="shared" ref="U7:U15" si="1">H7</f>
        <v>0</v>
      </c>
      <c r="V7" s="1215" t="s">
        <v>1393</v>
      </c>
      <c r="W7" s="1216">
        <f t="shared" ref="W7:W15" si="2">J7</f>
        <v>0</v>
      </c>
      <c r="X7" s="1217"/>
      <c r="Y7" s="3382" t="s">
        <v>1392</v>
      </c>
      <c r="Z7" s="3383"/>
      <c r="AA7" s="1227" t="e">
        <f>D7/F7</f>
        <v>#DIV/0!</v>
      </c>
      <c r="AB7" s="1227" t="e">
        <f>D7/H7</f>
        <v>#DIV/0!</v>
      </c>
      <c r="AC7" s="1227" t="e">
        <f>D7/J7</f>
        <v>#DIV/0!</v>
      </c>
    </row>
    <row r="8" spans="1:29" s="1008" customFormat="1" ht="14.4">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82" t="s">
        <v>1397</v>
      </c>
      <c r="Q8" s="3383"/>
      <c r="R8" s="1215" t="s">
        <v>1393</v>
      </c>
      <c r="S8" s="1216">
        <f t="shared" si="0"/>
        <v>0</v>
      </c>
      <c r="T8" s="1215" t="s">
        <v>1393</v>
      </c>
      <c r="U8" s="1216">
        <f t="shared" si="1"/>
        <v>0</v>
      </c>
      <c r="V8" s="1215" t="s">
        <v>1393</v>
      </c>
      <c r="W8" s="1216">
        <f t="shared" si="2"/>
        <v>0</v>
      </c>
      <c r="X8" s="1217"/>
      <c r="Y8" s="3382" t="s">
        <v>1397</v>
      </c>
      <c r="Z8" s="3383"/>
      <c r="AA8" s="1227" t="e">
        <f t="shared" ref="AA8:AA40" si="3">D8/F8</f>
        <v>#DIV/0!</v>
      </c>
      <c r="AB8" s="1227" t="e">
        <f t="shared" ref="AB8:AB40" si="4">D8/H8</f>
        <v>#DIV/0!</v>
      </c>
      <c r="AC8" s="1227" t="e">
        <f t="shared" ref="AC8:AC40" si="5">D8/J8</f>
        <v>#DIV/0!</v>
      </c>
    </row>
    <row r="9" spans="1:29" s="1008" customFormat="1" ht="14.4">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78" t="s">
        <v>1400</v>
      </c>
      <c r="Q9" s="794" t="str">
        <f t="shared" ref="Q9:Q15" si="6">B9</f>
        <v>用途</v>
      </c>
      <c r="R9" s="1215" t="s">
        <v>1393</v>
      </c>
      <c r="S9" s="1216">
        <f t="shared" si="0"/>
        <v>100</v>
      </c>
      <c r="T9" s="1215" t="s">
        <v>1393</v>
      </c>
      <c r="U9" s="1216">
        <f t="shared" si="1"/>
        <v>100</v>
      </c>
      <c r="V9" s="1215" t="s">
        <v>1393</v>
      </c>
      <c r="W9" s="1216">
        <f t="shared" si="2"/>
        <v>100</v>
      </c>
      <c r="X9" s="1217"/>
      <c r="Y9" s="3264" t="s">
        <v>1401</v>
      </c>
      <c r="Z9" s="1227" t="str">
        <f t="shared" ref="Z9:Z15" si="7">Q9</f>
        <v>用途</v>
      </c>
      <c r="AA9" s="1227">
        <f t="shared" si="3"/>
        <v>1</v>
      </c>
      <c r="AB9" s="1227">
        <f t="shared" si="4"/>
        <v>1</v>
      </c>
      <c r="AC9" s="1227">
        <f t="shared" si="5"/>
        <v>1</v>
      </c>
    </row>
    <row r="10" spans="1:29" s="1009" customFormat="1" ht="28.8">
      <c r="A10" s="1045"/>
      <c r="B10" s="1046" t="s">
        <v>1402</v>
      </c>
      <c r="C10" s="1047"/>
      <c r="D10" s="1048">
        <v>100</v>
      </c>
      <c r="E10" s="1047"/>
      <c r="F10" s="1048">
        <f>ROUND(100/'数据-取费表'!G16,0)</f>
        <v>158</v>
      </c>
      <c r="G10" s="1047"/>
      <c r="H10" s="1048">
        <f>ROUND(100/'数据-取费表'!G16,0)</f>
        <v>158</v>
      </c>
      <c r="I10" s="1047"/>
      <c r="J10" s="1048">
        <f>ROUND(100/'数据-取费表'!G16,0)</f>
        <v>158</v>
      </c>
      <c r="K10" s="1177"/>
      <c r="L10" s="1178"/>
      <c r="M10" s="1179"/>
      <c r="N10" s="1179"/>
      <c r="O10" s="1180"/>
      <c r="P10" s="3378"/>
      <c r="Q10" s="794" t="str">
        <f t="shared" si="6"/>
        <v>土地使用年限（年）</v>
      </c>
      <c r="R10" s="1215" t="s">
        <v>1393</v>
      </c>
      <c r="S10" s="1216">
        <f t="shared" si="0"/>
        <v>158</v>
      </c>
      <c r="T10" s="1215" t="s">
        <v>1393</v>
      </c>
      <c r="U10" s="1216">
        <f t="shared" si="1"/>
        <v>158</v>
      </c>
      <c r="V10" s="1215" t="s">
        <v>1393</v>
      </c>
      <c r="W10" s="1216">
        <f t="shared" si="2"/>
        <v>158</v>
      </c>
      <c r="X10" s="1217"/>
      <c r="Y10" s="3264"/>
      <c r="Z10" s="1227" t="str">
        <f t="shared" si="7"/>
        <v>土地使用年限（年）</v>
      </c>
      <c r="AA10" s="1227">
        <f t="shared" si="3"/>
        <v>0.63291139240506333</v>
      </c>
      <c r="AB10" s="1227">
        <f t="shared" si="4"/>
        <v>0.63291139240506333</v>
      </c>
      <c r="AC10" s="1227">
        <f t="shared" si="5"/>
        <v>0.63291139240506333</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78"/>
      <c r="Q11" s="794" t="str">
        <f t="shared" si="6"/>
        <v>容积率</v>
      </c>
      <c r="R11" s="1215" t="s">
        <v>1393</v>
      </c>
      <c r="S11" s="1216" t="e">
        <f t="shared" si="0"/>
        <v>#N/A</v>
      </c>
      <c r="T11" s="1215" t="s">
        <v>1393</v>
      </c>
      <c r="U11" s="1216" t="e">
        <f t="shared" si="1"/>
        <v>#N/A</v>
      </c>
      <c r="V11" s="1215" t="s">
        <v>1393</v>
      </c>
      <c r="W11" s="1216" t="e">
        <f t="shared" si="2"/>
        <v>#N/A</v>
      </c>
      <c r="X11" s="1217"/>
      <c r="Y11" s="3264"/>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78"/>
      <c r="Q12" s="794">
        <f t="shared" si="6"/>
        <v>111</v>
      </c>
      <c r="R12" s="1215" t="s">
        <v>1393</v>
      </c>
      <c r="S12" s="1216">
        <f t="shared" si="0"/>
        <v>100</v>
      </c>
      <c r="T12" s="1215" t="s">
        <v>1393</v>
      </c>
      <c r="U12" s="1216">
        <f t="shared" si="1"/>
        <v>100</v>
      </c>
      <c r="V12" s="1215" t="s">
        <v>1393</v>
      </c>
      <c r="W12" s="1216">
        <f t="shared" si="2"/>
        <v>100</v>
      </c>
      <c r="X12" s="1217"/>
      <c r="Y12" s="3264"/>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264"/>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78"/>
      <c r="Q14" s="794">
        <f t="shared" si="6"/>
        <v>111</v>
      </c>
      <c r="R14" s="1215" t="s">
        <v>1393</v>
      </c>
      <c r="S14" s="1216">
        <f t="shared" si="0"/>
        <v>100</v>
      </c>
      <c r="T14" s="1215" t="s">
        <v>1393</v>
      </c>
      <c r="U14" s="1216">
        <f t="shared" si="1"/>
        <v>100</v>
      </c>
      <c r="V14" s="1215" t="s">
        <v>1393</v>
      </c>
      <c r="W14" s="1216">
        <f t="shared" si="2"/>
        <v>100</v>
      </c>
      <c r="X14" s="1217"/>
      <c r="Y14" s="3264"/>
      <c r="Z14" s="1227">
        <f t="shared" si="7"/>
        <v>111</v>
      </c>
      <c r="AA14" s="1227">
        <f t="shared" si="3"/>
        <v>1</v>
      </c>
      <c r="AB14" s="1227">
        <f t="shared" si="4"/>
        <v>1</v>
      </c>
      <c r="AC14" s="1227">
        <f t="shared" si="5"/>
        <v>1</v>
      </c>
    </row>
    <row r="15" spans="1:29" ht="69">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90" t="s">
        <v>1406</v>
      </c>
      <c r="Q15" s="625" t="str">
        <f t="shared" si="6"/>
        <v>产业集聚程度</v>
      </c>
      <c r="R15" s="1219" t="s">
        <v>1393</v>
      </c>
      <c r="S15" s="1220">
        <f t="shared" si="0"/>
        <v>100</v>
      </c>
      <c r="T15" s="1219" t="s">
        <v>1393</v>
      </c>
      <c r="U15" s="1220">
        <f t="shared" si="1"/>
        <v>100</v>
      </c>
      <c r="V15" s="1219" t="s">
        <v>1393</v>
      </c>
      <c r="W15" s="1220">
        <f t="shared" si="2"/>
        <v>100</v>
      </c>
      <c r="X15" s="1214"/>
      <c r="Y15" s="3390"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91"/>
      <c r="Q16" s="625"/>
      <c r="R16" s="1219"/>
      <c r="S16" s="1220"/>
      <c r="T16" s="1219"/>
      <c r="U16" s="1220"/>
      <c r="V16" s="1219"/>
      <c r="W16" s="1220"/>
      <c r="X16" s="1214"/>
      <c r="Y16" s="3391"/>
      <c r="Z16" s="1204"/>
      <c r="AA16" s="1204">
        <v>1</v>
      </c>
      <c r="AB16" s="1204">
        <v>1</v>
      </c>
      <c r="AC16" s="1204">
        <v>1</v>
      </c>
    </row>
    <row r="17" spans="1:29" ht="96.6">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91"/>
      <c r="Q17" s="625" t="str">
        <f>B17</f>
        <v>交通便捷度</v>
      </c>
      <c r="R17" s="1219" t="s">
        <v>1393</v>
      </c>
      <c r="S17" s="1220">
        <f>F17</f>
        <v>100</v>
      </c>
      <c r="T17" s="1219" t="s">
        <v>1393</v>
      </c>
      <c r="U17" s="1220">
        <f>H17</f>
        <v>100</v>
      </c>
      <c r="V17" s="1219" t="s">
        <v>1393</v>
      </c>
      <c r="W17" s="1220">
        <f>J17</f>
        <v>100</v>
      </c>
      <c r="X17" s="1214"/>
      <c r="Y17" s="3391"/>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91"/>
      <c r="Q18" s="625"/>
      <c r="R18" s="1219"/>
      <c r="S18" s="1220"/>
      <c r="T18" s="1219"/>
      <c r="U18" s="1220"/>
      <c r="V18" s="1219"/>
      <c r="W18" s="1220"/>
      <c r="X18" s="1214"/>
      <c r="Y18" s="3391"/>
      <c r="Z18" s="1204"/>
      <c r="AA18" s="1204">
        <v>1</v>
      </c>
      <c r="AB18" s="1204">
        <v>1</v>
      </c>
      <c r="AC18" s="1204">
        <v>1</v>
      </c>
    </row>
    <row r="19" spans="1:29" ht="28.8">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91"/>
      <c r="Q19" s="625" t="str">
        <f t="shared" ref="Q19:Q34" si="8">B19</f>
        <v>区域土地利用方向</v>
      </c>
      <c r="R19" s="1219" t="s">
        <v>1393</v>
      </c>
      <c r="S19" s="1220">
        <f>F19</f>
        <v>100</v>
      </c>
      <c r="T19" s="1219" t="s">
        <v>1393</v>
      </c>
      <c r="U19" s="1220">
        <f>H19</f>
        <v>100</v>
      </c>
      <c r="V19" s="1219" t="s">
        <v>1393</v>
      </c>
      <c r="W19" s="1220">
        <f>J19</f>
        <v>100</v>
      </c>
      <c r="X19" s="1214"/>
      <c r="Y19" s="3391"/>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91"/>
      <c r="Q20" s="625"/>
      <c r="R20" s="1219"/>
      <c r="S20" s="1220"/>
      <c r="T20" s="1219"/>
      <c r="U20" s="1220"/>
      <c r="V20" s="1219"/>
      <c r="W20" s="1220"/>
      <c r="X20" s="1214"/>
      <c r="Y20" s="3391"/>
      <c r="Z20" s="1204"/>
      <c r="AA20" s="1204"/>
      <c r="AB20" s="1204"/>
      <c r="AC20" s="1204"/>
    </row>
    <row r="21" spans="1:29" ht="82.8">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91"/>
      <c r="Q21" s="625" t="str">
        <f t="shared" si="8"/>
        <v>环境状况</v>
      </c>
      <c r="R21" s="1219" t="s">
        <v>1393</v>
      </c>
      <c r="S21" s="1220">
        <f>F21</f>
        <v>100</v>
      </c>
      <c r="T21" s="1219" t="s">
        <v>1393</v>
      </c>
      <c r="U21" s="1220">
        <f>H21</f>
        <v>100</v>
      </c>
      <c r="V21" s="1219" t="s">
        <v>1393</v>
      </c>
      <c r="W21" s="1220">
        <f>J21</f>
        <v>100</v>
      </c>
      <c r="X21" s="1214"/>
      <c r="Y21" s="3391"/>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91"/>
      <c r="Q22" s="625"/>
      <c r="R22" s="1219"/>
      <c r="S22" s="1220"/>
      <c r="T22" s="1219"/>
      <c r="U22" s="1220"/>
      <c r="V22" s="1219"/>
      <c r="W22" s="1220"/>
      <c r="X22" s="1214"/>
      <c r="Y22" s="3391"/>
      <c r="Z22" s="1204"/>
      <c r="AA22" s="1204">
        <v>1</v>
      </c>
      <c r="AB22" s="1204">
        <v>1</v>
      </c>
      <c r="AC22" s="1204">
        <v>1</v>
      </c>
    </row>
    <row r="23" spans="1:29" s="1008" customFormat="1" ht="41.4">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91"/>
      <c r="Q23" s="794" t="str">
        <f t="shared" si="8"/>
        <v>公共配套设施</v>
      </c>
      <c r="R23" s="1215" t="s">
        <v>1393</v>
      </c>
      <c r="S23" s="1216">
        <f>F23</f>
        <v>100</v>
      </c>
      <c r="T23" s="1215" t="s">
        <v>1393</v>
      </c>
      <c r="U23" s="1216">
        <f>H23</f>
        <v>100</v>
      </c>
      <c r="V23" s="1215" t="s">
        <v>1393</v>
      </c>
      <c r="W23" s="1216">
        <f>J23</f>
        <v>100</v>
      </c>
      <c r="X23" s="1217"/>
      <c r="Y23" s="3391"/>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91"/>
      <c r="Q24" s="794"/>
      <c r="R24" s="1215"/>
      <c r="S24" s="1216"/>
      <c r="T24" s="1215"/>
      <c r="U24" s="1216"/>
      <c r="V24" s="1215"/>
      <c r="W24" s="1216"/>
      <c r="X24" s="1217"/>
      <c r="Y24" s="3391"/>
      <c r="Z24" s="1227"/>
      <c r="AA24" s="1227">
        <v>1</v>
      </c>
      <c r="AB24" s="1227">
        <v>1</v>
      </c>
      <c r="AC24" s="1227">
        <v>1</v>
      </c>
    </row>
    <row r="25" spans="1:29" s="1008" customFormat="1" ht="41.4">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91"/>
      <c r="Q25" s="794" t="str">
        <f t="shared" ref="Q25" si="9">B25</f>
        <v>基础设施水平</v>
      </c>
      <c r="R25" s="1215" t="s">
        <v>1393</v>
      </c>
      <c r="S25" s="1216">
        <f>F25</f>
        <v>100</v>
      </c>
      <c r="T25" s="1215" t="s">
        <v>1393</v>
      </c>
      <c r="U25" s="1216">
        <f>H25</f>
        <v>100</v>
      </c>
      <c r="V25" s="1215" t="s">
        <v>1393</v>
      </c>
      <c r="W25" s="1216">
        <f>J25</f>
        <v>100</v>
      </c>
      <c r="X25" s="1217"/>
      <c r="Y25" s="3391"/>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91"/>
      <c r="Q26" s="794"/>
      <c r="R26" s="1215"/>
      <c r="S26" s="1216"/>
      <c r="T26" s="1215"/>
      <c r="U26" s="1216"/>
      <c r="V26" s="1215"/>
      <c r="W26" s="1216"/>
      <c r="X26" s="1217"/>
      <c r="Y26" s="3391"/>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91"/>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91"/>
      <c r="Z27" s="1204" t="str">
        <f t="shared" ref="Z27:Z40" si="13">Q27</f>
        <v>临街状况</v>
      </c>
      <c r="AA27" s="1204">
        <f t="shared" si="3"/>
        <v>1</v>
      </c>
      <c r="AB27" s="1204">
        <f t="shared" si="4"/>
        <v>1</v>
      </c>
      <c r="AC27" s="1204">
        <f t="shared" si="5"/>
        <v>1</v>
      </c>
    </row>
    <row r="28" spans="1:29" ht="28.8">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91"/>
      <c r="Q28" s="625" t="str">
        <f t="shared" si="8"/>
        <v>毗邻道路的类型与等级</v>
      </c>
      <c r="R28" s="1219" t="s">
        <v>1393</v>
      </c>
      <c r="S28" s="1220">
        <f t="shared" si="10"/>
        <v>100</v>
      </c>
      <c r="T28" s="1219" t="s">
        <v>1393</v>
      </c>
      <c r="U28" s="1220">
        <f t="shared" si="11"/>
        <v>100</v>
      </c>
      <c r="V28" s="1219" t="s">
        <v>1393</v>
      </c>
      <c r="W28" s="1220">
        <f t="shared" si="12"/>
        <v>100</v>
      </c>
      <c r="X28" s="1214"/>
      <c r="Y28" s="3391"/>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91"/>
      <c r="Q29" s="625"/>
      <c r="R29" s="1219"/>
      <c r="S29" s="1220"/>
      <c r="T29" s="1219"/>
      <c r="U29" s="1220"/>
      <c r="V29" s="1219"/>
      <c r="W29" s="1220"/>
      <c r="X29" s="1214"/>
      <c r="Y29" s="3391"/>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91"/>
      <c r="Q30" s="625" t="str">
        <f t="shared" si="8"/>
        <v>土地级别</v>
      </c>
      <c r="R30" s="1219" t="s">
        <v>1393</v>
      </c>
      <c r="S30" s="1220">
        <f t="shared" si="10"/>
        <v>100</v>
      </c>
      <c r="T30" s="1219" t="s">
        <v>1393</v>
      </c>
      <c r="U30" s="1220">
        <f t="shared" si="11"/>
        <v>100</v>
      </c>
      <c r="V30" s="1219" t="s">
        <v>1393</v>
      </c>
      <c r="W30" s="1220">
        <f t="shared" si="12"/>
        <v>100</v>
      </c>
      <c r="X30" s="1214"/>
      <c r="Y30" s="3391"/>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91"/>
      <c r="Q31" s="625">
        <f t="shared" si="8"/>
        <v>111</v>
      </c>
      <c r="R31" s="1219" t="s">
        <v>1393</v>
      </c>
      <c r="S31" s="1220">
        <f t="shared" si="10"/>
        <v>100</v>
      </c>
      <c r="T31" s="1219" t="s">
        <v>1393</v>
      </c>
      <c r="U31" s="1220">
        <f t="shared" si="11"/>
        <v>100</v>
      </c>
      <c r="V31" s="1219" t="s">
        <v>1393</v>
      </c>
      <c r="W31" s="1220">
        <f t="shared" si="12"/>
        <v>100</v>
      </c>
      <c r="X31" s="1214"/>
      <c r="Y31" s="3391"/>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38" t="s">
        <v>1421</v>
      </c>
      <c r="Q32" s="625">
        <f t="shared" si="8"/>
        <v>111</v>
      </c>
      <c r="R32" s="1219" t="s">
        <v>1393</v>
      </c>
      <c r="S32" s="1220">
        <f t="shared" si="10"/>
        <v>100</v>
      </c>
      <c r="T32" s="1219" t="s">
        <v>1393</v>
      </c>
      <c r="U32" s="1220">
        <f t="shared" si="11"/>
        <v>100</v>
      </c>
      <c r="V32" s="1219" t="s">
        <v>1393</v>
      </c>
      <c r="W32" s="1220">
        <f t="shared" si="12"/>
        <v>100</v>
      </c>
      <c r="X32" s="1214"/>
      <c r="Y32" s="3392"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92"/>
      <c r="Q33" s="625">
        <f t="shared" si="8"/>
        <v>111</v>
      </c>
      <c r="R33" s="1221" t="s">
        <v>1393</v>
      </c>
      <c r="S33" s="1222">
        <f t="shared" si="10"/>
        <v>100</v>
      </c>
      <c r="T33" s="1221" t="s">
        <v>1393</v>
      </c>
      <c r="U33" s="1222">
        <f t="shared" si="11"/>
        <v>100</v>
      </c>
      <c r="V33" s="1221" t="s">
        <v>1393</v>
      </c>
      <c r="W33" s="1222">
        <f t="shared" si="12"/>
        <v>100</v>
      </c>
      <c r="X33" s="1223"/>
      <c r="Y33" s="3392"/>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92"/>
      <c r="Q34" s="625" t="str">
        <f t="shared" si="8"/>
        <v>宗地面积</v>
      </c>
      <c r="R34" s="1219" t="s">
        <v>1393</v>
      </c>
      <c r="S34" s="1220" t="e">
        <f t="shared" si="10"/>
        <v>#N/A</v>
      </c>
      <c r="T34" s="1219" t="s">
        <v>1393</v>
      </c>
      <c r="U34" s="1220" t="e">
        <f t="shared" si="11"/>
        <v>#N/A</v>
      </c>
      <c r="V34" s="1219" t="s">
        <v>1393</v>
      </c>
      <c r="W34" s="1220" t="e">
        <f t="shared" si="12"/>
        <v>#N/A</v>
      </c>
      <c r="X34" s="1214"/>
      <c r="Y34" s="3392"/>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92"/>
      <c r="Q35" s="625" t="str">
        <f t="shared" ref="Q35:Q40" si="14">B35</f>
        <v>宗地形状</v>
      </c>
      <c r="R35" s="1219" t="s">
        <v>1393</v>
      </c>
      <c r="S35" s="1220">
        <f t="shared" si="10"/>
        <v>100</v>
      </c>
      <c r="T35" s="1219" t="s">
        <v>1393</v>
      </c>
      <c r="U35" s="1220">
        <f t="shared" si="11"/>
        <v>100</v>
      </c>
      <c r="V35" s="1219" t="s">
        <v>1393</v>
      </c>
      <c r="W35" s="1220">
        <f t="shared" si="12"/>
        <v>100</v>
      </c>
      <c r="X35" s="1214"/>
      <c r="Y35" s="3392"/>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92"/>
      <c r="Q36" s="625" t="str">
        <f t="shared" si="14"/>
        <v>宗地开发程度</v>
      </c>
      <c r="R36" s="1215" t="s">
        <v>1393</v>
      </c>
      <c r="S36" s="1216">
        <f t="shared" si="10"/>
        <v>100</v>
      </c>
      <c r="T36" s="1215" t="s">
        <v>1393</v>
      </c>
      <c r="U36" s="1216">
        <f t="shared" si="11"/>
        <v>100</v>
      </c>
      <c r="V36" s="1215" t="s">
        <v>1393</v>
      </c>
      <c r="W36" s="1216">
        <f t="shared" si="12"/>
        <v>100</v>
      </c>
      <c r="X36" s="1217"/>
      <c r="Y36" s="3392"/>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92" t="s">
        <v>1421</v>
      </c>
      <c r="Q37" s="625" t="str">
        <f t="shared" si="14"/>
        <v>工程地质条件</v>
      </c>
      <c r="R37" s="1219" t="s">
        <v>1393</v>
      </c>
      <c r="S37" s="1220">
        <f t="shared" si="10"/>
        <v>100</v>
      </c>
      <c r="T37" s="1219" t="s">
        <v>1393</v>
      </c>
      <c r="U37" s="1220">
        <f t="shared" si="11"/>
        <v>100</v>
      </c>
      <c r="V37" s="1219" t="s">
        <v>1393</v>
      </c>
      <c r="W37" s="1220">
        <f t="shared" si="12"/>
        <v>100</v>
      </c>
      <c r="X37" s="1214"/>
      <c r="Y37" s="3392"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92"/>
      <c r="Q38" s="625">
        <f t="shared" si="14"/>
        <v>111</v>
      </c>
      <c r="R38" s="1219" t="s">
        <v>1393</v>
      </c>
      <c r="S38" s="1220">
        <f t="shared" si="10"/>
        <v>100</v>
      </c>
      <c r="T38" s="1219" t="s">
        <v>1393</v>
      </c>
      <c r="U38" s="1220">
        <f t="shared" si="11"/>
        <v>100</v>
      </c>
      <c r="V38" s="1219" t="s">
        <v>1393</v>
      </c>
      <c r="W38" s="1220">
        <f t="shared" si="12"/>
        <v>100</v>
      </c>
      <c r="X38" s="1214"/>
      <c r="Y38" s="3392"/>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92"/>
      <c r="Q39" s="625">
        <f t="shared" si="14"/>
        <v>111</v>
      </c>
      <c r="R39" s="1219" t="s">
        <v>1393</v>
      </c>
      <c r="S39" s="1220">
        <f t="shared" si="10"/>
        <v>100</v>
      </c>
      <c r="T39" s="1219" t="s">
        <v>1393</v>
      </c>
      <c r="U39" s="1220">
        <f t="shared" si="11"/>
        <v>100</v>
      </c>
      <c r="V39" s="1219" t="s">
        <v>1393</v>
      </c>
      <c r="W39" s="1220">
        <f t="shared" si="12"/>
        <v>100</v>
      </c>
      <c r="X39" s="1214"/>
      <c r="Y39" s="3392"/>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92"/>
      <c r="Q40" s="625">
        <f t="shared" si="14"/>
        <v>111</v>
      </c>
      <c r="R40" s="1221" t="s">
        <v>1393</v>
      </c>
      <c r="S40" s="1222">
        <f t="shared" si="10"/>
        <v>100</v>
      </c>
      <c r="T40" s="1221" t="s">
        <v>1393</v>
      </c>
      <c r="U40" s="1222">
        <f t="shared" si="11"/>
        <v>100</v>
      </c>
      <c r="V40" s="1221" t="s">
        <v>1393</v>
      </c>
      <c r="W40" s="1222">
        <f t="shared" si="12"/>
        <v>100</v>
      </c>
      <c r="X40" s="1223"/>
      <c r="Y40" s="3392"/>
      <c r="Z40" s="1228">
        <f t="shared" si="13"/>
        <v>111</v>
      </c>
      <c r="AA40" s="1204">
        <f t="shared" si="3"/>
        <v>1</v>
      </c>
      <c r="AB40" s="1204">
        <f t="shared" si="4"/>
        <v>1</v>
      </c>
      <c r="AC40" s="1204">
        <f t="shared" si="5"/>
        <v>1</v>
      </c>
    </row>
    <row r="41" spans="1:31" ht="14.4">
      <c r="A41" s="1105" t="s">
        <v>1648</v>
      </c>
      <c r="B41" s="1106" t="s">
        <v>1701</v>
      </c>
      <c r="C41" s="1107" t="s">
        <v>124</v>
      </c>
      <c r="D41" s="1108"/>
      <c r="E41" s="1109"/>
      <c r="F41" s="1110"/>
      <c r="G41" s="1111"/>
      <c r="H41" s="1112"/>
      <c r="I41" s="1109"/>
      <c r="J41" s="1112"/>
      <c r="K41" s="1195"/>
      <c r="L41" s="1196"/>
      <c r="M41" s="1122"/>
      <c r="N41" s="1122"/>
      <c r="O41" s="1122"/>
      <c r="P41" s="3378" t="str">
        <f>A41</f>
        <v>成交单价</v>
      </c>
      <c r="Q41" s="3378"/>
      <c r="R41" s="3376">
        <f>E41</f>
        <v>0</v>
      </c>
      <c r="S41" s="3376"/>
      <c r="T41" s="3376">
        <f>G41</f>
        <v>0</v>
      </c>
      <c r="U41" s="3376"/>
      <c r="V41" s="3376">
        <f>I41</f>
        <v>0</v>
      </c>
      <c r="W41" s="3376"/>
      <c r="X41" s="1162"/>
      <c r="Y41" s="1229"/>
      <c r="Z41" s="1162"/>
      <c r="AA41" s="1162"/>
      <c r="AB41" s="1162"/>
      <c r="AC41" s="1162"/>
    </row>
    <row r="42" spans="1:31" ht="14.4">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78" t="str">
        <f>A42</f>
        <v>比较价值（元/平方米）</v>
      </c>
      <c r="Q42" s="3378"/>
      <c r="R42" s="3441" t="e">
        <f>ROUND(PRODUCT(R41,AA7:AA40),0)</f>
        <v>#DIV/0!</v>
      </c>
      <c r="S42" s="3441"/>
      <c r="T42" s="3441" t="e">
        <f>ROUND(PRODUCT(T41,AB7:AB40),0)</f>
        <v>#DIV/0!</v>
      </c>
      <c r="U42" s="3441"/>
      <c r="V42" s="3441" t="e">
        <f>ROUND(PRODUCT(V41,AC7:AC40),0)</f>
        <v>#DIV/0!</v>
      </c>
      <c r="W42" s="3441"/>
      <c r="X42" s="1162"/>
      <c r="Y42" s="1162"/>
      <c r="Z42" s="1162"/>
      <c r="AA42" s="1162"/>
      <c r="AB42" s="1162"/>
      <c r="AC42" s="1162"/>
    </row>
    <row r="43" spans="1:31" ht="14.4">
      <c r="A43" s="1119" t="s">
        <v>1440</v>
      </c>
      <c r="B43" s="1120"/>
      <c r="C43" s="1121" t="e">
        <f>R43</f>
        <v>#DIV/0!</v>
      </c>
      <c r="D43" s="1121"/>
      <c r="E43" s="1121"/>
      <c r="F43" s="1121"/>
      <c r="G43" s="1121"/>
      <c r="H43" s="1121"/>
      <c r="I43" s="1121"/>
      <c r="J43" s="1121"/>
      <c r="K43" s="1198"/>
      <c r="L43" s="1196"/>
      <c r="M43" s="1122"/>
      <c r="N43" s="1122"/>
      <c r="O43" s="1122"/>
      <c r="P43" s="3414" t="str">
        <f>A43</f>
        <v>估价对象XX用房的比较价值（楼面单价，元/平方米）</v>
      </c>
      <c r="Q43" s="3415"/>
      <c r="R43" s="3442" t="e">
        <f>ROUND(IF(D42="简单平均",AVERAGE(R42:W42),R42*F42+T42*H42+V42*J42),0)</f>
        <v>#DIV/0!</v>
      </c>
      <c r="S43" s="3442"/>
      <c r="T43" s="3442"/>
      <c r="U43" s="3442"/>
      <c r="V43" s="3442"/>
      <c r="W43" s="3442"/>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8.8">
      <c r="A50" s="1131" t="s">
        <v>1669</v>
      </c>
      <c r="B50" s="1132" t="s">
        <v>1670</v>
      </c>
      <c r="C50" s="1133" t="s">
        <v>1671</v>
      </c>
      <c r="D50" s="1134" t="s">
        <v>1672</v>
      </c>
      <c r="E50" s="1135" t="s">
        <v>1673</v>
      </c>
      <c r="F50" s="1136" t="s">
        <v>1674</v>
      </c>
      <c r="G50" s="3399" t="s">
        <v>1675</v>
      </c>
      <c r="H50" s="3440"/>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240.83</v>
      </c>
      <c r="F51" s="1141" t="e">
        <f t="shared" ref="F51:F60" si="15">ROUND(B51*E51/10000,0)</f>
        <v>#DIV/0!</v>
      </c>
      <c r="G51" s="3377"/>
      <c r="H51" s="3378"/>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0.7</v>
      </c>
      <c r="D52" s="1143">
        <v>0.25</v>
      </c>
      <c r="E52" s="1144"/>
      <c r="F52" s="1141" t="e">
        <f t="shared" si="15"/>
        <v>#DIV/0!</v>
      </c>
      <c r="G52" s="1145" t="s">
        <v>1680</v>
      </c>
      <c r="H52" s="1146" t="str">
        <f>项目基本情况!B37</f>
        <v>二级</v>
      </c>
      <c r="I52" s="653">
        <f>SUMIF(修正!A59:A70,H52,修正!B59:B70)</f>
        <v>0.7</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0.4</v>
      </c>
      <c r="D53" s="1143">
        <v>0.25</v>
      </c>
      <c r="E53" s="1144"/>
      <c r="F53" s="1141" t="e">
        <f t="shared" si="15"/>
        <v>#DIV/0!</v>
      </c>
      <c r="G53" s="1147"/>
      <c r="H53" s="1146" t="str">
        <f>项目基本情况!B37</f>
        <v>二级</v>
      </c>
      <c r="I53" s="653">
        <f>SUMIF(修正!A59:A70,H53,修正!C59:C70)</f>
        <v>0.4</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0.3</v>
      </c>
      <c r="D54" s="1143">
        <v>0.25</v>
      </c>
      <c r="E54" s="1144"/>
      <c r="F54" s="1141" t="e">
        <f t="shared" si="15"/>
        <v>#DIV/0!</v>
      </c>
      <c r="G54" s="1147"/>
      <c r="H54" s="1146" t="str">
        <f>项目基本情况!B37</f>
        <v>二级</v>
      </c>
      <c r="I54" s="653">
        <f>SUMIF(修正!A59:A70,H54,修正!D59:D70)</f>
        <v>0.3</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v>
      </c>
      <c r="D56" s="1143">
        <v>0.25</v>
      </c>
      <c r="E56" s="359">
        <f>'数据-汇总表'!E11</f>
        <v>0</v>
      </c>
      <c r="F56" s="1141" t="e">
        <f t="shared" si="15"/>
        <v>#DIV/0!</v>
      </c>
      <c r="G56" s="1149" t="s">
        <v>1684</v>
      </c>
      <c r="H56" s="1146">
        <f>项目基本情况!C37</f>
        <v>0</v>
      </c>
      <c r="I56" s="653">
        <f>SUMIF(修正!A59:A70,H56,修正!E59:E70)</f>
        <v>0</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v>
      </c>
      <c r="D57" s="1143">
        <v>0.25</v>
      </c>
      <c r="E57" s="359">
        <f>'数据-汇总表'!E12</f>
        <v>0</v>
      </c>
      <c r="F57" s="1141" t="e">
        <f t="shared" si="15"/>
        <v>#DIV/0!</v>
      </c>
      <c r="G57" s="1150" t="s">
        <v>1686</v>
      </c>
      <c r="H57" s="1146">
        <f>IF(G57="商业",项目基本情况!B37,IF(G57="办公",项目基本情况!C37,IF(G57="住宅",项目基本情况!D37,项目基本情况!E37)))</f>
        <v>0</v>
      </c>
      <c r="I57" s="653">
        <f>SUMIF(修正!A59:A70,H57,修正!F59:F70)</f>
        <v>0</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0.2</v>
      </c>
      <c r="D59" s="1143">
        <v>0.25</v>
      </c>
      <c r="E59" s="359">
        <f>'数据-汇总表'!E14</f>
        <v>0</v>
      </c>
      <c r="F59" s="1141" t="e">
        <f t="shared" si="15"/>
        <v>#DIV/0!</v>
      </c>
      <c r="G59" s="1149" t="s">
        <v>1680</v>
      </c>
      <c r="H59" s="1146" t="str">
        <f>项目基本情况!B37</f>
        <v>二级</v>
      </c>
      <c r="I59" s="653">
        <f>SUMIF(修正!A59:A70,H59,修正!G59:G70)</f>
        <v>0.2</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v>
      </c>
      <c r="D60" s="1143">
        <v>0.25</v>
      </c>
      <c r="E60" s="359">
        <f>'数据-汇总表'!E15</f>
        <v>0</v>
      </c>
      <c r="F60" s="1141" t="e">
        <f t="shared" si="15"/>
        <v>#DIV/0!</v>
      </c>
      <c r="G60" s="1151" t="s">
        <v>1684</v>
      </c>
      <c r="H60" s="1152">
        <f>项目基本情况!C37</f>
        <v>0</v>
      </c>
      <c r="I60" s="653">
        <f>SUMIF(修正!A59:A70,H60,修正!G59:G70)</f>
        <v>0</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2025-9-1</v>
      </c>
      <c r="D63" s="1160">
        <f>EDATE(C63,-3)</f>
        <v>45809</v>
      </c>
      <c r="E63" s="1160">
        <f>EDATE(D63,-3)</f>
        <v>45717</v>
      </c>
      <c r="F63" s="1160">
        <f t="shared" ref="F63:O63" si="18">EDATE(E63,-3)</f>
        <v>45627</v>
      </c>
      <c r="G63" s="1160">
        <f t="shared" si="18"/>
        <v>45536</v>
      </c>
      <c r="H63" s="1160">
        <f t="shared" si="18"/>
        <v>45444</v>
      </c>
      <c r="I63" s="1160">
        <f t="shared" si="18"/>
        <v>45352</v>
      </c>
      <c r="J63" s="1160">
        <f t="shared" si="18"/>
        <v>45261</v>
      </c>
      <c r="K63" s="1160">
        <f t="shared" si="18"/>
        <v>45170</v>
      </c>
      <c r="L63" s="1160">
        <f t="shared" si="18"/>
        <v>45078</v>
      </c>
      <c r="M63" s="1160">
        <f t="shared" si="18"/>
        <v>44986</v>
      </c>
      <c r="N63" s="1160">
        <f t="shared" si="18"/>
        <v>44896</v>
      </c>
      <c r="O63" s="1160">
        <f t="shared" si="18"/>
        <v>44805</v>
      </c>
      <c r="P63" s="1122"/>
      <c r="Q63" s="1122"/>
      <c r="R63" s="1122"/>
      <c r="S63" s="1122"/>
      <c r="T63" s="1122"/>
      <c r="U63" s="1122"/>
      <c r="V63" s="1122"/>
      <c r="W63" s="1122"/>
      <c r="X63" s="1122"/>
      <c r="Y63" s="1122"/>
      <c r="Z63" s="1122"/>
      <c r="AA63" s="1122"/>
      <c r="AB63" s="1122"/>
      <c r="AC63" s="1122"/>
      <c r="AD63" s="1122"/>
      <c r="AE63" s="1122"/>
    </row>
    <row r="64" spans="1:31" ht="21.6">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4.4">
      <c r="A65" s="1230" t="s">
        <v>1693</v>
      </c>
      <c r="B65" s="1231"/>
      <c r="C65" s="1232" t="str">
        <f>YEAR(C63)&amp;"-"&amp;ROUNDUP(MONTH(C63)/3,0)</f>
        <v>2025-3</v>
      </c>
      <c r="D65" s="1232" t="str">
        <f t="shared" ref="D65:O65" si="19">YEAR(D63)&amp;"-"&amp;ROUNDUP(MONTH(D63)/3,0)</f>
        <v>2025-2</v>
      </c>
      <c r="E65" s="1232" t="str">
        <f t="shared" si="19"/>
        <v>2025-1</v>
      </c>
      <c r="F65" s="1232" t="str">
        <f t="shared" si="19"/>
        <v>2024-4</v>
      </c>
      <c r="G65" s="1232" t="str">
        <f t="shared" si="19"/>
        <v>2024-3</v>
      </c>
      <c r="H65" s="1232" t="str">
        <f t="shared" si="19"/>
        <v>2024-2</v>
      </c>
      <c r="I65" s="1232" t="str">
        <f t="shared" si="19"/>
        <v>2024-1</v>
      </c>
      <c r="J65" s="1232" t="str">
        <f t="shared" si="19"/>
        <v>2023-4</v>
      </c>
      <c r="K65" s="1232" t="str">
        <f t="shared" si="19"/>
        <v>2023-3</v>
      </c>
      <c r="L65" s="1232" t="str">
        <f t="shared" si="19"/>
        <v>2023-2</v>
      </c>
      <c r="M65" s="1232" t="str">
        <f t="shared" si="19"/>
        <v>2023-1</v>
      </c>
      <c r="N65" s="1232" t="str">
        <f t="shared" si="19"/>
        <v>2022-4</v>
      </c>
      <c r="O65" s="1232" t="str">
        <f t="shared" si="19"/>
        <v>2022-3</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4.4">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4.4">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ht="14.4">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8.8">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4.4">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ht="14.4">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4.4">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28.8">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8.8">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4.4">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4.4">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4.4">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8.8">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4.4">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ht="14.4">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ht="14.4">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ht="14.4">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ht="14.4">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3.2"/>
  <cols>
    <col min="1" max="1" width="11.44140625" style="897" customWidth="1"/>
    <col min="2" max="2" width="9.2187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47" t="s">
        <v>1705</v>
      </c>
      <c r="D1" s="3448"/>
      <c r="E1" s="3448"/>
      <c r="F1" s="3448"/>
      <c r="G1" s="3448"/>
      <c r="H1" s="3448"/>
      <c r="I1" s="3448"/>
      <c r="J1" s="3448"/>
      <c r="K1" s="3448"/>
      <c r="L1" s="3448"/>
      <c r="M1" s="3448"/>
      <c r="N1" s="3448"/>
      <c r="O1" s="3448"/>
      <c r="P1" s="3448"/>
      <c r="Q1" s="3448"/>
      <c r="R1" s="3448"/>
      <c r="S1" s="3449"/>
      <c r="T1" s="900" t="s">
        <v>1706</v>
      </c>
    </row>
    <row r="2" spans="1:45" s="892" customFormat="1">
      <c r="A2" s="901"/>
      <c r="B2" s="902" t="s">
        <v>504</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c r="D3" s="908"/>
      <c r="E3" s="908"/>
      <c r="F3" s="909"/>
      <c r="G3" s="909"/>
      <c r="H3" s="909"/>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c r="D4" s="913"/>
      <c r="E4" s="913"/>
      <c r="F4" s="914"/>
      <c r="G4" s="914"/>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6">
      <c r="A20" s="944" t="s">
        <v>1716</v>
      </c>
      <c r="B20" s="945" t="e">
        <f ca="1">IF(D20="——",S22,S22-F20)</f>
        <v>#REF!</v>
      </c>
      <c r="C20" s="940"/>
      <c r="D20" s="946"/>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6">
      <c r="A21" s="944" t="s">
        <v>1717</v>
      </c>
      <c r="B21" s="945" t="e">
        <f ca="1">ROUND(B20*10000/B22,0)</f>
        <v>#REF!</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0</v>
      </c>
      <c r="C22" s="3450" t="s">
        <v>124</v>
      </c>
      <c r="D22" s="3451"/>
      <c r="E22" s="3451"/>
      <c r="F22" s="3451"/>
      <c r="G22" s="3451"/>
      <c r="H22" s="3451"/>
      <c r="I22" s="3451"/>
      <c r="J22" s="3451"/>
      <c r="K22" s="3451"/>
      <c r="L22" s="3451"/>
      <c r="M22" s="3451"/>
      <c r="N22" s="3451"/>
      <c r="O22" s="3451"/>
      <c r="P22" s="3451"/>
      <c r="Q22" s="3452"/>
      <c r="R22" s="950" t="e">
        <f>ROUND(S22*10000/B22,0)</f>
        <v>#DIV/0!</v>
      </c>
      <c r="S22" s="950">
        <f>SUM(S24:S10000)</f>
        <v>0</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t="s">
        <v>1722</v>
      </c>
      <c r="B24" s="954"/>
      <c r="C24" s="955">
        <v>1</v>
      </c>
      <c r="D24" s="956"/>
      <c r="E24" s="955">
        <v>1</v>
      </c>
      <c r="F24" s="956"/>
      <c r="G24" s="955">
        <v>1</v>
      </c>
      <c r="H24" s="956"/>
      <c r="I24" s="955">
        <v>1</v>
      </c>
      <c r="J24" s="956"/>
      <c r="K24" s="955">
        <v>1</v>
      </c>
      <c r="L24" s="956"/>
      <c r="M24" s="955">
        <v>1</v>
      </c>
      <c r="N24" s="956"/>
      <c r="O24" s="955">
        <v>1</v>
      </c>
      <c r="P24" s="956"/>
      <c r="Q24" s="955">
        <v>1</v>
      </c>
      <c r="R24" s="954"/>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IF(B25="",0,ROUND($R$24*C25*E25*G25*I25*K25*M25*O25*Q25,0))</f>
        <v>0</v>
      </c>
      <c r="S25" s="949">
        <f t="shared" si="11"/>
        <v>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F39" sqref="F39:F48"/>
    </sheetView>
  </sheetViews>
  <sheetFormatPr defaultColWidth="9" defaultRowHeight="13.8"/>
  <cols>
    <col min="1" max="1" width="23.33203125" style="880" customWidth="1"/>
    <col min="2" max="2" width="12.44140625" style="880" customWidth="1"/>
    <col min="3" max="3" width="12.109375" style="880" customWidth="1"/>
    <col min="4" max="4" width="14.109375" style="880" customWidth="1"/>
    <col min="5" max="5" width="12.44140625" style="880" customWidth="1"/>
    <col min="6" max="16384" width="9" style="880"/>
  </cols>
  <sheetData>
    <row r="1" spans="1:16" ht="21.6">
      <c r="A1" s="881" t="s">
        <v>1723</v>
      </c>
      <c r="B1" s="681"/>
      <c r="C1" s="681"/>
      <c r="D1" s="681"/>
      <c r="E1" s="681"/>
      <c r="F1" s="882"/>
      <c r="G1" s="882"/>
      <c r="H1" s="882"/>
      <c r="I1" s="882"/>
      <c r="J1" s="882"/>
      <c r="K1" s="882"/>
      <c r="L1" s="882"/>
      <c r="M1" s="882"/>
      <c r="N1" s="882"/>
      <c r="O1" s="882"/>
      <c r="P1" s="882"/>
    </row>
    <row r="2" spans="1:16" ht="15.6">
      <c r="A2" s="883" t="s">
        <v>97</v>
      </c>
      <c r="B2" s="884">
        <f ca="1">SUMIF(B6:B13,"&lt;&gt;#ref!",B6:B13)</f>
        <v>0</v>
      </c>
      <c r="C2" s="883" t="s">
        <v>1724</v>
      </c>
      <c r="D2" s="883" t="s">
        <v>1725</v>
      </c>
      <c r="E2" s="885">
        <f ca="1">SUMIF(E6:E13,"&lt;&gt;#ref!",E6:E13)</f>
        <v>240.83</v>
      </c>
      <c r="F2" s="882"/>
      <c r="G2" s="882"/>
      <c r="H2" s="882"/>
      <c r="I2" s="882"/>
      <c r="J2" s="882"/>
      <c r="K2" s="882"/>
      <c r="L2" s="882"/>
      <c r="M2" s="882"/>
      <c r="N2" s="882"/>
      <c r="O2" s="882"/>
      <c r="P2" s="882"/>
    </row>
    <row r="3" spans="1:16" ht="15.6">
      <c r="A3" s="883" t="s">
        <v>1726</v>
      </c>
      <c r="B3" s="884">
        <f ca="1">ROUND(B2*10000/E2,0)</f>
        <v>0</v>
      </c>
      <c r="C3" s="883" t="s">
        <v>1727</v>
      </c>
      <c r="D3" s="882"/>
      <c r="E3" s="882"/>
      <c r="F3" s="882"/>
      <c r="G3" s="882"/>
      <c r="H3" s="882"/>
      <c r="I3" s="882"/>
      <c r="J3" s="882"/>
      <c r="K3" s="882"/>
      <c r="L3" s="882"/>
      <c r="M3" s="882"/>
      <c r="N3" s="882"/>
      <c r="O3" s="882"/>
      <c r="P3" s="882"/>
    </row>
    <row r="4" spans="1:16" ht="15.6">
      <c r="A4" s="886"/>
      <c r="B4" s="882"/>
      <c r="C4" s="882"/>
      <c r="D4" s="882"/>
      <c r="E4" s="882"/>
      <c r="F4" s="882"/>
      <c r="G4" s="882"/>
      <c r="H4" s="882"/>
      <c r="I4" s="882"/>
      <c r="J4" s="882"/>
      <c r="K4" s="882"/>
      <c r="L4" s="882"/>
      <c r="M4" s="882"/>
      <c r="N4" s="882"/>
      <c r="O4" s="882"/>
      <c r="P4" s="882"/>
    </row>
    <row r="5" spans="1:16" ht="31.2">
      <c r="A5" s="887" t="s">
        <v>1728</v>
      </c>
      <c r="B5" s="888" t="s">
        <v>1729</v>
      </c>
      <c r="C5" s="889"/>
      <c r="D5" s="882"/>
      <c r="E5" s="890" t="s">
        <v>1730</v>
      </c>
      <c r="F5" s="882"/>
      <c r="G5" s="882"/>
      <c r="H5" s="882"/>
      <c r="I5" s="882"/>
      <c r="J5" s="882"/>
      <c r="K5" s="882"/>
      <c r="L5" s="882"/>
      <c r="M5" s="882"/>
      <c r="N5" s="882"/>
      <c r="O5" s="882"/>
      <c r="P5" s="882"/>
    </row>
    <row r="6" spans="1:16" ht="15.6">
      <c r="A6" s="891" t="s">
        <v>1731</v>
      </c>
      <c r="B6" s="884">
        <f ca="1">SUMIF(INDIRECT("'"&amp;A6&amp;"'"&amp;"!A:A"),"总价",INDIRECT("'"&amp;A6&amp;"'"&amp;"!B:B"))</f>
        <v>0</v>
      </c>
      <c r="C6" s="883" t="s">
        <v>1724</v>
      </c>
      <c r="D6" s="882"/>
      <c r="E6" s="885">
        <f ca="1">SUMIF(INDIRECT("'"&amp;A6&amp;"'"&amp;"!C:C"),"建筑面积",INDIRECT("'"&amp;A6&amp;"'"&amp;"!D:D"))</f>
        <v>240.83</v>
      </c>
      <c r="F6" s="882"/>
      <c r="G6" s="882"/>
      <c r="H6" s="882"/>
      <c r="I6" s="882"/>
      <c r="J6" s="882"/>
      <c r="K6" s="882"/>
      <c r="L6" s="882"/>
      <c r="M6" s="882"/>
      <c r="N6" s="882"/>
      <c r="O6" s="882"/>
      <c r="P6" s="882"/>
    </row>
    <row r="7" spans="1:16" ht="15.6">
      <c r="A7" s="891"/>
      <c r="B7" s="884" t="e">
        <f ca="1">SUMIF(INDIRECT("'"&amp;A7&amp;"'"&amp;"!A:A"),"总价",INDIRECT("'"&amp;A7&amp;"'"&amp;"!B:B"))</f>
        <v>#REF!</v>
      </c>
      <c r="C7" s="883" t="s">
        <v>1724</v>
      </c>
      <c r="D7" s="882"/>
      <c r="E7" s="885" t="e">
        <f t="shared" ref="E7:E13" ca="1" si="0">SUMIF(INDIRECT("'"&amp;A7&amp;"'"&amp;"!C:C"),"建筑面积",INDIRECT("'"&amp;A7&amp;"'"&amp;"!D:D"))</f>
        <v>#REF!</v>
      </c>
      <c r="F7" s="882"/>
      <c r="G7" s="882"/>
      <c r="H7" s="882"/>
      <c r="I7" s="882"/>
      <c r="J7" s="882"/>
      <c r="K7" s="882"/>
      <c r="L7" s="882"/>
      <c r="M7" s="882"/>
      <c r="N7" s="882"/>
      <c r="O7" s="882"/>
      <c r="P7" s="882"/>
    </row>
    <row r="8" spans="1:16" ht="15.6">
      <c r="A8" s="891"/>
      <c r="B8" s="884" t="e">
        <f t="shared" ref="B8:B13" ca="1" si="1">SUMIF(INDIRECT("'"&amp;A8&amp;"'"&amp;"!A:A"),"总价",INDIRECT("'"&amp;A8&amp;"'"&amp;"!B:B"))</f>
        <v>#REF!</v>
      </c>
      <c r="C8" s="883" t="s">
        <v>1724</v>
      </c>
      <c r="D8" s="882"/>
      <c r="E8" s="885" t="e">
        <f t="shared" ca="1" si="0"/>
        <v>#REF!</v>
      </c>
      <c r="F8" s="882"/>
      <c r="G8" s="882"/>
      <c r="H8" s="882"/>
      <c r="I8" s="882"/>
      <c r="J8" s="882"/>
      <c r="K8" s="882"/>
      <c r="L8" s="882"/>
      <c r="M8" s="882"/>
      <c r="N8" s="882"/>
      <c r="O8" s="882"/>
      <c r="P8" s="882"/>
    </row>
    <row r="9" spans="1:16" ht="15.6">
      <c r="A9" s="891"/>
      <c r="B9" s="884" t="e">
        <f t="shared" ca="1" si="1"/>
        <v>#REF!</v>
      </c>
      <c r="C9" s="883" t="s">
        <v>1724</v>
      </c>
      <c r="D9" s="882"/>
      <c r="E9" s="885" t="e">
        <f t="shared" ca="1" si="0"/>
        <v>#REF!</v>
      </c>
      <c r="F9" s="882"/>
      <c r="G9" s="882"/>
      <c r="H9" s="882"/>
      <c r="I9" s="882"/>
      <c r="J9" s="882"/>
      <c r="K9" s="882"/>
      <c r="L9" s="882"/>
      <c r="M9" s="882"/>
      <c r="N9" s="882"/>
      <c r="O9" s="882"/>
      <c r="P9" s="882"/>
    </row>
    <row r="10" spans="1:16" ht="15.6">
      <c r="A10" s="891"/>
      <c r="B10" s="884" t="e">
        <f t="shared" ca="1" si="1"/>
        <v>#REF!</v>
      </c>
      <c r="C10" s="883" t="s">
        <v>1724</v>
      </c>
      <c r="D10" s="882"/>
      <c r="E10" s="885" t="e">
        <f t="shared" ca="1" si="0"/>
        <v>#REF!</v>
      </c>
      <c r="F10" s="882"/>
      <c r="G10" s="882"/>
      <c r="H10" s="882"/>
      <c r="I10" s="882"/>
      <c r="J10" s="882"/>
      <c r="K10" s="882"/>
      <c r="L10" s="882"/>
      <c r="M10" s="882"/>
      <c r="N10" s="882"/>
      <c r="O10" s="882"/>
      <c r="P10" s="882"/>
    </row>
    <row r="11" spans="1:16" ht="15.6">
      <c r="A11" s="891"/>
      <c r="B11" s="884" t="e">
        <f t="shared" ca="1" si="1"/>
        <v>#REF!</v>
      </c>
      <c r="C11" s="883" t="s">
        <v>1724</v>
      </c>
      <c r="D11" s="882"/>
      <c r="E11" s="885" t="e">
        <f t="shared" ca="1" si="0"/>
        <v>#REF!</v>
      </c>
      <c r="F11" s="882"/>
      <c r="G11" s="882"/>
      <c r="H11" s="882"/>
      <c r="I11" s="882"/>
      <c r="J11" s="882"/>
      <c r="K11" s="882"/>
      <c r="L11" s="882"/>
      <c r="M11" s="882"/>
      <c r="N11" s="882"/>
      <c r="O11" s="882"/>
      <c r="P11" s="882"/>
    </row>
    <row r="12" spans="1:16" ht="15.6">
      <c r="A12" s="891"/>
      <c r="B12" s="884" t="e">
        <f t="shared" ca="1" si="1"/>
        <v>#REF!</v>
      </c>
      <c r="C12" s="883" t="s">
        <v>1724</v>
      </c>
      <c r="D12" s="882"/>
      <c r="E12" s="885" t="e">
        <f t="shared" ca="1" si="0"/>
        <v>#REF!</v>
      </c>
      <c r="F12" s="882"/>
      <c r="G12" s="882"/>
      <c r="H12" s="882"/>
      <c r="I12" s="882"/>
      <c r="J12" s="882"/>
      <c r="K12" s="882"/>
      <c r="L12" s="882"/>
      <c r="M12" s="882"/>
      <c r="N12" s="882"/>
      <c r="O12" s="882"/>
      <c r="P12" s="882"/>
    </row>
    <row r="13" spans="1:16" ht="15.6">
      <c r="A13" s="891"/>
      <c r="B13" s="884" t="e">
        <f t="shared" ca="1" si="1"/>
        <v>#REF!</v>
      </c>
      <c r="C13" s="883" t="s">
        <v>1724</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0" zoomScaleNormal="80" workbookViewId="0">
      <selection activeCell="J23" sqref="J23"/>
    </sheetView>
  </sheetViews>
  <sheetFormatPr defaultColWidth="12" defaultRowHeight="13.2"/>
  <cols>
    <col min="1" max="1" width="9.77734375" style="505" customWidth="1"/>
    <col min="2" max="2" width="22.44140625" style="506" customWidth="1"/>
    <col min="3" max="3" width="12" style="507"/>
    <col min="4" max="4" width="14.88671875" style="507" customWidth="1"/>
    <col min="5" max="5" width="14.6640625" style="507" customWidth="1"/>
    <col min="6" max="8" width="12" style="507"/>
    <col min="9" max="9" width="12.21875" style="507" customWidth="1"/>
    <col min="10" max="10" width="12" style="507"/>
    <col min="11" max="11" width="8.109375" style="508" customWidth="1"/>
    <col min="12" max="12" width="19.44140625" style="507" customWidth="1"/>
    <col min="13" max="13" width="8.44140625" style="507" customWidth="1"/>
    <col min="14" max="14" width="9.77734375" style="507" customWidth="1"/>
    <col min="15" max="25" width="12" style="507"/>
    <col min="26" max="26" width="9.33203125" style="505" customWidth="1"/>
    <col min="27" max="32" width="9.33203125" style="509" customWidth="1"/>
    <col min="33" max="36" width="9.33203125" style="505" customWidth="1"/>
    <col min="37" max="38" width="9.33203125" style="507" customWidth="1"/>
    <col min="39" max="16384" width="12" style="507"/>
  </cols>
  <sheetData>
    <row r="1" spans="1:36" ht="31.2">
      <c r="A1" s="339" t="s">
        <v>1732</v>
      </c>
      <c r="B1" s="340"/>
      <c r="C1" s="343" t="s">
        <v>1377</v>
      </c>
      <c r="D1" s="510">
        <f>SUM(D33:D34,D37:D42)</f>
        <v>240.83</v>
      </c>
      <c r="E1" s="511"/>
      <c r="F1" s="511"/>
      <c r="G1" s="511"/>
      <c r="H1" s="511"/>
      <c r="I1" s="511"/>
      <c r="J1" s="511"/>
      <c r="K1" s="503"/>
      <c r="L1" s="709" t="s">
        <v>1733</v>
      </c>
      <c r="M1" s="710">
        <f>SUMPRODUCT((区片价!B5:B9=I2)*(区片价!C3:G3=E2)*(区片价!C5:G9))</f>
        <v>0</v>
      </c>
      <c r="N1" s="711">
        <f>SUMPRODUCT((因素修正幅度!B5:B9=I2)*(因素修正幅度!C3:G3=E2)*(因素修正幅度!C5:G9))</f>
        <v>0</v>
      </c>
      <c r="O1" s="504"/>
      <c r="P1" s="504"/>
      <c r="Q1" s="503"/>
      <c r="R1" s="798" t="s">
        <v>1734</v>
      </c>
      <c r="S1" s="798" t="s">
        <v>1735</v>
      </c>
      <c r="T1" s="798" t="s">
        <v>1736</v>
      </c>
      <c r="U1" s="798" t="s">
        <v>1737</v>
      </c>
      <c r="V1" s="798" t="s">
        <v>1738</v>
      </c>
      <c r="W1" s="799"/>
      <c r="X1" s="799"/>
      <c r="Y1" s="799"/>
      <c r="Z1" s="799"/>
      <c r="AA1" s="799"/>
      <c r="AB1" s="799"/>
      <c r="AC1" s="810"/>
      <c r="AD1" s="811"/>
      <c r="AE1" s="811"/>
      <c r="AF1" s="811"/>
      <c r="AG1" s="811"/>
      <c r="AH1" s="811"/>
      <c r="AI1" s="811"/>
      <c r="AJ1" s="820"/>
    </row>
    <row r="2" spans="1:36" ht="15.6">
      <c r="A2" s="343" t="s">
        <v>1029</v>
      </c>
      <c r="B2" s="347">
        <f>C30</f>
        <v>0</v>
      </c>
      <c r="C2" s="512" t="s">
        <v>1030</v>
      </c>
      <c r="D2" s="513" t="s">
        <v>1739</v>
      </c>
      <c r="E2" s="514" t="s">
        <v>229</v>
      </c>
      <c r="F2" s="513" t="s">
        <v>1740</v>
      </c>
      <c r="G2" s="515" t="str">
        <f>IF(E2="商业",项目基本情况!B37,IF(E2="办公",项目基本情况!C37,IF(E2="住宅",项目基本情况!D37,IF(E2="工业",项目基本情况!E37,项目基本情况!F37))))</f>
        <v>二级</v>
      </c>
      <c r="H2" s="513" t="s">
        <v>1741</v>
      </c>
      <c r="I2" s="515" t="str">
        <f>IF(E2="商业",项目基本情况!B38,IF(E2="办公",项目基本情况!C38,IF(E2="住宅",项目基本情况!D38,IF(E2="工业",项目基本情况!E38,项目基本情况!F38))))</f>
        <v>Ⅱ—07</v>
      </c>
      <c r="J2" s="511"/>
      <c r="K2" s="503"/>
      <c r="L2" s="712" t="s">
        <v>1742</v>
      </c>
      <c r="M2" s="713">
        <f>SUMPRODUCT((区片价!B10:B29=I2)*(区片价!C3:G3=E2)*(区片价!C10:G29))</f>
        <v>26790</v>
      </c>
      <c r="N2" s="711">
        <f>SUMPRODUCT((因素修正幅度!B10:B29=I2)*(因素修正幅度!C3:G3=E2)*(因素修正幅度!C10:G29))</f>
        <v>9.8000000000000004E-2</v>
      </c>
      <c r="O2" s="503"/>
      <c r="P2" s="503"/>
      <c r="Q2" s="503"/>
      <c r="R2" s="798">
        <v>1</v>
      </c>
      <c r="S2" s="800">
        <f>ROUND(SUMPRODUCT((B106:B110=R2)*(C105:N105=G2)*(C106:N110)),4)</f>
        <v>1.5206</v>
      </c>
      <c r="T2" s="800">
        <f t="shared" ref="T2:T16" si="0">ROUND($C$5*$C$22*$C$23*$C$24*S2*$C$28,0)</f>
        <v>30730</v>
      </c>
      <c r="U2" s="801"/>
      <c r="V2" s="800">
        <f>ROUND(T2*U2/10000,0)</f>
        <v>0</v>
      </c>
      <c r="W2" s="799"/>
      <c r="X2" s="799"/>
      <c r="Y2" s="799"/>
      <c r="Z2" s="799"/>
      <c r="AA2" s="799"/>
      <c r="AB2" s="799"/>
      <c r="AC2" s="810"/>
      <c r="AD2" s="811"/>
      <c r="AE2" s="811"/>
      <c r="AF2" s="811"/>
      <c r="AG2" s="811"/>
      <c r="AH2" s="811"/>
      <c r="AI2" s="811"/>
      <c r="AJ2" s="820"/>
    </row>
    <row r="3" spans="1:36" ht="15.6">
      <c r="A3" s="346" t="s">
        <v>1031</v>
      </c>
      <c r="B3" s="347">
        <f>ROUND(B2*10000/D1,0)</f>
        <v>0</v>
      </c>
      <c r="C3" s="512" t="s">
        <v>1032</v>
      </c>
      <c r="D3" s="513" t="s">
        <v>1743</v>
      </c>
      <c r="E3" s="516" t="s">
        <v>244</v>
      </c>
      <c r="F3" s="517" t="s">
        <v>2793</v>
      </c>
      <c r="G3" s="518">
        <f>IF(F3="宗地容积率",'数据-汇总表'!I4,IF(F3="估价对象容积率",'数据-汇总表'!I6,'数据-汇总表'!I7))</f>
        <v>3.5</v>
      </c>
      <c r="H3" s="513" t="s">
        <v>1744</v>
      </c>
      <c r="I3" s="714">
        <v>1</v>
      </c>
      <c r="J3" s="511" t="s">
        <v>1745</v>
      </c>
      <c r="K3" s="503"/>
      <c r="L3" s="712" t="s">
        <v>1746</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1.2072000000000001</v>
      </c>
      <c r="T3" s="800">
        <f t="shared" si="0"/>
        <v>24397</v>
      </c>
      <c r="U3" s="801"/>
      <c r="V3" s="800">
        <f t="shared" ref="V3:V16" si="1">ROUND(T3*U3/10000,0)</f>
        <v>0</v>
      </c>
      <c r="W3" s="799"/>
      <c r="X3" s="799"/>
      <c r="Y3" s="799"/>
      <c r="Z3" s="799"/>
      <c r="AA3" s="799"/>
      <c r="AB3" s="799"/>
      <c r="AC3" s="810"/>
      <c r="AD3" s="811"/>
      <c r="AE3" s="811"/>
      <c r="AF3" s="811"/>
      <c r="AG3" s="811"/>
      <c r="AH3" s="811"/>
      <c r="AI3" s="811"/>
      <c r="AJ3" s="820"/>
    </row>
    <row r="4" spans="1:36" ht="15.6">
      <c r="A4" s="3453"/>
      <c r="B4" s="3454"/>
      <c r="C4" s="3454"/>
      <c r="D4" s="3455"/>
      <c r="E4" s="3455"/>
      <c r="F4" s="3455"/>
      <c r="G4" s="3455"/>
      <c r="H4" s="3455"/>
      <c r="I4" s="3455"/>
      <c r="J4" s="3456"/>
      <c r="K4" s="503"/>
      <c r="L4" s="712" t="s">
        <v>1747</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1.0430999999999999</v>
      </c>
      <c r="T4" s="800">
        <f t="shared" si="0"/>
        <v>21080</v>
      </c>
      <c r="U4" s="801"/>
      <c r="V4" s="800">
        <f t="shared" si="1"/>
        <v>0</v>
      </c>
      <c r="W4" s="799"/>
      <c r="X4" s="799"/>
      <c r="Y4" s="799"/>
      <c r="Z4" s="799"/>
      <c r="AA4" s="799"/>
      <c r="AB4" s="799"/>
      <c r="AC4" s="810"/>
      <c r="AD4" s="811"/>
      <c r="AE4" s="811"/>
      <c r="AF4" s="811"/>
      <c r="AG4" s="811"/>
      <c r="AH4" s="811"/>
      <c r="AI4" s="811"/>
      <c r="AJ4" s="820"/>
    </row>
    <row r="5" spans="1:36" s="502" customFormat="1" ht="15">
      <c r="A5" s="519" t="s">
        <v>935</v>
      </c>
      <c r="B5" s="520" t="s">
        <v>1748</v>
      </c>
      <c r="C5" s="521">
        <f>ROUND(IF(E2="商业",C6*C7*C17+C20,(IF(E2="住宅",C6*C13*C17+C20,IF(E2="办公",C6*C12*C17+C20,C6+C20)))),0)</f>
        <v>28768</v>
      </c>
      <c r="D5" s="522">
        <f>ROUND(C6*C17+C20,0)</f>
        <v>26759</v>
      </c>
      <c r="E5" s="522"/>
      <c r="F5" s="523"/>
      <c r="G5" s="524"/>
      <c r="H5" s="524"/>
      <c r="I5" s="524"/>
      <c r="J5" s="715"/>
      <c r="K5" s="716"/>
      <c r="L5" s="712" t="s">
        <v>1749</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0.94389999999999996</v>
      </c>
      <c r="T5" s="800">
        <f t="shared" si="0"/>
        <v>19075</v>
      </c>
      <c r="U5" s="801"/>
      <c r="V5" s="800">
        <f t="shared" si="1"/>
        <v>0</v>
      </c>
      <c r="W5" s="799"/>
      <c r="X5" s="799"/>
      <c r="Y5" s="799"/>
      <c r="Z5" s="799"/>
      <c r="AA5" s="799"/>
      <c r="AB5" s="799"/>
      <c r="AC5" s="812"/>
      <c r="AD5" s="813"/>
      <c r="AE5" s="813"/>
      <c r="AF5" s="813"/>
      <c r="AG5" s="813"/>
      <c r="AH5" s="813"/>
      <c r="AI5" s="813"/>
      <c r="AJ5" s="821"/>
    </row>
    <row r="6" spans="1:36" ht="15">
      <c r="A6" s="525" t="s">
        <v>1034</v>
      </c>
      <c r="B6" s="526" t="s">
        <v>1750</v>
      </c>
      <c r="C6" s="527">
        <f>SUMIF(L1:L12,G2,M1:M12)</f>
        <v>26790</v>
      </c>
      <c r="D6" s="528"/>
      <c r="E6" s="529"/>
      <c r="F6" s="529"/>
      <c r="G6" s="530"/>
      <c r="H6" s="530"/>
      <c r="I6" s="530"/>
      <c r="J6" s="717"/>
      <c r="K6" s="718"/>
      <c r="L6" s="712" t="s">
        <v>1751</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0.89959999999999996</v>
      </c>
      <c r="T6" s="800">
        <f t="shared" si="0"/>
        <v>18180</v>
      </c>
      <c r="U6" s="801"/>
      <c r="V6" s="800">
        <f t="shared" si="1"/>
        <v>0</v>
      </c>
      <c r="W6" s="799"/>
      <c r="X6" s="799"/>
      <c r="Y6" s="799"/>
      <c r="Z6" s="799"/>
      <c r="AA6" s="799"/>
      <c r="AB6" s="799"/>
      <c r="AC6" s="812"/>
      <c r="AD6" s="813"/>
      <c r="AE6" s="813"/>
      <c r="AF6" s="813"/>
      <c r="AG6" s="813"/>
      <c r="AH6" s="813"/>
      <c r="AI6" s="813"/>
      <c r="AJ6" s="821"/>
    </row>
    <row r="7" spans="1:36" ht="24">
      <c r="A7" s="531" t="s">
        <v>1752</v>
      </c>
      <c r="B7" s="532" t="s">
        <v>1753</v>
      </c>
      <c r="C7" s="533">
        <f>IF(C8="不临65条商业街",1,ROUND(1+(1.6*E8+1.2*E9+0.8*E10+0.4*E11)*C9,4))</f>
        <v>1.075</v>
      </c>
      <c r="D7" s="534" t="s">
        <v>1754</v>
      </c>
      <c r="E7" s="535">
        <v>20</v>
      </c>
      <c r="F7" s="536"/>
      <c r="G7" s="537"/>
      <c r="H7" s="537"/>
      <c r="I7" s="537"/>
      <c r="J7" s="719"/>
      <c r="K7" s="718"/>
      <c r="L7" s="712" t="s">
        <v>1755</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1756</v>
      </c>
      <c r="X7" s="804" t="str">
        <f>G2</f>
        <v>二级</v>
      </c>
      <c r="Y7" s="804" t="s">
        <v>1757</v>
      </c>
      <c r="Z7" s="814">
        <f>G3</f>
        <v>3.5</v>
      </c>
      <c r="AA7" s="799"/>
      <c r="AB7" s="799"/>
      <c r="AC7" s="810"/>
      <c r="AD7" s="811"/>
      <c r="AE7" s="811"/>
      <c r="AF7" s="811"/>
      <c r="AG7" s="811"/>
      <c r="AH7" s="811"/>
      <c r="AI7" s="811"/>
      <c r="AJ7" s="820"/>
    </row>
    <row r="8" spans="1:36" ht="26.4">
      <c r="A8" s="538"/>
      <c r="B8" s="513" t="s">
        <v>1758</v>
      </c>
      <c r="C8" s="539" t="s">
        <v>2041</v>
      </c>
      <c r="D8" s="540" t="s">
        <v>1759</v>
      </c>
      <c r="E8" s="541">
        <f>ROUND(C11/E7,4)</f>
        <v>0.1875</v>
      </c>
      <c r="F8" s="542" t="s">
        <v>1760</v>
      </c>
      <c r="G8" s="543"/>
      <c r="H8" s="543"/>
      <c r="I8" s="543"/>
      <c r="J8" s="720"/>
      <c r="K8" s="503"/>
      <c r="L8" s="712" t="s">
        <v>1761</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57" t="s">
        <v>1762</v>
      </c>
      <c r="X8" s="3458"/>
      <c r="Y8" s="815" t="s">
        <v>1763</v>
      </c>
      <c r="Z8" s="815" t="s">
        <v>1764</v>
      </c>
      <c r="AA8" s="815" t="s">
        <v>1765</v>
      </c>
      <c r="AB8" s="815" t="s">
        <v>1766</v>
      </c>
      <c r="AC8" s="815" t="s">
        <v>1767</v>
      </c>
      <c r="AD8" s="815" t="s">
        <v>1768</v>
      </c>
      <c r="AE8" s="815" t="s">
        <v>1769</v>
      </c>
      <c r="AF8" s="815" t="s">
        <v>1770</v>
      </c>
      <c r="AG8" s="815" t="s">
        <v>1771</v>
      </c>
      <c r="AH8" s="815" t="s">
        <v>1772</v>
      </c>
      <c r="AI8" s="815" t="s">
        <v>1773</v>
      </c>
      <c r="AJ8" s="815" t="s">
        <v>1774</v>
      </c>
    </row>
    <row r="9" spans="1:36" ht="15">
      <c r="A9" s="538"/>
      <c r="B9" s="513" t="s">
        <v>1775</v>
      </c>
      <c r="C9" s="544">
        <f>SUMIF(修正!C73:C140,C8,修正!E73:E140)</f>
        <v>0.1</v>
      </c>
      <c r="D9" s="515" t="s">
        <v>1776</v>
      </c>
      <c r="E9" s="515">
        <f>ROUND(C11/E7,4)</f>
        <v>0.1875</v>
      </c>
      <c r="F9" s="542" t="s">
        <v>1777</v>
      </c>
      <c r="G9" s="543"/>
      <c r="H9" s="543"/>
      <c r="I9" s="543"/>
      <c r="J9" s="720"/>
      <c r="K9" s="503"/>
      <c r="L9" s="712" t="s">
        <v>1778</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71"/>
      <c r="X9" s="805" t="s">
        <v>1779</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1780</v>
      </c>
      <c r="C10" s="515">
        <f>SUMIF(修正!C73:C140,C8,修正!F73:F140)</f>
        <v>15</v>
      </c>
      <c r="D10" s="515" t="s">
        <v>1781</v>
      </c>
      <c r="E10" s="515">
        <f>ROUND(C11/E7,4)</f>
        <v>0.1875</v>
      </c>
      <c r="F10" s="542" t="s">
        <v>1782</v>
      </c>
      <c r="G10" s="543"/>
      <c r="H10" s="543"/>
      <c r="I10" s="543"/>
      <c r="J10" s="720"/>
      <c r="K10" s="503"/>
      <c r="L10" s="712" t="s">
        <v>1783</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71"/>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1784</v>
      </c>
      <c r="C11" s="547">
        <f>C10/4</f>
        <v>3.75</v>
      </c>
      <c r="D11" s="547" t="s">
        <v>1785</v>
      </c>
      <c r="E11" s="547">
        <f>ROUND(C11/E7,4)</f>
        <v>0.1875</v>
      </c>
      <c r="F11" s="548" t="s">
        <v>1786</v>
      </c>
      <c r="G11" s="549"/>
      <c r="H11" s="549"/>
      <c r="I11" s="549"/>
      <c r="J11" s="721"/>
      <c r="K11" s="503"/>
      <c r="L11" s="712" t="s">
        <v>1787</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5.2">
      <c r="A12" s="531" t="s">
        <v>1788</v>
      </c>
      <c r="B12" s="550" t="s">
        <v>1789</v>
      </c>
      <c r="C12" s="551"/>
      <c r="D12" s="552" t="s">
        <v>1790</v>
      </c>
      <c r="E12" s="553" t="s">
        <v>1791</v>
      </c>
      <c r="F12" s="554"/>
      <c r="G12" s="555"/>
      <c r="H12" s="555"/>
      <c r="I12" s="555"/>
      <c r="J12" s="722"/>
      <c r="K12" s="503"/>
      <c r="L12" s="723" t="s">
        <v>1792</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24">
      <c r="A13" s="531" t="s">
        <v>1793</v>
      </c>
      <c r="B13" s="556" t="s">
        <v>1794</v>
      </c>
      <c r="C13" s="533">
        <f>ROUND(C16*D16*E16*F16*G16*H16*I16*J16,4)</f>
        <v>0</v>
      </c>
      <c r="D13" s="557" t="s">
        <v>1795</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24">
      <c r="A14" s="560"/>
      <c r="B14" s="561" t="s">
        <v>1796</v>
      </c>
      <c r="C14" s="562" t="s">
        <v>1797</v>
      </c>
      <c r="D14" s="563" t="s">
        <v>1798</v>
      </c>
      <c r="E14" s="564" t="s">
        <v>1799</v>
      </c>
      <c r="F14" s="565" t="s">
        <v>1800</v>
      </c>
      <c r="G14" s="565" t="s">
        <v>1800</v>
      </c>
      <c r="H14" s="565" t="s">
        <v>1800</v>
      </c>
      <c r="I14" s="565" t="s">
        <v>1800</v>
      </c>
      <c r="J14" s="565" t="s">
        <v>1800</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1801</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ht="24">
      <c r="A17" s="575" t="s">
        <v>1802</v>
      </c>
      <c r="B17" s="576" t="s">
        <v>1803</v>
      </c>
      <c r="C17" s="577">
        <f>ROUND(IF(OR(E2="工业",E2="公共服务"),1,IF(AND(E18=0,E19=0),1,IF(AND(E18=J24,E19=G19),0.8,IF(E19=0,1+E17*(-0.2),1+E17*G17*(-0.2))))),4)</f>
        <v>1</v>
      </c>
      <c r="D17" s="578" t="s">
        <v>1804</v>
      </c>
      <c r="E17" s="577">
        <f>ROUND(G18/I18,2)</f>
        <v>0</v>
      </c>
      <c r="F17" s="578" t="s">
        <v>1805</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3.8">
      <c r="A18" s="579"/>
      <c r="B18" s="580"/>
      <c r="C18" s="581"/>
      <c r="D18" s="582" t="s">
        <v>1806</v>
      </c>
      <c r="E18" s="583"/>
      <c r="F18" s="584" t="s">
        <v>1807</v>
      </c>
      <c r="G18" s="581">
        <f>ROUND(1-(1/(POWER(1+G24,E18))),4)</f>
        <v>0</v>
      </c>
      <c r="H18" s="584" t="s">
        <v>1808</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3.8">
      <c r="A19" s="585"/>
      <c r="B19" s="586"/>
      <c r="C19" s="587"/>
      <c r="D19" s="587" t="s">
        <v>1809</v>
      </c>
      <c r="E19" s="588"/>
      <c r="F19" s="589" t="s">
        <v>1810</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3.8">
      <c r="A20" s="3463" t="s">
        <v>1811</v>
      </c>
      <c r="B20" s="590" t="s">
        <v>1812</v>
      </c>
      <c r="C20" s="591">
        <f>ROUND(IF(F21="与级别开发程度一致",0,(G21-E21)/C21),0)</f>
        <v>-31</v>
      </c>
      <c r="D20" s="592" t="s">
        <v>1813</v>
      </c>
      <c r="E20" s="593"/>
      <c r="F20" s="3459" t="s">
        <v>1814</v>
      </c>
      <c r="G20" s="3460"/>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6.4">
      <c r="A21" s="3464"/>
      <c r="B21" s="595" t="s">
        <v>1815</v>
      </c>
      <c r="C21" s="596">
        <f>IF(E3="M4科研用地",SUMPRODUCT((修正!A2:A7=E3)*(修正!B1:M1=G2)*(修正!B2:M7)),SUMPRODUCT((修正!A2:A7=E2)*(修正!B1:M1=G2)*(修正!B2:M7)))</f>
        <v>3.5</v>
      </c>
      <c r="D21" s="597" t="str">
        <f>IF(OR(G2="八级",G2="九级",G2="十级",G2="十一级",G2="十二级"),"五通一平","七通一平")</f>
        <v>七通一平</v>
      </c>
      <c r="E21" s="598">
        <f>SUMPRODUCT((修正!B1:M1=G2)*(修正!B17:M17))</f>
        <v>375</v>
      </c>
      <c r="F21" s="599" t="s">
        <v>2795</v>
      </c>
      <c r="G21" s="600">
        <f>SUM(H21:O21)</f>
        <v>265</v>
      </c>
      <c r="H21" s="596">
        <f>SUMPRODUCT((七通一平=H20)*(修正!B1:M1=G2)*(修正!B8:M16))</f>
        <v>80</v>
      </c>
      <c r="I21" s="596">
        <f>SUMPRODUCT((七通一平=I20)*(修正!B1:M1=G2)*(修正!B8:M16))</f>
        <v>70</v>
      </c>
      <c r="J21" s="736">
        <f>SUMPRODUCT((七通一平=J20)*(修正!B1:M1=G2)*(修正!B8:M16))</f>
        <v>20</v>
      </c>
      <c r="K21" s="596">
        <f>SUMPRODUCT((七通一平=K20)*(修正!B1:M1=G2)*(修正!B8:M16))</f>
        <v>30</v>
      </c>
      <c r="L21" s="596">
        <f>SUMPRODUCT((七通一平=L20)*(修正!B1:M1=G2)*(修正!B8:M16))</f>
        <v>45</v>
      </c>
      <c r="M21" s="596">
        <f>SUMPRODUCT((七通一平=M20)*(修正!B1:M1=G2)*(修正!B8:M16))</f>
        <v>20</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4.4">
      <c r="A22" s="601" t="s">
        <v>946</v>
      </c>
      <c r="B22" s="602" t="s">
        <v>1816</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6.4">
      <c r="A23" s="606" t="s">
        <v>951</v>
      </c>
      <c r="B23" s="607" t="s">
        <v>1817</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1818</v>
      </c>
      <c r="E23" s="610">
        <v>44197</v>
      </c>
      <c r="F23" s="609" t="s">
        <v>1819</v>
      </c>
      <c r="G23" s="611">
        <f>'数据-取费表'!B2</f>
        <v>45924</v>
      </c>
      <c r="H23" s="612" t="s">
        <v>2796</v>
      </c>
      <c r="I23" s="742" t="str">
        <f>IF(H23="季度增幅（自定义）",SUMIF(N25:N28,E2,O25:O28),"")</f>
        <v/>
      </c>
      <c r="J23" s="743" t="s">
        <v>2797</v>
      </c>
      <c r="K23" s="739"/>
      <c r="L23" s="744" t="s">
        <v>1820</v>
      </c>
      <c r="M23" s="745">
        <f>ROUND(SUMIF(地价!B2:G2,E2,地价!B16:G16),0)</f>
        <v>350</v>
      </c>
      <c r="N23" s="746" t="s">
        <v>1821</v>
      </c>
      <c r="O23" s="747">
        <f>ROUNDDOWN(DATEDIF(E23,G23,"M")/3,0)</f>
        <v>18</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1822</v>
      </c>
      <c r="C24" s="615">
        <f>ROUND(POWER(1+G24,J24-I24)*(POWER(1+G24,I24)-1)/(POWER(1+G24,J24)-1),4)</f>
        <v>0.65200000000000002</v>
      </c>
      <c r="D24" s="616" t="s">
        <v>1823</v>
      </c>
      <c r="E24" s="617">
        <f>存贷款利率!E28/100</f>
        <v>4.3499999999999997E-2</v>
      </c>
      <c r="F24" s="616" t="s">
        <v>1824</v>
      </c>
      <c r="G24" s="618">
        <f>SUMIF(M30:Q30,E2,M33:Q33)</f>
        <v>5.5E-2</v>
      </c>
      <c r="H24" s="616" t="s">
        <v>1825</v>
      </c>
      <c r="I24" s="748">
        <f>SUMIF('数据-取费表'!C6:C15,E2,'数据-取费表'!F6:F15)/COUNTIF('数据-取费表'!C6:C15,E2)</f>
        <v>16</v>
      </c>
      <c r="J24" s="749">
        <f>IF(E2="住宅",70,IF(E2="商业",40,50))</f>
        <v>40</v>
      </c>
      <c r="K24" s="739"/>
      <c r="L24" s="750" t="s">
        <v>1826</v>
      </c>
      <c r="M24" s="751">
        <f>ROUND(SUMPRODUCT((地价!A4:A16=YEAR(G23)&amp;"-"&amp;ROUNDUP(MONTH(G23)/3,0))*(地价!B2:G2=E2)*(地价!B4:G16)),0)</f>
        <v>0</v>
      </c>
      <c r="N24" s="752" t="s">
        <v>1827</v>
      </c>
      <c r="O24" s="753" t="s">
        <v>1828</v>
      </c>
      <c r="P24" s="754" t="s">
        <v>1829</v>
      </c>
      <c r="Q24" s="504"/>
      <c r="R24" s="806"/>
      <c r="S24" s="806"/>
      <c r="T24" s="674"/>
      <c r="U24" s="674"/>
      <c r="V24" s="674"/>
      <c r="W24" s="503"/>
      <c r="X24" s="503"/>
      <c r="Y24" s="503"/>
      <c r="Z24" s="739"/>
      <c r="AA24" s="739"/>
      <c r="AB24" s="739"/>
      <c r="AC24" s="739"/>
      <c r="AD24" s="739"/>
      <c r="AE24" s="739"/>
      <c r="AF24" s="739"/>
      <c r="AG24" s="740"/>
      <c r="AH24" s="740"/>
      <c r="AI24" s="740"/>
      <c r="AJ24" s="740"/>
    </row>
    <row r="25" spans="1:37" ht="14.4">
      <c r="A25" s="619" t="s">
        <v>976</v>
      </c>
      <c r="B25" s="620" t="s">
        <v>2794</v>
      </c>
      <c r="C25" s="621">
        <f>IF(B25="容积率修正",IF(G3&lt;10,D26,J26),C27)</f>
        <v>1.5206</v>
      </c>
      <c r="D25" s="622"/>
      <c r="E25" s="622"/>
      <c r="F25" s="622"/>
      <c r="G25" s="622"/>
      <c r="H25" s="622"/>
      <c r="I25" s="622"/>
      <c r="J25" s="755"/>
      <c r="K25" s="739"/>
      <c r="L25" s="740"/>
      <c r="M25" s="740"/>
      <c r="N25" s="756" t="s">
        <v>1830</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4">
      <c r="A26" s="623" t="s">
        <v>1831</v>
      </c>
      <c r="B26" s="624" t="s">
        <v>1832</v>
      </c>
      <c r="C26" s="624" t="s">
        <v>1833</v>
      </c>
      <c r="D26" s="625">
        <f>IF(E26=G26,F26,IF(G3&lt;10,ROUND(F26+(H26-F26)*(G3-E26)/(G26-E26),4),"——"))</f>
        <v>1</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4" t="s">
        <v>1834</v>
      </c>
      <c r="J26" s="759" t="str">
        <f>IF(G3&gt;=10,D115,"——")</f>
        <v>——</v>
      </c>
      <c r="K26" s="739"/>
      <c r="L26" s="740"/>
      <c r="M26" s="740"/>
      <c r="N26" s="756" t="s">
        <v>1835</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4.4">
      <c r="A27" s="623" t="s">
        <v>1836</v>
      </c>
      <c r="B27" s="626" t="s">
        <v>1837</v>
      </c>
      <c r="C27" s="627">
        <f>ROUND(IF(I3&lt;6,SUMPRODUCT((B106:B110=I3)*(C105:N105=G2)*(C106:N110)),SUMIF(C105:N105,G2,C112:N112)),4)</f>
        <v>1.5206</v>
      </c>
      <c r="D27" s="511"/>
      <c r="E27" s="511"/>
      <c r="F27" s="628"/>
      <c r="G27" s="629"/>
      <c r="H27" s="630"/>
      <c r="I27" s="760"/>
      <c r="J27" s="761"/>
      <c r="K27" s="503"/>
      <c r="L27" s="504"/>
      <c r="M27" s="504"/>
      <c r="N27" s="756" t="s">
        <v>1838</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4.4">
      <c r="A28" s="613" t="s">
        <v>1839</v>
      </c>
      <c r="B28" s="607" t="s">
        <v>1840</v>
      </c>
      <c r="C28" s="608">
        <f>SUMIF(A47:A101,E2,B47:B101)</f>
        <v>1.0486</v>
      </c>
      <c r="D28" s="631"/>
      <c r="E28" s="632"/>
      <c r="F28" s="632"/>
      <c r="G28" s="632"/>
      <c r="H28" s="632"/>
      <c r="I28" s="632"/>
      <c r="J28" s="762"/>
      <c r="K28" s="739"/>
      <c r="L28" s="740"/>
      <c r="M28" s="740"/>
      <c r="N28" s="763" t="s">
        <v>1841</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4.4">
      <c r="A29" s="613" t="s">
        <v>1842</v>
      </c>
      <c r="B29" s="633" t="s">
        <v>1843</v>
      </c>
      <c r="C29" s="634"/>
      <c r="D29" s="537"/>
      <c r="E29" s="537"/>
      <c r="F29" s="635"/>
      <c r="G29" s="537"/>
      <c r="H29" s="537"/>
      <c r="I29" s="537"/>
      <c r="J29" s="719"/>
      <c r="K29" s="503"/>
      <c r="L29" s="504"/>
      <c r="M29" s="504"/>
      <c r="N29" s="766" t="s">
        <v>1844</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4.4">
      <c r="A30" s="636"/>
      <c r="B30" s="624" t="s">
        <v>1845</v>
      </c>
      <c r="C30" s="637">
        <f>IF(B25="容积率修正",E33+SUM(E37:E42),SUM(V2:V16)+SUM(E37:E42))</f>
        <v>0</v>
      </c>
      <c r="D30" s="638"/>
      <c r="E30" s="511"/>
      <c r="F30" s="639"/>
      <c r="G30" s="511"/>
      <c r="H30" s="511"/>
      <c r="I30" s="511"/>
      <c r="J30" s="769"/>
      <c r="K30" s="503"/>
      <c r="L30" s="770" t="s">
        <v>1739</v>
      </c>
      <c r="M30" s="771" t="s">
        <v>1846</v>
      </c>
      <c r="N30" s="771" t="s">
        <v>1847</v>
      </c>
      <c r="O30" s="771" t="s">
        <v>1848</v>
      </c>
      <c r="P30" s="771" t="s">
        <v>1849</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4.4">
      <c r="A31" s="636"/>
      <c r="B31" s="571" t="s">
        <v>1850</v>
      </c>
      <c r="C31" s="640">
        <f>E34+SUM(I37:I42)</f>
        <v>0</v>
      </c>
      <c r="D31" s="641"/>
      <c r="E31" s="642"/>
      <c r="F31" s="643"/>
      <c r="G31" s="642"/>
      <c r="H31" s="642"/>
      <c r="I31" s="642"/>
      <c r="J31" s="772"/>
      <c r="K31" s="503"/>
      <c r="L31" s="773" t="s">
        <v>1851</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4.4">
      <c r="A32" s="644"/>
      <c r="B32" s="645" t="s">
        <v>1852</v>
      </c>
      <c r="C32" s="646" t="s">
        <v>1853</v>
      </c>
      <c r="D32" s="646" t="s">
        <v>609</v>
      </c>
      <c r="E32" s="647" t="s">
        <v>1854</v>
      </c>
      <c r="F32" s="648"/>
      <c r="G32" s="559"/>
      <c r="H32" s="559"/>
      <c r="I32" s="559"/>
      <c r="J32" s="725"/>
      <c r="K32" s="503"/>
      <c r="L32" s="774" t="s">
        <v>1824</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3.8">
      <c r="A33" s="649"/>
      <c r="B33" s="650" t="s">
        <v>1855</v>
      </c>
      <c r="C33" s="651">
        <f>ROUND(C5*C22*C23*C24*C25*C28,0)</f>
        <v>30730</v>
      </c>
      <c r="D33" s="652">
        <f>'数据-基础表'!I13</f>
        <v>240.83</v>
      </c>
      <c r="E33" s="653">
        <f>ROUND(C33*D33/10000,0)</f>
        <v>740</v>
      </c>
      <c r="F33" s="654" t="s">
        <v>1856</v>
      </c>
      <c r="G33" s="655"/>
      <c r="H33" s="655"/>
      <c r="I33" s="655"/>
      <c r="J33" s="776"/>
      <c r="K33" s="503"/>
      <c r="L33" s="777" t="s">
        <v>1857</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5.2">
      <c r="A34" s="656"/>
      <c r="B34" s="657" t="s">
        <v>1858</v>
      </c>
      <c r="C34" s="597" t="e">
        <f>ROUND(IF(E2="工业",C33*M42,IF(B25="楼层修正",SUM(V2:V16)*M41*10000/D34,C33*M41)),0)</f>
        <v>#DIV/0!</v>
      </c>
      <c r="D34" s="658"/>
      <c r="E34" s="653">
        <f>ROUND(IF(B25="楼层修正",SUM(V2:V16)*M40,C34*D34/10000),0)</f>
        <v>0</v>
      </c>
      <c r="F34" s="659" t="s">
        <v>1859</v>
      </c>
      <c r="G34" s="660"/>
      <c r="H34" s="660"/>
      <c r="I34" s="660"/>
      <c r="J34" s="779"/>
      <c r="K34" s="503"/>
      <c r="L34" s="777" t="s">
        <v>1860</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1861</v>
      </c>
      <c r="C35" s="663" t="s">
        <v>1862</v>
      </c>
      <c r="D35" s="559"/>
      <c r="E35" s="664"/>
      <c r="F35" s="664"/>
      <c r="G35" s="557" t="s">
        <v>1859</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36">
      <c r="A36" s="649"/>
      <c r="B36" s="665"/>
      <c r="C36" s="666" t="s">
        <v>1853</v>
      </c>
      <c r="D36" s="667" t="s">
        <v>609</v>
      </c>
      <c r="E36" s="667" t="s">
        <v>1854</v>
      </c>
      <c r="F36" s="510" t="s">
        <v>1863</v>
      </c>
      <c r="G36" s="668" t="s">
        <v>1853</v>
      </c>
      <c r="H36" s="668" t="s">
        <v>609</v>
      </c>
      <c r="I36" s="668" t="s">
        <v>1854</v>
      </c>
      <c r="J36" s="391"/>
      <c r="K36" s="678" t="s">
        <v>1864</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65"/>
      <c r="B37" s="669" t="s">
        <v>1865</v>
      </c>
      <c r="C37" s="651">
        <f>ROUND(D5*C22*C23*C24*C28*F37,0)</f>
        <v>13159</v>
      </c>
      <c r="D37" s="652"/>
      <c r="E37" s="515">
        <f>ROUND(C37*D37/10000,0)</f>
        <v>0</v>
      </c>
      <c r="F37" s="515">
        <f>SUMIF(修正!A59:A70,G2,修正!B59:B70)</f>
        <v>0.7</v>
      </c>
      <c r="G37" s="515">
        <f>ROUND(IF(E2="工业",C37*$M$42,C37*$M$41),0)</f>
        <v>3290</v>
      </c>
      <c r="H37" s="515">
        <f>D37</f>
        <v>0</v>
      </c>
      <c r="I37" s="515">
        <f>ROUND(G37*H37/10000,0)</f>
        <v>0</v>
      </c>
      <c r="J37" s="783"/>
      <c r="K37" s="784" t="s">
        <v>1866</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66"/>
      <c r="B38" s="562" t="s">
        <v>1867</v>
      </c>
      <c r="C38" s="651">
        <f>ROUND(D5*C22*C23*C24*C28*F38,0)</f>
        <v>7519</v>
      </c>
      <c r="D38" s="652"/>
      <c r="E38" s="515">
        <f t="shared" ref="E38:E42" si="4">ROUND(C38*D38/10000,0)</f>
        <v>0</v>
      </c>
      <c r="F38" s="515">
        <f>SUMIF(修正!A59:A70,G2,修正!C59:C70)</f>
        <v>0.4</v>
      </c>
      <c r="G38" s="515">
        <f>ROUND(IF(E2="工业",C38*$M$42,C38*$M$41),0)</f>
        <v>1880</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66"/>
      <c r="B39" s="562" t="s">
        <v>1868</v>
      </c>
      <c r="C39" s="651">
        <f>ROUND(D5*C22*C23*C24*C28*F39,0)</f>
        <v>5639</v>
      </c>
      <c r="D39" s="652"/>
      <c r="E39" s="515">
        <f t="shared" si="4"/>
        <v>0</v>
      </c>
      <c r="F39" s="515">
        <f>SUMIF(修正!A59:A70,G2,修正!D59:D70)</f>
        <v>0.3</v>
      </c>
      <c r="G39" s="515">
        <f>ROUND(IF(E2="工业",C39*$M$42,C39*$M$41),0)</f>
        <v>1410</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1869</v>
      </c>
      <c r="C40" s="515">
        <f>ROUND(D5*C22*C23*C24*C28*F40,0)</f>
        <v>5639</v>
      </c>
      <c r="D40" s="652"/>
      <c r="E40" s="515">
        <f t="shared" si="4"/>
        <v>0</v>
      </c>
      <c r="F40" s="651">
        <f>SUMIF(修正!A59:A70,G2,修正!E59:E70)</f>
        <v>0.3</v>
      </c>
      <c r="G40" s="515">
        <f>ROUND(IF(E2="工业",C40*$M$42,C40*$M$41),0)</f>
        <v>1410</v>
      </c>
      <c r="H40" s="515">
        <f t="shared" si="5"/>
        <v>0</v>
      </c>
      <c r="I40" s="515">
        <f t="shared" si="6"/>
        <v>0</v>
      </c>
      <c r="J40" s="785"/>
      <c r="L40" s="786" t="s">
        <v>1870</v>
      </c>
      <c r="M40" s="787"/>
      <c r="Z40" s="674"/>
      <c r="AA40" s="674"/>
      <c r="AB40" s="674"/>
      <c r="AC40" s="674"/>
      <c r="AD40" s="674"/>
      <c r="AE40" s="674"/>
      <c r="AF40" s="674"/>
      <c r="AG40" s="674"/>
      <c r="AH40" s="674"/>
      <c r="AI40" s="674"/>
      <c r="AJ40" s="674"/>
    </row>
    <row r="41" spans="1:37" s="503" customFormat="1">
      <c r="A41" s="671"/>
      <c r="B41" s="562" t="s">
        <v>1871</v>
      </c>
      <c r="C41" s="515">
        <f>ROUND(D5*C22*C23*C44*C28*F41,0)</f>
        <v>0</v>
      </c>
      <c r="D41" s="652"/>
      <c r="E41" s="515">
        <f t="shared" si="4"/>
        <v>0</v>
      </c>
      <c r="F41" s="651">
        <f>SUMIF(修正!A59:A70,G2,修正!F59:F70)</f>
        <v>0.3</v>
      </c>
      <c r="G41" s="515">
        <f>ROUND(IF(E2="工业",C41*$M$42,C41*$M$41),0)</f>
        <v>0</v>
      </c>
      <c r="H41" s="515">
        <f t="shared" si="5"/>
        <v>0</v>
      </c>
      <c r="I41" s="515">
        <f t="shared" si="6"/>
        <v>0</v>
      </c>
      <c r="J41" s="785"/>
      <c r="L41" s="788" t="s">
        <v>1872</v>
      </c>
      <c r="M41" s="789">
        <v>0.25</v>
      </c>
      <c r="Z41" s="674"/>
      <c r="AA41" s="674"/>
      <c r="AB41" s="674"/>
      <c r="AC41" s="674"/>
      <c r="AD41" s="674"/>
      <c r="AE41" s="674"/>
      <c r="AF41" s="674"/>
      <c r="AG41" s="674"/>
      <c r="AH41" s="674"/>
      <c r="AI41" s="674"/>
      <c r="AJ41" s="674"/>
    </row>
    <row r="42" spans="1:37" s="503" customFormat="1">
      <c r="A42" s="656"/>
      <c r="B42" s="672" t="s">
        <v>1873</v>
      </c>
      <c r="C42" s="597">
        <f>ROUND(D5*C22*C23*C44*C28*F42,0)</f>
        <v>0</v>
      </c>
      <c r="D42" s="658"/>
      <c r="E42" s="597">
        <f t="shared" si="4"/>
        <v>0</v>
      </c>
      <c r="F42" s="673">
        <f>SUMIF(修正!A59:A70,G2,修正!G59:G70)</f>
        <v>0.2</v>
      </c>
      <c r="G42" s="597">
        <f>ROUND(IF(E2="工业",C42*$M$42,C42*$M$41),0)</f>
        <v>0</v>
      </c>
      <c r="H42" s="597">
        <f t="shared" si="5"/>
        <v>0</v>
      </c>
      <c r="I42" s="597">
        <f t="shared" si="6"/>
        <v>0</v>
      </c>
      <c r="J42" s="790"/>
      <c r="L42" s="791" t="s">
        <v>1849</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ht="24">
      <c r="A44" s="674"/>
      <c r="B44" s="675" t="s">
        <v>1874</v>
      </c>
      <c r="C44" s="510">
        <f>ROUND(POWER(1+E44,H44-G44)*(POWER(1+E44,G44)-1)/(POWER(1+E44,H44)-1),4)</f>
        <v>0</v>
      </c>
      <c r="D44" s="515" t="s">
        <v>1824</v>
      </c>
      <c r="E44" s="676">
        <f>G24</f>
        <v>5.5E-2</v>
      </c>
      <c r="F44" s="515" t="s">
        <v>1825</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4.4">
      <c r="A47" s="679" t="s">
        <v>1875</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4.4">
      <c r="A48" s="683" t="s">
        <v>1876</v>
      </c>
      <c r="B48" s="684">
        <f>1+E50</f>
        <v>1.0486</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5.2">
      <c r="A49" s="689" t="s">
        <v>1877</v>
      </c>
      <c r="B49" s="690" t="s">
        <v>1878</v>
      </c>
      <c r="C49" s="690" t="s">
        <v>1879</v>
      </c>
      <c r="D49" s="690" t="s">
        <v>1880</v>
      </c>
      <c r="E49" s="691" t="s">
        <v>1881</v>
      </c>
      <c r="F49" s="692" t="s">
        <v>1882</v>
      </c>
      <c r="G49" s="690" t="s">
        <v>1706</v>
      </c>
      <c r="H49" s="693" t="s">
        <v>1883</v>
      </c>
      <c r="I49" s="690" t="s">
        <v>1884</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5.2">
      <c r="A50" s="689" t="s">
        <v>1885</v>
      </c>
      <c r="B50" s="694">
        <f>估价对象房地状况!C4</f>
        <v>0</v>
      </c>
      <c r="C50" s="568" t="s">
        <v>1407</v>
      </c>
      <c r="D50" s="695">
        <f t="shared" ref="D50:D58" si="7">SUMIF($J$49:$N$49,C50,J50:N50)</f>
        <v>1.47E-2</v>
      </c>
      <c r="E50" s="696">
        <f>ROUND(SUM(D50:D58),4)</f>
        <v>4.8599999999999997E-2</v>
      </c>
      <c r="F50" s="697">
        <f>IF(E2="商业",SUMIF(L1:L12,G2,N1:N12),"——")</f>
        <v>9.8000000000000004E-2</v>
      </c>
      <c r="G50" s="698">
        <f>H50</f>
        <v>1.47E-2</v>
      </c>
      <c r="H50" s="699">
        <f t="shared" ref="H50:H58" si="8">IFERROR(ROUNDDOWN($F$50*I50/2,4),"——")</f>
        <v>1.47E-2</v>
      </c>
      <c r="I50" s="795">
        <v>0.3</v>
      </c>
      <c r="J50" s="796">
        <f t="shared" ref="J50:J58" si="9">K50+$G50</f>
        <v>2.9399999999999999E-2</v>
      </c>
      <c r="K50" s="796">
        <f t="shared" ref="K50:K58" si="10">$L50+$G50</f>
        <v>1.47E-2</v>
      </c>
      <c r="L50" s="796">
        <v>0</v>
      </c>
      <c r="M50" s="796">
        <f t="shared" ref="M50:N58" si="11">L50-$G50</f>
        <v>-1.47E-2</v>
      </c>
      <c r="N50" s="796">
        <f t="shared" si="11"/>
        <v>-2.9399999999999999E-2</v>
      </c>
      <c r="AA50" s="674"/>
      <c r="AB50" s="674"/>
      <c r="AC50" s="674"/>
      <c r="AD50" s="674"/>
      <c r="AE50" s="674"/>
      <c r="AF50" s="674"/>
      <c r="AG50" s="674"/>
      <c r="AH50" s="674"/>
      <c r="AI50" s="674"/>
      <c r="AJ50" s="674"/>
      <c r="AK50" s="674"/>
    </row>
    <row r="51" spans="1:37" s="503" customFormat="1" ht="24">
      <c r="A51" s="689" t="s">
        <v>1886</v>
      </c>
      <c r="B51" s="690">
        <f>估价对象房地状况!C18</f>
        <v>0</v>
      </c>
      <c r="C51" s="568" t="s">
        <v>1407</v>
      </c>
      <c r="D51" s="695">
        <f t="shared" si="7"/>
        <v>1.0699999999999999E-2</v>
      </c>
      <c r="E51" s="700"/>
      <c r="F51" s="697"/>
      <c r="G51" s="698">
        <f t="shared" ref="G51:G58" si="12">H51</f>
        <v>1.0699999999999999E-2</v>
      </c>
      <c r="H51" s="699">
        <f t="shared" si="8"/>
        <v>1.0699999999999999E-2</v>
      </c>
      <c r="I51" s="795">
        <v>0.22</v>
      </c>
      <c r="J51" s="796">
        <f t="shared" si="9"/>
        <v>2.1399999999999999E-2</v>
      </c>
      <c r="K51" s="796">
        <f t="shared" si="10"/>
        <v>1.0699999999999999E-2</v>
      </c>
      <c r="L51" s="796">
        <v>0</v>
      </c>
      <c r="M51" s="796">
        <f t="shared" si="11"/>
        <v>-1.0699999999999999E-2</v>
      </c>
      <c r="N51" s="796">
        <f t="shared" si="11"/>
        <v>-2.1399999999999999E-2</v>
      </c>
      <c r="AA51" s="674"/>
      <c r="AB51" s="674"/>
      <c r="AC51" s="674"/>
      <c r="AD51" s="674"/>
      <c r="AE51" s="674"/>
      <c r="AF51" s="674"/>
      <c r="AG51" s="674"/>
      <c r="AH51" s="674"/>
      <c r="AI51" s="674"/>
      <c r="AJ51" s="674"/>
      <c r="AK51" s="674"/>
    </row>
    <row r="52" spans="1:37" s="503" customFormat="1" ht="48">
      <c r="A52" s="701" t="s">
        <v>1887</v>
      </c>
      <c r="B52" s="690">
        <f>估价对象房地状况!C19</f>
        <v>0</v>
      </c>
      <c r="C52" s="568" t="s">
        <v>1407</v>
      </c>
      <c r="D52" s="695">
        <f t="shared" si="7"/>
        <v>5.7999999999999996E-3</v>
      </c>
      <c r="E52" s="700"/>
      <c r="F52" s="697"/>
      <c r="G52" s="698">
        <f t="shared" si="12"/>
        <v>5.7999999999999996E-3</v>
      </c>
      <c r="H52" s="699">
        <f t="shared" si="8"/>
        <v>5.7999999999999996E-3</v>
      </c>
      <c r="I52" s="795">
        <v>0.12</v>
      </c>
      <c r="J52" s="796">
        <f t="shared" si="9"/>
        <v>1.1599999999999999E-2</v>
      </c>
      <c r="K52" s="796">
        <f t="shared" si="10"/>
        <v>5.7999999999999996E-3</v>
      </c>
      <c r="L52" s="796">
        <v>0</v>
      </c>
      <c r="M52" s="796">
        <f t="shared" si="11"/>
        <v>-5.7999999999999996E-3</v>
      </c>
      <c r="N52" s="796">
        <f t="shared" si="11"/>
        <v>-1.1599999999999999E-2</v>
      </c>
      <c r="AA52" s="674"/>
      <c r="AB52" s="674"/>
      <c r="AC52" s="674"/>
      <c r="AD52" s="674"/>
      <c r="AE52" s="674"/>
      <c r="AF52" s="674"/>
      <c r="AG52" s="674"/>
      <c r="AH52" s="674"/>
      <c r="AI52" s="674"/>
      <c r="AJ52" s="674"/>
      <c r="AK52" s="674"/>
    </row>
    <row r="53" spans="1:37" s="503" customFormat="1" ht="37.200000000000003">
      <c r="A53" s="689" t="s">
        <v>1888</v>
      </c>
      <c r="B53" s="702" t="s">
        <v>1889</v>
      </c>
      <c r="C53" s="568" t="s">
        <v>1407</v>
      </c>
      <c r="D53" s="695">
        <f t="shared" si="7"/>
        <v>2.3999999999999998E-3</v>
      </c>
      <c r="E53" s="700"/>
      <c r="F53" s="697"/>
      <c r="G53" s="698">
        <f t="shared" si="12"/>
        <v>2.3999999999999998E-3</v>
      </c>
      <c r="H53" s="699">
        <f t="shared" si="8"/>
        <v>2.3999999999999998E-3</v>
      </c>
      <c r="I53" s="795">
        <v>0.05</v>
      </c>
      <c r="J53" s="796">
        <f t="shared" si="9"/>
        <v>4.7999999999999996E-3</v>
      </c>
      <c r="K53" s="796">
        <f t="shared" si="10"/>
        <v>2.3999999999999998E-3</v>
      </c>
      <c r="L53" s="796">
        <v>0</v>
      </c>
      <c r="M53" s="796">
        <f t="shared" si="11"/>
        <v>-2.3999999999999998E-3</v>
      </c>
      <c r="N53" s="796">
        <f t="shared" si="11"/>
        <v>-4.7999999999999996E-3</v>
      </c>
      <c r="AA53" s="674"/>
      <c r="AB53" s="674"/>
      <c r="AC53" s="674"/>
      <c r="AD53" s="674"/>
      <c r="AE53" s="674"/>
      <c r="AF53" s="674"/>
      <c r="AG53" s="674"/>
      <c r="AH53" s="674"/>
      <c r="AI53" s="674"/>
      <c r="AJ53" s="674"/>
      <c r="AK53" s="674"/>
    </row>
    <row r="54" spans="1:37" s="503" customFormat="1" ht="24">
      <c r="A54" s="689" t="s">
        <v>1890</v>
      </c>
      <c r="B54" s="690">
        <f>估价对象房地状况!C24</f>
        <v>0</v>
      </c>
      <c r="C54" s="568" t="s">
        <v>2767</v>
      </c>
      <c r="D54" s="695">
        <f t="shared" si="7"/>
        <v>0</v>
      </c>
      <c r="E54" s="700"/>
      <c r="F54" s="697"/>
      <c r="G54" s="698">
        <f t="shared" si="12"/>
        <v>3.8999999999999998E-3</v>
      </c>
      <c r="H54" s="699">
        <f t="shared" si="8"/>
        <v>3.8999999999999998E-3</v>
      </c>
      <c r="I54" s="795">
        <v>0.08</v>
      </c>
      <c r="J54" s="796">
        <f t="shared" si="9"/>
        <v>7.7999999999999996E-3</v>
      </c>
      <c r="K54" s="796">
        <f t="shared" si="10"/>
        <v>3.8999999999999998E-3</v>
      </c>
      <c r="L54" s="796">
        <v>0</v>
      </c>
      <c r="M54" s="796">
        <f t="shared" si="11"/>
        <v>-3.8999999999999998E-3</v>
      </c>
      <c r="N54" s="796">
        <f t="shared" si="11"/>
        <v>-7.7999999999999996E-3</v>
      </c>
      <c r="AA54" s="674"/>
      <c r="AB54" s="674"/>
      <c r="AC54" s="674"/>
      <c r="AD54" s="674"/>
      <c r="AE54" s="674"/>
      <c r="AF54" s="674"/>
      <c r="AG54" s="674"/>
      <c r="AH54" s="674"/>
      <c r="AI54" s="674"/>
      <c r="AJ54" s="674"/>
      <c r="AK54" s="674"/>
    </row>
    <row r="55" spans="1:37" s="503" customFormat="1" ht="36">
      <c r="A55" s="689" t="s">
        <v>1891</v>
      </c>
      <c r="B55" s="703" t="s">
        <v>1892</v>
      </c>
      <c r="C55" s="568" t="s">
        <v>1407</v>
      </c>
      <c r="D55" s="695">
        <f t="shared" si="7"/>
        <v>2.3999999999999998E-3</v>
      </c>
      <c r="E55" s="700"/>
      <c r="F55" s="697"/>
      <c r="G55" s="698">
        <f t="shared" si="12"/>
        <v>2.3999999999999998E-3</v>
      </c>
      <c r="H55" s="699">
        <f t="shared" si="8"/>
        <v>2.3999999999999998E-3</v>
      </c>
      <c r="I55" s="795">
        <v>0.05</v>
      </c>
      <c r="J55" s="796">
        <f t="shared" si="9"/>
        <v>4.7999999999999996E-3</v>
      </c>
      <c r="K55" s="796">
        <f t="shared" si="10"/>
        <v>2.3999999999999998E-3</v>
      </c>
      <c r="L55" s="796">
        <v>0</v>
      </c>
      <c r="M55" s="796">
        <f t="shared" si="11"/>
        <v>-2.3999999999999998E-3</v>
      </c>
      <c r="N55" s="796">
        <f t="shared" si="11"/>
        <v>-4.7999999999999996E-3</v>
      </c>
      <c r="AA55" s="674"/>
      <c r="AB55" s="674"/>
      <c r="AC55" s="674"/>
      <c r="AD55" s="674"/>
      <c r="AE55" s="674"/>
      <c r="AF55" s="674"/>
      <c r="AG55" s="674"/>
      <c r="AH55" s="674"/>
      <c r="AI55" s="674"/>
      <c r="AJ55" s="674"/>
      <c r="AK55" s="674"/>
    </row>
    <row r="56" spans="1:37" s="503" customFormat="1" ht="24">
      <c r="A56" s="704" t="s">
        <v>1893</v>
      </c>
      <c r="B56" s="705">
        <f>估价对象房地状况!C21</f>
        <v>0</v>
      </c>
      <c r="C56" s="568" t="s">
        <v>1407</v>
      </c>
      <c r="D56" s="695">
        <f t="shared" si="7"/>
        <v>2.3999999999999998E-3</v>
      </c>
      <c r="E56" s="700"/>
      <c r="F56" s="697"/>
      <c r="G56" s="698">
        <f t="shared" si="12"/>
        <v>2.3999999999999998E-3</v>
      </c>
      <c r="H56" s="699">
        <f t="shared" si="8"/>
        <v>2.3999999999999998E-3</v>
      </c>
      <c r="I56" s="795">
        <v>0.05</v>
      </c>
      <c r="J56" s="796">
        <f t="shared" si="9"/>
        <v>4.7999999999999996E-3</v>
      </c>
      <c r="K56" s="796">
        <f t="shared" si="10"/>
        <v>2.3999999999999998E-3</v>
      </c>
      <c r="L56" s="796">
        <v>0</v>
      </c>
      <c r="M56" s="796">
        <f t="shared" si="11"/>
        <v>-2.3999999999999998E-3</v>
      </c>
      <c r="N56" s="796">
        <f t="shared" si="11"/>
        <v>-4.7999999999999996E-3</v>
      </c>
      <c r="AA56" s="674"/>
      <c r="AB56" s="674"/>
      <c r="AC56" s="674"/>
      <c r="AD56" s="674"/>
      <c r="AE56" s="674"/>
      <c r="AF56" s="674"/>
      <c r="AG56" s="674"/>
      <c r="AH56" s="674"/>
      <c r="AI56" s="674"/>
      <c r="AJ56" s="674"/>
      <c r="AK56" s="674"/>
    </row>
    <row r="57" spans="1:37" s="503" customFormat="1" ht="24">
      <c r="A57" s="704" t="s">
        <v>1894</v>
      </c>
      <c r="B57" s="690">
        <f>估价对象房地状况!C22</f>
        <v>0</v>
      </c>
      <c r="C57" s="568" t="s">
        <v>2766</v>
      </c>
      <c r="D57" s="695">
        <f t="shared" si="7"/>
        <v>7.7999999999999996E-3</v>
      </c>
      <c r="E57" s="700"/>
      <c r="F57" s="697"/>
      <c r="G57" s="698">
        <f t="shared" si="12"/>
        <v>3.8999999999999998E-3</v>
      </c>
      <c r="H57" s="699">
        <f t="shared" si="8"/>
        <v>3.8999999999999998E-3</v>
      </c>
      <c r="I57" s="795">
        <v>0.08</v>
      </c>
      <c r="J57" s="796">
        <f t="shared" si="9"/>
        <v>7.7999999999999996E-3</v>
      </c>
      <c r="K57" s="796">
        <f t="shared" si="10"/>
        <v>3.8999999999999998E-3</v>
      </c>
      <c r="L57" s="796">
        <v>0</v>
      </c>
      <c r="M57" s="796">
        <f t="shared" si="11"/>
        <v>-3.8999999999999998E-3</v>
      </c>
      <c r="N57" s="796">
        <f t="shared" si="11"/>
        <v>-7.7999999999999996E-3</v>
      </c>
      <c r="AA57" s="674"/>
      <c r="AB57" s="674"/>
      <c r="AC57" s="674"/>
      <c r="AD57" s="674"/>
      <c r="AE57" s="674"/>
      <c r="AF57" s="674"/>
      <c r="AG57" s="674"/>
      <c r="AH57" s="674"/>
      <c r="AI57" s="674"/>
      <c r="AJ57" s="674"/>
      <c r="AK57" s="674"/>
    </row>
    <row r="58" spans="1:37" s="503" customFormat="1" ht="36">
      <c r="A58" s="706" t="s">
        <v>1895</v>
      </c>
      <c r="B58" s="707">
        <f>估价对象房地状况!C20</f>
        <v>0</v>
      </c>
      <c r="C58" s="568" t="s">
        <v>1407</v>
      </c>
      <c r="D58" s="695">
        <f t="shared" si="7"/>
        <v>2.3999999999999998E-3</v>
      </c>
      <c r="E58" s="708"/>
      <c r="F58" s="697"/>
      <c r="G58" s="698">
        <f t="shared" si="12"/>
        <v>2.3999999999999998E-3</v>
      </c>
      <c r="H58" s="699">
        <f t="shared" si="8"/>
        <v>2.3999999999999998E-3</v>
      </c>
      <c r="I58" s="797">
        <v>0.05</v>
      </c>
      <c r="J58" s="796">
        <f t="shared" si="9"/>
        <v>4.7999999999999996E-3</v>
      </c>
      <c r="K58" s="796">
        <f t="shared" si="10"/>
        <v>2.3999999999999998E-3</v>
      </c>
      <c r="L58" s="796">
        <v>0</v>
      </c>
      <c r="M58" s="796">
        <f t="shared" si="11"/>
        <v>-2.3999999999999998E-3</v>
      </c>
      <c r="N58" s="796">
        <f t="shared" si="11"/>
        <v>-4.7999999999999996E-3</v>
      </c>
      <c r="AA58" s="674"/>
      <c r="AB58" s="674"/>
      <c r="AC58" s="674"/>
      <c r="AD58" s="674"/>
      <c r="AE58" s="674"/>
      <c r="AF58" s="674"/>
      <c r="AG58" s="674"/>
      <c r="AH58" s="674"/>
      <c r="AI58" s="674"/>
      <c r="AJ58" s="674"/>
      <c r="AK58" s="674"/>
    </row>
    <row r="59" spans="1:37" s="503" customFormat="1" ht="14.4">
      <c r="A59" s="683" t="s">
        <v>1896</v>
      </c>
      <c r="B59" s="684">
        <f>1+E61</f>
        <v>1</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5.2">
      <c r="A60" s="689" t="s">
        <v>1877</v>
      </c>
      <c r="B60" s="690"/>
      <c r="C60" s="690" t="s">
        <v>1879</v>
      </c>
      <c r="D60" s="690" t="s">
        <v>1880</v>
      </c>
      <c r="E60" s="691" t="s">
        <v>1881</v>
      </c>
      <c r="F60" s="692" t="s">
        <v>1897</v>
      </c>
      <c r="G60" s="690" t="s">
        <v>1706</v>
      </c>
      <c r="H60" s="693" t="s">
        <v>1883</v>
      </c>
      <c r="I60" s="690" t="s">
        <v>1884</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1898</v>
      </c>
      <c r="B61" s="694">
        <f>估价对象房地状况!C17</f>
        <v>0</v>
      </c>
      <c r="C61" s="568"/>
      <c r="D61" s="695">
        <f t="shared" ref="D61:D69" si="13">SUMIF($J$60:$N$60,C61,J61:N61)</f>
        <v>0</v>
      </c>
      <c r="E61" s="696">
        <f>ROUND(SUM(D61:D69),4)</f>
        <v>0</v>
      </c>
      <c r="F61" s="697" t="str">
        <f>IF(E2="办公",SUMIF(L1:L12,G2,N1:N12),"——")</f>
        <v>——</v>
      </c>
      <c r="G61" s="698"/>
      <c r="H61" s="699" t="str">
        <f t="shared" ref="H61:H69" si="14">IFERROR(ROUNDDOWN($F$61*I61/2,4),"——")</f>
        <v>——</v>
      </c>
      <c r="I61" s="795">
        <v>0.25</v>
      </c>
      <c r="J61" s="796">
        <f t="shared" ref="J61:J69" si="15">K61+$G61</f>
        <v>0</v>
      </c>
      <c r="K61" s="796">
        <f t="shared" ref="K61:K69" si="16">$L61+$G61</f>
        <v>0</v>
      </c>
      <c r="L61" s="796">
        <v>0</v>
      </c>
      <c r="M61" s="796">
        <f t="shared" ref="M61:N69" si="17">L61-$G61</f>
        <v>0</v>
      </c>
      <c r="N61" s="796">
        <f t="shared" si="17"/>
        <v>0</v>
      </c>
      <c r="AA61" s="674"/>
      <c r="AB61" s="674"/>
      <c r="AC61" s="674"/>
      <c r="AD61" s="674"/>
      <c r="AE61" s="674"/>
      <c r="AF61" s="674"/>
      <c r="AG61" s="674"/>
      <c r="AH61" s="674"/>
      <c r="AI61" s="674"/>
      <c r="AJ61" s="674"/>
      <c r="AK61" s="674"/>
    </row>
    <row r="62" spans="1:37" s="503" customFormat="1" ht="24">
      <c r="A62" s="689" t="s">
        <v>1886</v>
      </c>
      <c r="B62" s="690">
        <f>估价对象房地状况!C18</f>
        <v>0</v>
      </c>
      <c r="C62" s="568"/>
      <c r="D62" s="695">
        <f t="shared" si="13"/>
        <v>0</v>
      </c>
      <c r="E62" s="700"/>
      <c r="F62" s="697"/>
      <c r="G62" s="698"/>
      <c r="H62" s="699" t="str">
        <f t="shared" si="14"/>
        <v>——</v>
      </c>
      <c r="I62" s="795">
        <v>0.26</v>
      </c>
      <c r="J62" s="796">
        <f t="shared" si="15"/>
        <v>0</v>
      </c>
      <c r="K62" s="796">
        <f t="shared" si="16"/>
        <v>0</v>
      </c>
      <c r="L62" s="796">
        <v>0</v>
      </c>
      <c r="M62" s="796">
        <f t="shared" si="17"/>
        <v>0</v>
      </c>
      <c r="N62" s="796">
        <f t="shared" si="17"/>
        <v>0</v>
      </c>
      <c r="AA62" s="674"/>
      <c r="AB62" s="674"/>
      <c r="AC62" s="674"/>
      <c r="AD62" s="674"/>
      <c r="AE62" s="674"/>
      <c r="AF62" s="674"/>
      <c r="AG62" s="674"/>
      <c r="AH62" s="674"/>
      <c r="AI62" s="674"/>
      <c r="AJ62" s="674"/>
      <c r="AK62" s="674"/>
    </row>
    <row r="63" spans="1:37" s="503" customFormat="1" ht="48">
      <c r="A63" s="701" t="s">
        <v>1887</v>
      </c>
      <c r="B63" s="690">
        <f>估价对象房地状况!C19</f>
        <v>0</v>
      </c>
      <c r="C63" s="568"/>
      <c r="D63" s="695">
        <f t="shared" si="13"/>
        <v>0</v>
      </c>
      <c r="E63" s="700"/>
      <c r="F63" s="697"/>
      <c r="G63" s="698"/>
      <c r="H63" s="699" t="str">
        <f t="shared" si="14"/>
        <v>——</v>
      </c>
      <c r="I63" s="795">
        <v>0.11</v>
      </c>
      <c r="J63" s="796">
        <f t="shared" si="15"/>
        <v>0</v>
      </c>
      <c r="K63" s="796">
        <f t="shared" si="16"/>
        <v>0</v>
      </c>
      <c r="L63" s="796">
        <v>0</v>
      </c>
      <c r="M63" s="796">
        <f t="shared" si="17"/>
        <v>0</v>
      </c>
      <c r="N63" s="796">
        <f t="shared" si="17"/>
        <v>0</v>
      </c>
      <c r="AA63" s="674"/>
      <c r="AB63" s="674"/>
      <c r="AC63" s="674"/>
      <c r="AD63" s="674"/>
      <c r="AE63" s="674"/>
      <c r="AF63" s="674"/>
      <c r="AG63" s="674"/>
      <c r="AH63" s="674"/>
      <c r="AI63" s="674"/>
      <c r="AJ63" s="674"/>
      <c r="AK63" s="674"/>
    </row>
    <row r="64" spans="1:37" s="503" customFormat="1" ht="37.200000000000003">
      <c r="A64" s="689" t="s">
        <v>1888</v>
      </c>
      <c r="B64" s="702" t="s">
        <v>1889</v>
      </c>
      <c r="C64" s="568"/>
      <c r="D64" s="695">
        <f t="shared" si="13"/>
        <v>0</v>
      </c>
      <c r="E64" s="700"/>
      <c r="F64" s="697"/>
      <c r="G64" s="698"/>
      <c r="H64" s="699" t="str">
        <f t="shared" si="14"/>
        <v>——</v>
      </c>
      <c r="I64" s="795">
        <v>0.05</v>
      </c>
      <c r="J64" s="796">
        <f t="shared" si="15"/>
        <v>0</v>
      </c>
      <c r="K64" s="796">
        <f t="shared" si="16"/>
        <v>0</v>
      </c>
      <c r="L64" s="796">
        <v>0</v>
      </c>
      <c r="M64" s="796">
        <f t="shared" si="17"/>
        <v>0</v>
      </c>
      <c r="N64" s="796">
        <f t="shared" si="17"/>
        <v>0</v>
      </c>
      <c r="AA64" s="674"/>
      <c r="AB64" s="674"/>
      <c r="AC64" s="674"/>
      <c r="AD64" s="674"/>
      <c r="AE64" s="674"/>
      <c r="AF64" s="674"/>
      <c r="AG64" s="674"/>
      <c r="AH64" s="674"/>
      <c r="AI64" s="674"/>
      <c r="AJ64" s="674"/>
      <c r="AK64" s="674"/>
    </row>
    <row r="65" spans="1:37" s="503" customFormat="1" ht="24">
      <c r="A65" s="689" t="s">
        <v>1890</v>
      </c>
      <c r="B65" s="690">
        <f>估价对象房地状况!C24</f>
        <v>0</v>
      </c>
      <c r="C65" s="568"/>
      <c r="D65" s="695">
        <f t="shared" si="13"/>
        <v>0</v>
      </c>
      <c r="E65" s="700"/>
      <c r="F65" s="697"/>
      <c r="G65" s="698"/>
      <c r="H65" s="699" t="str">
        <f t="shared" si="14"/>
        <v>——</v>
      </c>
      <c r="I65" s="795">
        <v>0.05</v>
      </c>
      <c r="J65" s="796">
        <f t="shared" si="15"/>
        <v>0</v>
      </c>
      <c r="K65" s="796">
        <f t="shared" si="16"/>
        <v>0</v>
      </c>
      <c r="L65" s="796">
        <v>0</v>
      </c>
      <c r="M65" s="796">
        <f t="shared" si="17"/>
        <v>0</v>
      </c>
      <c r="N65" s="796">
        <f t="shared" si="17"/>
        <v>0</v>
      </c>
      <c r="AA65" s="674"/>
      <c r="AB65" s="674"/>
      <c r="AC65" s="674"/>
      <c r="AD65" s="674"/>
      <c r="AE65" s="674"/>
      <c r="AF65" s="674"/>
      <c r="AG65" s="674"/>
      <c r="AH65" s="674"/>
      <c r="AI65" s="674"/>
      <c r="AJ65" s="674"/>
      <c r="AK65" s="674"/>
    </row>
    <row r="66" spans="1:37" s="503" customFormat="1" ht="36">
      <c r="A66" s="689" t="s">
        <v>1891</v>
      </c>
      <c r="B66" s="703" t="s">
        <v>1892</v>
      </c>
      <c r="C66" s="568"/>
      <c r="D66" s="695">
        <f t="shared" si="13"/>
        <v>0</v>
      </c>
      <c r="E66" s="700"/>
      <c r="F66" s="697"/>
      <c r="G66" s="698"/>
      <c r="H66" s="699" t="str">
        <f t="shared" si="14"/>
        <v>——</v>
      </c>
      <c r="I66" s="795">
        <v>0.06</v>
      </c>
      <c r="J66" s="796">
        <f t="shared" si="15"/>
        <v>0</v>
      </c>
      <c r="K66" s="796">
        <f t="shared" si="16"/>
        <v>0</v>
      </c>
      <c r="L66" s="796">
        <v>0</v>
      </c>
      <c r="M66" s="796">
        <f t="shared" si="17"/>
        <v>0</v>
      </c>
      <c r="N66" s="796">
        <f t="shared" si="17"/>
        <v>0</v>
      </c>
      <c r="AA66" s="674"/>
      <c r="AB66" s="674"/>
      <c r="AC66" s="674"/>
      <c r="AD66" s="674"/>
      <c r="AE66" s="674"/>
      <c r="AF66" s="674"/>
      <c r="AG66" s="674"/>
      <c r="AH66" s="674"/>
      <c r="AI66" s="674"/>
      <c r="AJ66" s="674"/>
      <c r="AK66" s="674"/>
    </row>
    <row r="67" spans="1:37" s="503" customFormat="1" ht="24">
      <c r="A67" s="689" t="s">
        <v>1893</v>
      </c>
      <c r="B67" s="705">
        <f>估价对象房地状况!C21</f>
        <v>0</v>
      </c>
      <c r="C67" s="568"/>
      <c r="D67" s="695">
        <f t="shared" si="13"/>
        <v>0</v>
      </c>
      <c r="E67" s="700"/>
      <c r="F67" s="697"/>
      <c r="G67" s="698"/>
      <c r="H67" s="699" t="str">
        <f t="shared" si="14"/>
        <v>——</v>
      </c>
      <c r="I67" s="795">
        <v>0.06</v>
      </c>
      <c r="J67" s="796">
        <f t="shared" si="15"/>
        <v>0</v>
      </c>
      <c r="K67" s="796">
        <f t="shared" si="16"/>
        <v>0</v>
      </c>
      <c r="L67" s="796">
        <v>0</v>
      </c>
      <c r="M67" s="796">
        <f t="shared" si="17"/>
        <v>0</v>
      </c>
      <c r="N67" s="796">
        <f t="shared" si="17"/>
        <v>0</v>
      </c>
      <c r="AA67" s="674"/>
      <c r="AB67" s="674"/>
      <c r="AC67" s="674"/>
      <c r="AD67" s="674"/>
      <c r="AE67" s="674"/>
      <c r="AF67" s="674"/>
      <c r="AG67" s="674"/>
      <c r="AH67" s="674"/>
      <c r="AI67" s="674"/>
      <c r="AJ67" s="674"/>
      <c r="AK67" s="674"/>
    </row>
    <row r="68" spans="1:37" s="503" customFormat="1" ht="24">
      <c r="A68" s="689" t="s">
        <v>1894</v>
      </c>
      <c r="B68" s="705">
        <f>估价对象房地状况!C22</f>
        <v>0</v>
      </c>
      <c r="C68" s="568"/>
      <c r="D68" s="695">
        <f t="shared" si="13"/>
        <v>0</v>
      </c>
      <c r="E68" s="700"/>
      <c r="F68" s="697"/>
      <c r="G68" s="698"/>
      <c r="H68" s="699" t="str">
        <f t="shared" si="14"/>
        <v>——</v>
      </c>
      <c r="I68" s="795">
        <v>0.09</v>
      </c>
      <c r="J68" s="796">
        <f t="shared" si="15"/>
        <v>0</v>
      </c>
      <c r="K68" s="796">
        <f t="shared" si="16"/>
        <v>0</v>
      </c>
      <c r="L68" s="796">
        <v>0</v>
      </c>
      <c r="M68" s="796">
        <f t="shared" si="17"/>
        <v>0</v>
      </c>
      <c r="N68" s="796">
        <f t="shared" si="17"/>
        <v>0</v>
      </c>
      <c r="AA68" s="674"/>
      <c r="AB68" s="674"/>
      <c r="AC68" s="674"/>
      <c r="AD68" s="674"/>
      <c r="AE68" s="674"/>
      <c r="AF68" s="674"/>
      <c r="AG68" s="674"/>
      <c r="AH68" s="674"/>
      <c r="AI68" s="674"/>
      <c r="AJ68" s="674"/>
      <c r="AK68" s="674"/>
    </row>
    <row r="69" spans="1:37" s="503" customFormat="1" ht="36">
      <c r="A69" s="706" t="s">
        <v>1895</v>
      </c>
      <c r="B69" s="827">
        <f>估价对象房地状况!C20</f>
        <v>0</v>
      </c>
      <c r="C69" s="568"/>
      <c r="D69" s="695">
        <f t="shared" si="13"/>
        <v>0</v>
      </c>
      <c r="E69" s="708"/>
      <c r="F69" s="697"/>
      <c r="G69" s="698"/>
      <c r="H69" s="699" t="str">
        <f t="shared" si="14"/>
        <v>——</v>
      </c>
      <c r="I69" s="797">
        <v>7.0000000000000007E-2</v>
      </c>
      <c r="J69" s="796">
        <f t="shared" si="15"/>
        <v>0</v>
      </c>
      <c r="K69" s="796">
        <f t="shared" si="16"/>
        <v>0</v>
      </c>
      <c r="L69" s="796">
        <v>0</v>
      </c>
      <c r="M69" s="796">
        <f t="shared" si="17"/>
        <v>0</v>
      </c>
      <c r="N69" s="796">
        <f t="shared" si="17"/>
        <v>0</v>
      </c>
      <c r="AA69" s="674"/>
      <c r="AB69" s="674"/>
      <c r="AC69" s="674"/>
      <c r="AD69" s="674"/>
      <c r="AE69" s="674"/>
      <c r="AF69" s="674"/>
      <c r="AG69" s="674"/>
      <c r="AH69" s="674"/>
      <c r="AI69" s="674"/>
      <c r="AJ69" s="674"/>
      <c r="AK69" s="674"/>
    </row>
    <row r="70" spans="1:37" s="503" customFormat="1" ht="14.4">
      <c r="A70" s="683" t="s">
        <v>1899</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5.2">
      <c r="A71" s="689" t="s">
        <v>1877</v>
      </c>
      <c r="B71" s="690"/>
      <c r="C71" s="690" t="s">
        <v>1879</v>
      </c>
      <c r="D71" s="690" t="s">
        <v>1880</v>
      </c>
      <c r="E71" s="691" t="s">
        <v>1881</v>
      </c>
      <c r="F71" s="692" t="s">
        <v>1897</v>
      </c>
      <c r="G71" s="690" t="s">
        <v>1706</v>
      </c>
      <c r="H71" s="693" t="s">
        <v>1883</v>
      </c>
      <c r="I71" s="690" t="s">
        <v>1884</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1900</v>
      </c>
      <c r="B72" s="694">
        <f>估价对象房地状况!C15</f>
        <v>0</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24">
      <c r="A73" s="689" t="s">
        <v>1886</v>
      </c>
      <c r="B73" s="690">
        <f>估价对象房地状况!C18</f>
        <v>0</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48">
      <c r="A74" s="701" t="s">
        <v>1887</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3.8">
      <c r="A75" s="689" t="s">
        <v>1901</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4">
      <c r="A76" s="689" t="s">
        <v>1893</v>
      </c>
      <c r="B76" s="705">
        <f>估价对象房地状况!C21</f>
        <v>0</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4">
      <c r="A77" s="689" t="s">
        <v>1894</v>
      </c>
      <c r="B77" s="705">
        <f>估价对象房地状况!C22</f>
        <v>0</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36">
      <c r="A78" s="689" t="s">
        <v>1891</v>
      </c>
      <c r="B78" s="703" t="s">
        <v>1892</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36">
      <c r="A79" s="689" t="s">
        <v>1895</v>
      </c>
      <c r="B79" s="694">
        <f>估价对象房地状况!C20</f>
        <v>0</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36">
      <c r="A80" s="706" t="s">
        <v>1902</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4.4">
      <c r="A81" s="683" t="s">
        <v>1903</v>
      </c>
      <c r="B81" s="684">
        <f>1+E83</f>
        <v>1</v>
      </c>
      <c r="C81" s="686"/>
      <c r="D81" s="686"/>
      <c r="E81" s="687"/>
      <c r="F81" s="688"/>
      <c r="G81" s="682"/>
      <c r="H81" s="682"/>
      <c r="I81" s="682"/>
      <c r="J81" s="681"/>
      <c r="K81" s="681"/>
      <c r="L81" s="681"/>
      <c r="M81" s="681"/>
      <c r="N81" s="681"/>
      <c r="Z81" s="507"/>
      <c r="AA81" s="505"/>
      <c r="AG81" s="509"/>
      <c r="AK81" s="505"/>
    </row>
    <row r="82" spans="1:37" ht="25.2">
      <c r="A82" s="689" t="s">
        <v>1877</v>
      </c>
      <c r="B82" s="690"/>
      <c r="C82" s="690" t="s">
        <v>1879</v>
      </c>
      <c r="D82" s="690" t="s">
        <v>1880</v>
      </c>
      <c r="E82" s="691" t="s">
        <v>1881</v>
      </c>
      <c r="F82" s="692" t="s">
        <v>1897</v>
      </c>
      <c r="G82" s="690" t="s">
        <v>1706</v>
      </c>
      <c r="H82" s="693" t="s">
        <v>1883</v>
      </c>
      <c r="I82" s="690" t="s">
        <v>1884</v>
      </c>
      <c r="J82" s="794" t="s">
        <v>1448</v>
      </c>
      <c r="K82" s="794" t="s">
        <v>1449</v>
      </c>
      <c r="L82" s="794" t="s">
        <v>1450</v>
      </c>
      <c r="M82" s="794" t="s">
        <v>1451</v>
      </c>
      <c r="N82" s="794" t="s">
        <v>1452</v>
      </c>
      <c r="Z82" s="507"/>
      <c r="AA82" s="505"/>
      <c r="AG82" s="509"/>
      <c r="AK82" s="505"/>
    </row>
    <row r="83" spans="1:37" ht="39.6">
      <c r="A83" s="689" t="s">
        <v>1904</v>
      </c>
      <c r="B83" s="690" t="str">
        <f>估价对象房地状况!G15</f>
        <v>估价对象位于XX开发区，园区建设成熟度XX，产业集聚程度XX</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52.8">
      <c r="A84" s="689" t="s">
        <v>1886</v>
      </c>
      <c r="B84" s="690" t="str">
        <f>估价对象房地状况!G16</f>
        <v>估价对象周边道路状况、公共交通通达情况、停车便捷程度，综合评价交通便捷度较好</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48">
      <c r="A85" s="701" t="s">
        <v>1887</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3.8">
      <c r="A86" s="689" t="s">
        <v>1901</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6.4">
      <c r="A87" s="689" t="s">
        <v>1893</v>
      </c>
      <c r="B87" s="705" t="str">
        <f>估价对象房地状况!G19</f>
        <v>估价对象所在区域公共配套设施齐备情况</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6.4">
      <c r="A88" s="689" t="s">
        <v>1894</v>
      </c>
      <c r="B88" s="705" t="str">
        <f>估价对象房地状况!G20</f>
        <v>估价对象所在区域基础设施水平</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36">
      <c r="A89" s="689" t="s">
        <v>1891</v>
      </c>
      <c r="B89" s="703" t="s">
        <v>1905</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39.6">
      <c r="A90" s="706" t="s">
        <v>1906</v>
      </c>
      <c r="B90" s="831" t="str">
        <f>估价对象房地状况!G18</f>
        <v>该园区内是否有污染型企业，绿化情况，卫生条件，整体环境状况判断</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3.8">
      <c r="A91" s="832" t="s">
        <v>231</v>
      </c>
      <c r="B91" s="833">
        <f>1+E93</f>
        <v>1</v>
      </c>
      <c r="C91" s="834"/>
      <c r="D91" s="835"/>
      <c r="E91" s="697"/>
      <c r="F91" s="697"/>
      <c r="G91" s="836"/>
      <c r="H91" s="837"/>
      <c r="I91" s="870"/>
      <c r="J91" s="871"/>
      <c r="K91" s="871"/>
      <c r="L91" s="871"/>
      <c r="M91" s="871"/>
      <c r="N91" s="871"/>
    </row>
    <row r="92" spans="1:37" ht="25.2">
      <c r="A92" s="838" t="s">
        <v>1877</v>
      </c>
      <c r="B92" s="580"/>
      <c r="C92" s="580" t="s">
        <v>1879</v>
      </c>
      <c r="D92" s="580" t="s">
        <v>1880</v>
      </c>
      <c r="E92" s="808" t="s">
        <v>1881</v>
      </c>
      <c r="F92" s="839" t="s">
        <v>1897</v>
      </c>
      <c r="G92" s="580" t="s">
        <v>1706</v>
      </c>
      <c r="H92" s="840" t="s">
        <v>1883</v>
      </c>
      <c r="I92" s="580" t="s">
        <v>1884</v>
      </c>
      <c r="J92" s="872" t="s">
        <v>1448</v>
      </c>
      <c r="K92" s="872" t="s">
        <v>1449</v>
      </c>
      <c r="L92" s="872" t="s">
        <v>1450</v>
      </c>
      <c r="M92" s="872" t="s">
        <v>1451</v>
      </c>
      <c r="N92" s="872" t="s">
        <v>1452</v>
      </c>
    </row>
    <row r="93" spans="1:37" ht="24">
      <c r="A93" s="701" t="s">
        <v>1907</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24">
      <c r="A94" s="838" t="s">
        <v>1886</v>
      </c>
      <c r="B94" s="844">
        <f>估价对象房地状况!C18</f>
        <v>0</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48">
      <c r="A95" s="701" t="s">
        <v>1887</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7.200000000000003">
      <c r="A96" s="838" t="s">
        <v>1888</v>
      </c>
      <c r="B96" s="846" t="s">
        <v>1889</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1890</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36">
      <c r="A98" s="838" t="s">
        <v>1891</v>
      </c>
      <c r="B98" s="847" t="s">
        <v>1892</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4">
      <c r="A99" s="838" t="s">
        <v>1893</v>
      </c>
      <c r="B99" s="844">
        <f>估价对象房地状况!C21</f>
        <v>0</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4">
      <c r="A100" s="838" t="s">
        <v>1894</v>
      </c>
      <c r="B100" s="844">
        <f>估价对象房地状况!C22</f>
        <v>0</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36">
      <c r="A101" s="848" t="s">
        <v>1895</v>
      </c>
      <c r="B101" s="849">
        <f>估价对象房地状况!C20</f>
        <v>0</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461" t="s">
        <v>1908</v>
      </c>
      <c r="B103" s="3461"/>
      <c r="C103" s="3461"/>
      <c r="D103" s="3461"/>
      <c r="E103" s="3461"/>
      <c r="F103" s="3461"/>
      <c r="G103" s="3461"/>
      <c r="H103" s="3461"/>
      <c r="I103" s="3461"/>
      <c r="J103" s="3461"/>
      <c r="K103" s="851"/>
      <c r="L103" s="851"/>
      <c r="M103" s="851"/>
      <c r="N103" s="851"/>
    </row>
    <row r="104" spans="1:14">
      <c r="A104" s="3467" t="s">
        <v>1909</v>
      </c>
      <c r="B104" s="3467" t="s">
        <v>1910</v>
      </c>
      <c r="C104" s="853" t="s">
        <v>1911</v>
      </c>
      <c r="D104" s="854"/>
      <c r="E104" s="854"/>
      <c r="F104" s="854"/>
      <c r="G104" s="854"/>
      <c r="H104" s="854"/>
      <c r="I104" s="854"/>
      <c r="J104" s="873"/>
      <c r="K104" s="874"/>
      <c r="L104" s="874"/>
      <c r="M104" s="874"/>
      <c r="N104" s="874"/>
    </row>
    <row r="105" spans="1:14">
      <c r="A105" s="3467"/>
      <c r="B105" s="3467"/>
      <c r="C105" s="852" t="s">
        <v>1763</v>
      </c>
      <c r="D105" s="852" t="s">
        <v>1764</v>
      </c>
      <c r="E105" s="852" t="s">
        <v>1765</v>
      </c>
      <c r="F105" s="852" t="s">
        <v>1766</v>
      </c>
      <c r="G105" s="852" t="s">
        <v>1767</v>
      </c>
      <c r="H105" s="852" t="s">
        <v>1768</v>
      </c>
      <c r="I105" s="852" t="s">
        <v>1769</v>
      </c>
      <c r="J105" s="852" t="s">
        <v>1770</v>
      </c>
      <c r="K105" s="852" t="s">
        <v>1771</v>
      </c>
      <c r="L105" s="852" t="s">
        <v>1772</v>
      </c>
      <c r="M105" s="852" t="s">
        <v>1773</v>
      </c>
      <c r="N105" s="852" t="s">
        <v>1774</v>
      </c>
    </row>
    <row r="106" spans="1:14">
      <c r="A106" s="3468" t="s">
        <v>1912</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69"/>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69"/>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69"/>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69"/>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69"/>
      <c r="B111" s="852" t="s">
        <v>1779</v>
      </c>
      <c r="C111" s="855">
        <f>$I$3</f>
        <v>1</v>
      </c>
      <c r="D111" s="855">
        <f t="shared" ref="D111:N111" si="33">$I$3</f>
        <v>1</v>
      </c>
      <c r="E111" s="855">
        <f t="shared" si="33"/>
        <v>1</v>
      </c>
      <c r="F111" s="855">
        <f t="shared" si="33"/>
        <v>1</v>
      </c>
      <c r="G111" s="855">
        <f t="shared" si="33"/>
        <v>1</v>
      </c>
      <c r="H111" s="855">
        <f t="shared" si="33"/>
        <v>1</v>
      </c>
      <c r="I111" s="855">
        <f t="shared" si="33"/>
        <v>1</v>
      </c>
      <c r="J111" s="855">
        <f t="shared" si="33"/>
        <v>1</v>
      </c>
      <c r="K111" s="855">
        <f t="shared" si="33"/>
        <v>1</v>
      </c>
      <c r="L111" s="855">
        <f t="shared" si="33"/>
        <v>1</v>
      </c>
      <c r="M111" s="855">
        <f t="shared" si="33"/>
        <v>1</v>
      </c>
      <c r="N111" s="855">
        <f t="shared" si="33"/>
        <v>1</v>
      </c>
    </row>
    <row r="112" spans="1:14">
      <c r="A112" s="3470"/>
      <c r="B112" s="852">
        <v>6</v>
      </c>
      <c r="C112" s="840">
        <f>(-0.5556*(C111^2)-0.2719*C111+8944)*(10^(-4))</f>
        <v>0.89431725000000006</v>
      </c>
      <c r="D112" s="840">
        <f>(-0.5556*(D111^2)-0.2719*D111+8944)*(10^(-4))</f>
        <v>0.89431725000000006</v>
      </c>
      <c r="E112" s="840">
        <f>(-0.7912*(E111^2)-11.3794*E111+8482)*(10^(-4))</f>
        <v>0.84698294000000007</v>
      </c>
      <c r="F112" s="840">
        <f t="shared" ref="F112:I112" si="34">(-0.7912*(F111^2)-11.3794*F111+8482)*(10^(-4))</f>
        <v>0.84698294000000007</v>
      </c>
      <c r="G112" s="840">
        <f t="shared" si="34"/>
        <v>0.84698294000000007</v>
      </c>
      <c r="H112" s="840">
        <f t="shared" si="34"/>
        <v>0.84698294000000007</v>
      </c>
      <c r="I112" s="840">
        <f t="shared" si="34"/>
        <v>0.84698294000000007</v>
      </c>
      <c r="J112" s="840">
        <f>(-0.989*(J111^2)-63.78*J111+7771)*(10^(-4))</f>
        <v>0.77062310000000001</v>
      </c>
      <c r="K112" s="840">
        <f t="shared" ref="K112:N112" si="35">(-0.989*(K111^2)-63.78*K111+7771)*(10^(-4))</f>
        <v>0.77062310000000001</v>
      </c>
      <c r="L112" s="840">
        <f t="shared" si="35"/>
        <v>0.77062310000000001</v>
      </c>
      <c r="M112" s="840">
        <f t="shared" si="35"/>
        <v>0.77062310000000001</v>
      </c>
      <c r="N112" s="840">
        <f t="shared" si="35"/>
        <v>0.77062310000000001</v>
      </c>
    </row>
    <row r="113" spans="1:14">
      <c r="A113" s="3462" t="s">
        <v>1913</v>
      </c>
      <c r="B113" s="3462"/>
      <c r="C113" s="3462"/>
      <c r="D113" s="3462"/>
      <c r="E113" s="3462"/>
      <c r="F113" s="3462"/>
      <c r="G113" s="3462"/>
      <c r="H113" s="3462"/>
      <c r="I113" s="3462"/>
      <c r="J113" s="3462"/>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5.2">
      <c r="A116" s="858" t="s">
        <v>1914</v>
      </c>
      <c r="B116" s="859">
        <f>G3</f>
        <v>3.5</v>
      </c>
      <c r="C116" s="860" t="s">
        <v>1915</v>
      </c>
      <c r="D116" s="861">
        <f>SUMPRODUCT((A118:A122=F116)*(B117:M117=H116)*B118:M122)</f>
        <v>0.95830000000000004</v>
      </c>
      <c r="E116" s="513" t="s">
        <v>1739</v>
      </c>
      <c r="F116" s="862" t="str">
        <f>E2</f>
        <v>商业</v>
      </c>
      <c r="G116" s="513" t="s">
        <v>1740</v>
      </c>
      <c r="H116" s="862" t="str">
        <f>G2</f>
        <v>二级</v>
      </c>
      <c r="I116" s="513"/>
      <c r="J116" s="875"/>
      <c r="K116" s="875"/>
      <c r="L116" s="875"/>
      <c r="M116" s="875"/>
      <c r="N116" s="857"/>
    </row>
    <row r="117" spans="1:14">
      <c r="A117" s="863"/>
      <c r="B117" s="864" t="s">
        <v>1916</v>
      </c>
      <c r="C117" s="864" t="s">
        <v>1917</v>
      </c>
      <c r="D117" s="864" t="s">
        <v>1918</v>
      </c>
      <c r="E117" s="865" t="s">
        <v>1919</v>
      </c>
      <c r="F117" s="865" t="s">
        <v>1920</v>
      </c>
      <c r="G117" s="865" t="s">
        <v>1921</v>
      </c>
      <c r="H117" s="866" t="s">
        <v>1922</v>
      </c>
      <c r="I117" s="866" t="s">
        <v>1923</v>
      </c>
      <c r="J117" s="876" t="s">
        <v>1924</v>
      </c>
      <c r="K117" s="876" t="s">
        <v>1925</v>
      </c>
      <c r="L117" s="876" t="s">
        <v>1926</v>
      </c>
      <c r="M117" s="877" t="s">
        <v>1927</v>
      </c>
      <c r="N117" s="857"/>
    </row>
    <row r="118" spans="1:14">
      <c r="A118" s="773" t="s">
        <v>1846</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6">I118</f>
        <v>0.78559999999999997</v>
      </c>
      <c r="K118" s="840">
        <f t="shared" si="36"/>
        <v>0.78559999999999997</v>
      </c>
      <c r="L118" s="840">
        <f t="shared" si="36"/>
        <v>0.78559999999999997</v>
      </c>
      <c r="M118" s="878">
        <f t="shared" si="36"/>
        <v>0.78559999999999997</v>
      </c>
      <c r="N118" s="857"/>
    </row>
    <row r="119" spans="1:14">
      <c r="A119" s="773" t="s">
        <v>1847</v>
      </c>
      <c r="B119" s="840">
        <f>ROUND(0.993-0.0112*B116,4)</f>
        <v>0.95379999999999998</v>
      </c>
      <c r="C119" s="840">
        <f>B119</f>
        <v>0.95379999999999998</v>
      </c>
      <c r="D119" s="840">
        <f>ROUND(0.9415-0.0142*B116,4)</f>
        <v>0.89180000000000004</v>
      </c>
      <c r="E119" s="840">
        <f t="shared" ref="E119:H120" si="37">D119</f>
        <v>0.89180000000000004</v>
      </c>
      <c r="F119" s="840">
        <f t="shared" si="37"/>
        <v>0.89180000000000004</v>
      </c>
      <c r="G119" s="840">
        <f t="shared" si="37"/>
        <v>0.89180000000000004</v>
      </c>
      <c r="H119" s="840">
        <f t="shared" si="37"/>
        <v>0.89180000000000004</v>
      </c>
      <c r="I119" s="840">
        <f>ROUND(0.838-0.0182*B116,4)</f>
        <v>0.77429999999999999</v>
      </c>
      <c r="J119" s="840">
        <f t="shared" si="36"/>
        <v>0.77429999999999999</v>
      </c>
      <c r="K119" s="840">
        <f t="shared" si="36"/>
        <v>0.77429999999999999</v>
      </c>
      <c r="L119" s="840">
        <f t="shared" si="36"/>
        <v>0.77429999999999999</v>
      </c>
      <c r="M119" s="878">
        <f t="shared" si="36"/>
        <v>0.77429999999999999</v>
      </c>
      <c r="N119" s="857"/>
    </row>
    <row r="120" spans="1:14">
      <c r="A120" s="773" t="s">
        <v>1848</v>
      </c>
      <c r="B120" s="840">
        <f>ROUND(0.9448-0.0115*B116,4)</f>
        <v>0.90459999999999996</v>
      </c>
      <c r="C120" s="840">
        <f>B120</f>
        <v>0.90459999999999996</v>
      </c>
      <c r="D120" s="840">
        <f>ROUND(0.937-0.0145*B116,4)</f>
        <v>0.88629999999999998</v>
      </c>
      <c r="E120" s="840">
        <f t="shared" si="37"/>
        <v>0.88629999999999998</v>
      </c>
      <c r="F120" s="840">
        <f t="shared" si="37"/>
        <v>0.88629999999999998</v>
      </c>
      <c r="G120" s="840">
        <f t="shared" si="37"/>
        <v>0.88629999999999998</v>
      </c>
      <c r="H120" s="840">
        <f t="shared" si="37"/>
        <v>0.88629999999999998</v>
      </c>
      <c r="I120" s="840">
        <f>ROUND(0.7965-0.0185*B116,4)</f>
        <v>0.73180000000000001</v>
      </c>
      <c r="J120" s="840">
        <f t="shared" si="36"/>
        <v>0.73180000000000001</v>
      </c>
      <c r="K120" s="840">
        <f t="shared" si="36"/>
        <v>0.73180000000000001</v>
      </c>
      <c r="L120" s="840">
        <f t="shared" si="36"/>
        <v>0.73180000000000001</v>
      </c>
      <c r="M120" s="878">
        <f t="shared" si="36"/>
        <v>0.73180000000000001</v>
      </c>
      <c r="N120" s="857"/>
    </row>
    <row r="121" spans="1:14">
      <c r="A121" s="867" t="s">
        <v>1849</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6"/>
        <v>0.52400000000000002</v>
      </c>
      <c r="K121" s="868">
        <f t="shared" si="36"/>
        <v>0.52400000000000002</v>
      </c>
      <c r="L121" s="868">
        <f t="shared" si="36"/>
        <v>0.52400000000000002</v>
      </c>
      <c r="M121" s="879">
        <f t="shared" si="36"/>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8">D122</f>
        <v>0.84830000000000005</v>
      </c>
      <c r="F122" s="840">
        <f t="shared" si="38"/>
        <v>0.84830000000000005</v>
      </c>
      <c r="G122" s="840">
        <f t="shared" si="38"/>
        <v>0.84830000000000005</v>
      </c>
      <c r="H122" s="840">
        <f t="shared" si="38"/>
        <v>0.84830000000000005</v>
      </c>
      <c r="I122" s="840">
        <f>ROUND(0.7632-0.0166*B116,4)</f>
        <v>0.70509999999999995</v>
      </c>
      <c r="J122" s="840">
        <f t="shared" si="36"/>
        <v>0.70509999999999995</v>
      </c>
      <c r="K122" s="840">
        <f t="shared" si="36"/>
        <v>0.70509999999999995</v>
      </c>
      <c r="L122" s="840">
        <f t="shared" si="36"/>
        <v>0.70509999999999995</v>
      </c>
      <c r="M122" s="878">
        <f t="shared" si="36"/>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300-000000000000}">
      <formula1>INDIRECT(E2)</formula1>
    </dataValidation>
    <dataValidation type="list" allowBlank="1" showInputMessage="1" showErrorMessage="1" sqref="F3" xr:uid="{00000000-0002-0000-2300-000001000000}">
      <formula1>"宗地容积率,估价对象容积率,自定义容积率"</formula1>
    </dataValidation>
    <dataValidation type="list" allowBlank="1" showInputMessage="1" showErrorMessage="1" sqref="C8" xr:uid="{00000000-0002-0000-2300-000002000000}">
      <formula1>商业街名称</formula1>
    </dataValidation>
    <dataValidation type="list" allowBlank="1" showInputMessage="1" showErrorMessage="1" sqref="C15:D15" xr:uid="{00000000-0002-0000-2300-000003000000}">
      <formula1>"有,无"</formula1>
    </dataValidation>
    <dataValidation type="list" allowBlank="1" showInputMessage="1" showErrorMessage="1" sqref="E15" xr:uid="{00000000-0002-0000-2300-000004000000}">
      <formula1>"500米范围内,500-1000米,1000米以外"</formula1>
    </dataValidation>
    <dataValidation type="list" allowBlank="1" showInputMessage="1" showErrorMessage="1" sqref="H20:O20" xr:uid="{00000000-0002-0000-2300-000005000000}">
      <formula1>七通一平</formula1>
    </dataValidation>
    <dataValidation type="list" allowBlank="1" showInputMessage="1" showErrorMessage="1" sqref="F21" xr:uid="{00000000-0002-0000-2300-000006000000}">
      <formula1>"与级别开发程度一致,与级别开发程度不一致"</formula1>
    </dataValidation>
    <dataValidation type="list" allowBlank="1" showInputMessage="1" showErrorMessage="1" sqref="H23" xr:uid="{00000000-0002-0000-2300-000007000000}">
      <formula1>"地价指数,季度增幅（自定义）,按公示增长率计算"</formula1>
    </dataValidation>
    <dataValidation type="list" allowBlank="1" showInputMessage="1" showErrorMessage="1" sqref="J23" xr:uid="{00000000-0002-0000-2300-000008000000}">
      <formula1>"不用分区数据,中心城区,中心城区以外"</formula1>
    </dataValidation>
    <dataValidation type="list" allowBlank="1" showInputMessage="1" showErrorMessage="1" sqref="B25" xr:uid="{00000000-0002-0000-2300-000009000000}">
      <formula1>"容积率修正,楼层修正"</formula1>
    </dataValidation>
    <dataValidation type="list" allowBlank="1" showInputMessage="1" showErrorMessage="1" sqref="C50:C58 C61:C69 C72:C80 C83:C91 C93:C101" xr:uid="{00000000-0002-0000-23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1928</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1929</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1930</v>
      </c>
      <c r="B18" s="457"/>
      <c r="C18" s="458"/>
      <c r="D18" s="458"/>
      <c r="E18" s="457"/>
      <c r="F18" s="458"/>
      <c r="G18" s="458"/>
    </row>
    <row r="19" spans="1:13" ht="19.5" customHeight="1">
      <c r="A19" s="456" t="s">
        <v>1931</v>
      </c>
      <c r="B19" s="459" t="s">
        <v>1932</v>
      </c>
      <c r="C19" s="459" t="s">
        <v>1933</v>
      </c>
      <c r="D19" s="460"/>
      <c r="E19" s="456" t="s">
        <v>1934</v>
      </c>
      <c r="F19" s="461"/>
      <c r="G19" s="461"/>
    </row>
    <row r="20" spans="1:13" ht="19.5" customHeight="1">
      <c r="A20" s="3476" t="s">
        <v>229</v>
      </c>
      <c r="B20" s="3482" t="s">
        <v>1935</v>
      </c>
      <c r="C20" s="462" t="s">
        <v>244</v>
      </c>
      <c r="D20" s="462"/>
      <c r="E20" s="463">
        <v>1</v>
      </c>
      <c r="F20" s="464" t="s">
        <v>1936</v>
      </c>
      <c r="G20" s="464"/>
    </row>
    <row r="21" spans="1:13" ht="19.5" customHeight="1">
      <c r="A21" s="3477"/>
      <c r="B21" s="3472"/>
      <c r="C21" s="465" t="s">
        <v>259</v>
      </c>
      <c r="D21" s="465"/>
      <c r="E21" s="466">
        <v>1</v>
      </c>
      <c r="F21" s="464" t="s">
        <v>1937</v>
      </c>
      <c r="G21" s="464"/>
    </row>
    <row r="22" spans="1:13" ht="19.5" customHeight="1">
      <c r="A22" s="3477"/>
      <c r="B22" s="3472"/>
      <c r="C22" s="465" t="s">
        <v>270</v>
      </c>
      <c r="D22" s="465"/>
      <c r="E22" s="466">
        <v>0.9</v>
      </c>
      <c r="F22" s="464" t="s">
        <v>1938</v>
      </c>
      <c r="G22" s="464"/>
    </row>
    <row r="23" spans="1:13" ht="19.5" customHeight="1">
      <c r="A23" s="3477"/>
      <c r="B23" s="3472"/>
      <c r="C23" s="465" t="s">
        <v>281</v>
      </c>
      <c r="D23" s="465"/>
      <c r="E23" s="466">
        <v>0.9</v>
      </c>
      <c r="F23" s="464" t="s">
        <v>1939</v>
      </c>
      <c r="G23" s="464"/>
    </row>
    <row r="24" spans="1:13" ht="19.5" customHeight="1">
      <c r="A24" s="3477"/>
      <c r="B24" s="3472"/>
      <c r="C24" s="465" t="s">
        <v>290</v>
      </c>
      <c r="D24" s="465"/>
      <c r="E24" s="466">
        <v>0.8</v>
      </c>
      <c r="F24" s="464" t="s">
        <v>1940</v>
      </c>
      <c r="G24" s="464"/>
    </row>
    <row r="25" spans="1:13" ht="19.5" customHeight="1">
      <c r="A25" s="3477"/>
      <c r="B25" s="3472"/>
      <c r="C25" s="465" t="s">
        <v>298</v>
      </c>
      <c r="D25" s="465"/>
      <c r="E25" s="466">
        <v>0.8</v>
      </c>
      <c r="F25" s="464"/>
      <c r="G25" s="464"/>
    </row>
    <row r="26" spans="1:13" ht="19.5" customHeight="1">
      <c r="A26" s="3477"/>
      <c r="B26" s="3472"/>
      <c r="C26" s="465" t="s">
        <v>306</v>
      </c>
      <c r="D26" s="465"/>
      <c r="E26" s="466">
        <v>0.43</v>
      </c>
      <c r="F26" s="464"/>
      <c r="G26" s="464"/>
    </row>
    <row r="27" spans="1:13" ht="19.5" customHeight="1">
      <c r="A27" s="3478"/>
      <c r="B27" s="3483"/>
      <c r="C27" s="467" t="s">
        <v>313</v>
      </c>
      <c r="D27" s="467"/>
      <c r="E27" s="468">
        <f>E26*0.9</f>
        <v>0.38700000000000001</v>
      </c>
      <c r="F27" s="464" t="s">
        <v>1941</v>
      </c>
      <c r="G27" s="464"/>
    </row>
    <row r="28" spans="1:13" ht="19.5" customHeight="1">
      <c r="A28" s="469" t="s">
        <v>230</v>
      </c>
      <c r="B28" s="470" t="s">
        <v>1935</v>
      </c>
      <c r="C28" s="471" t="s">
        <v>245</v>
      </c>
      <c r="D28" s="472"/>
      <c r="E28" s="473">
        <v>1</v>
      </c>
      <c r="F28" s="464" t="s">
        <v>1942</v>
      </c>
      <c r="G28" s="464"/>
    </row>
    <row r="29" spans="1:13" ht="19.5" customHeight="1">
      <c r="A29" s="3479" t="s">
        <v>231</v>
      </c>
      <c r="B29" s="3484" t="s">
        <v>231</v>
      </c>
      <c r="C29" s="474" t="s">
        <v>246</v>
      </c>
      <c r="D29" s="475"/>
      <c r="E29" s="463">
        <v>1</v>
      </c>
      <c r="F29" s="464" t="s">
        <v>1943</v>
      </c>
      <c r="G29" s="464"/>
    </row>
    <row r="30" spans="1:13" ht="19.5" customHeight="1">
      <c r="A30" s="3480"/>
      <c r="B30" s="3475"/>
      <c r="C30" s="476" t="s">
        <v>260</v>
      </c>
      <c r="D30" s="477"/>
      <c r="E30" s="466">
        <v>1</v>
      </c>
      <c r="F30" s="464" t="s">
        <v>1944</v>
      </c>
      <c r="G30" s="464"/>
    </row>
    <row r="31" spans="1:13" ht="19.5" customHeight="1">
      <c r="A31" s="3480"/>
      <c r="B31" s="3475"/>
      <c r="C31" s="476" t="s">
        <v>271</v>
      </c>
      <c r="D31" s="477"/>
      <c r="E31" s="466">
        <v>0.8</v>
      </c>
      <c r="F31" s="464" t="s">
        <v>1945</v>
      </c>
      <c r="G31" s="464"/>
    </row>
    <row r="32" spans="1:13" ht="19.5" customHeight="1">
      <c r="A32" s="3480"/>
      <c r="B32" s="3475"/>
      <c r="C32" s="476" t="s">
        <v>282</v>
      </c>
      <c r="D32" s="477"/>
      <c r="E32" s="466">
        <v>0.8</v>
      </c>
      <c r="F32" s="464" t="s">
        <v>1946</v>
      </c>
      <c r="G32" s="464"/>
    </row>
    <row r="33" spans="1:7" ht="19.5" customHeight="1">
      <c r="A33" s="3480"/>
      <c r="B33" s="3475"/>
      <c r="C33" s="476" t="s">
        <v>291</v>
      </c>
      <c r="D33" s="477"/>
      <c r="E33" s="466">
        <v>0.8</v>
      </c>
      <c r="F33" s="464" t="s">
        <v>1947</v>
      </c>
      <c r="G33" s="464"/>
    </row>
    <row r="34" spans="1:7" ht="19.5" customHeight="1">
      <c r="A34" s="3480"/>
      <c r="B34" s="3475"/>
      <c r="C34" s="476" t="s">
        <v>299</v>
      </c>
      <c r="D34" s="477"/>
      <c r="E34" s="466">
        <v>0.7</v>
      </c>
      <c r="F34" s="464" t="s">
        <v>1948</v>
      </c>
      <c r="G34" s="464"/>
    </row>
    <row r="35" spans="1:7" ht="19.5" customHeight="1">
      <c r="A35" s="3480"/>
      <c r="B35" s="3475"/>
      <c r="C35" s="476" t="s">
        <v>307</v>
      </c>
      <c r="D35" s="477"/>
      <c r="E35" s="466">
        <v>0.8</v>
      </c>
      <c r="F35" s="464" t="s">
        <v>1949</v>
      </c>
      <c r="G35" s="464"/>
    </row>
    <row r="36" spans="1:7" ht="19.5" customHeight="1">
      <c r="A36" s="3480"/>
      <c r="B36" s="3475"/>
      <c r="C36" s="476" t="s">
        <v>314</v>
      </c>
      <c r="D36" s="477"/>
      <c r="E36" s="466">
        <v>0.6</v>
      </c>
      <c r="F36" s="464" t="s">
        <v>1950</v>
      </c>
      <c r="G36" s="464"/>
    </row>
    <row r="37" spans="1:7" ht="19.5" customHeight="1">
      <c r="A37" s="3480"/>
      <c r="B37" s="3475"/>
      <c r="C37" s="476" t="s">
        <v>320</v>
      </c>
      <c r="D37" s="477"/>
      <c r="E37" s="466">
        <v>0.2</v>
      </c>
      <c r="F37" s="464" t="s">
        <v>1951</v>
      </c>
      <c r="G37" s="464"/>
    </row>
    <row r="38" spans="1:7" ht="19.5" customHeight="1">
      <c r="A38" s="3480"/>
      <c r="B38" s="3475"/>
      <c r="C38" s="476" t="s">
        <v>326</v>
      </c>
      <c r="D38" s="477"/>
      <c r="E38" s="466">
        <v>0.2</v>
      </c>
      <c r="F38" s="464" t="s">
        <v>1952</v>
      </c>
      <c r="G38" s="464"/>
    </row>
    <row r="39" spans="1:7" ht="19.5" customHeight="1">
      <c r="A39" s="3480"/>
      <c r="B39" s="3473" t="s">
        <v>1953</v>
      </c>
      <c r="C39" s="476" t="s">
        <v>332</v>
      </c>
      <c r="D39" s="477"/>
      <c r="E39" s="466">
        <v>0.6</v>
      </c>
      <c r="F39" s="464" t="s">
        <v>1954</v>
      </c>
      <c r="G39" s="464"/>
    </row>
    <row r="40" spans="1:7" ht="19.5" customHeight="1">
      <c r="A40" s="3480"/>
      <c r="B40" s="3475"/>
      <c r="C40" s="476" t="s">
        <v>338</v>
      </c>
      <c r="D40" s="477"/>
      <c r="E40" s="466">
        <v>0.6</v>
      </c>
      <c r="F40" s="464" t="s">
        <v>1955</v>
      </c>
      <c r="G40" s="464"/>
    </row>
    <row r="41" spans="1:7" ht="19.5" customHeight="1">
      <c r="A41" s="3481"/>
      <c r="B41" s="3485"/>
      <c r="C41" s="478" t="s">
        <v>342</v>
      </c>
      <c r="D41" s="479"/>
      <c r="E41" s="468">
        <v>0.6</v>
      </c>
      <c r="F41" s="464" t="s">
        <v>1956</v>
      </c>
      <c r="G41" s="464"/>
    </row>
    <row r="42" spans="1:7" ht="19.5" customHeight="1">
      <c r="A42" s="480" t="s">
        <v>232</v>
      </c>
      <c r="B42" s="481" t="s">
        <v>232</v>
      </c>
      <c r="C42" s="482" t="s">
        <v>247</v>
      </c>
      <c r="D42" s="483"/>
      <c r="E42" s="484">
        <v>1</v>
      </c>
      <c r="F42" s="464" t="s">
        <v>1957</v>
      </c>
      <c r="G42" s="464"/>
    </row>
    <row r="43" spans="1:7" ht="19.5" customHeight="1">
      <c r="A43" s="3476" t="s">
        <v>233</v>
      </c>
      <c r="B43" s="3484" t="s">
        <v>1958</v>
      </c>
      <c r="C43" s="474" t="s">
        <v>248</v>
      </c>
      <c r="D43" s="475"/>
      <c r="E43" s="463">
        <v>1</v>
      </c>
      <c r="F43" s="464" t="s">
        <v>1959</v>
      </c>
      <c r="G43" s="464"/>
    </row>
    <row r="44" spans="1:7" ht="19.5" customHeight="1">
      <c r="A44" s="3477"/>
      <c r="B44" s="3475"/>
      <c r="C44" s="476" t="s">
        <v>261</v>
      </c>
      <c r="D44" s="477"/>
      <c r="E44" s="466">
        <v>1</v>
      </c>
      <c r="F44" s="464" t="s">
        <v>1960</v>
      </c>
      <c r="G44" s="464"/>
    </row>
    <row r="45" spans="1:7" ht="19.5" customHeight="1">
      <c r="A45" s="3477"/>
      <c r="B45" s="3474"/>
      <c r="C45" s="476" t="s">
        <v>272</v>
      </c>
      <c r="D45" s="477"/>
      <c r="E45" s="466">
        <v>1.5</v>
      </c>
      <c r="F45" s="464" t="s">
        <v>1961</v>
      </c>
      <c r="G45" s="464"/>
    </row>
    <row r="46" spans="1:7" ht="19.5" customHeight="1">
      <c r="A46" s="3477"/>
      <c r="B46" s="465" t="s">
        <v>231</v>
      </c>
      <c r="C46" s="476" t="s">
        <v>283</v>
      </c>
      <c r="D46" s="477"/>
      <c r="E46" s="466">
        <v>2</v>
      </c>
      <c r="F46" s="464" t="s">
        <v>1962</v>
      </c>
      <c r="G46" s="464"/>
    </row>
    <row r="47" spans="1:7" ht="19.5" customHeight="1">
      <c r="A47" s="3477"/>
      <c r="B47" s="3473" t="s">
        <v>1963</v>
      </c>
      <c r="C47" s="476" t="s">
        <v>292</v>
      </c>
      <c r="D47" s="477"/>
      <c r="E47" s="466">
        <v>1</v>
      </c>
      <c r="F47" s="464" t="s">
        <v>1964</v>
      </c>
      <c r="G47" s="464"/>
    </row>
    <row r="48" spans="1:7" ht="19.5" customHeight="1">
      <c r="A48" s="3477"/>
      <c r="B48" s="3475"/>
      <c r="C48" s="476" t="s">
        <v>300</v>
      </c>
      <c r="D48" s="477"/>
      <c r="E48" s="466">
        <v>1</v>
      </c>
      <c r="F48" s="464" t="s">
        <v>1965</v>
      </c>
      <c r="G48" s="464"/>
    </row>
    <row r="49" spans="1:7" ht="19.5" customHeight="1">
      <c r="A49" s="3477"/>
      <c r="B49" s="3475"/>
      <c r="C49" s="476" t="s">
        <v>308</v>
      </c>
      <c r="D49" s="477"/>
      <c r="E49" s="466">
        <v>1</v>
      </c>
      <c r="F49" s="464" t="s">
        <v>1966</v>
      </c>
      <c r="G49" s="464"/>
    </row>
    <row r="50" spans="1:7" ht="19.5" customHeight="1">
      <c r="A50" s="3477"/>
      <c r="B50" s="3475"/>
      <c r="C50" s="476" t="s">
        <v>315</v>
      </c>
      <c r="D50" s="477"/>
      <c r="E50" s="466">
        <v>1</v>
      </c>
      <c r="F50" s="464" t="s">
        <v>1967</v>
      </c>
      <c r="G50" s="464"/>
    </row>
    <row r="51" spans="1:7" ht="19.5" customHeight="1">
      <c r="A51" s="3477"/>
      <c r="B51" s="3475"/>
      <c r="C51" s="476" t="s">
        <v>321</v>
      </c>
      <c r="D51" s="477"/>
      <c r="E51" s="466">
        <v>1</v>
      </c>
      <c r="F51" s="464" t="s">
        <v>1968</v>
      </c>
      <c r="G51" s="464"/>
    </row>
    <row r="52" spans="1:7" ht="19.5" customHeight="1">
      <c r="A52" s="3477"/>
      <c r="B52" s="3475"/>
      <c r="C52" s="476" t="s">
        <v>327</v>
      </c>
      <c r="D52" s="477"/>
      <c r="E52" s="466">
        <v>1</v>
      </c>
      <c r="F52" s="464" t="s">
        <v>1969</v>
      </c>
      <c r="G52" s="464"/>
    </row>
    <row r="53" spans="1:7" ht="19.5" customHeight="1">
      <c r="A53" s="3478"/>
      <c r="B53" s="3485"/>
      <c r="C53" s="478" t="s">
        <v>333</v>
      </c>
      <c r="D53" s="479"/>
      <c r="E53" s="468">
        <v>1</v>
      </c>
      <c r="F53" s="464" t="s">
        <v>1970</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1971</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1972</v>
      </c>
      <c r="F58" s="490" t="s">
        <v>1972</v>
      </c>
      <c r="G58" s="490" t="s">
        <v>1972</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1973</v>
      </c>
      <c r="E72" s="501"/>
      <c r="F72" s="501"/>
    </row>
    <row r="73" spans="1:7" ht="19.5" customHeight="1">
      <c r="A73" s="465" t="s">
        <v>1974</v>
      </c>
      <c r="B73" s="465" t="s">
        <v>1975</v>
      </c>
      <c r="C73" s="465" t="s">
        <v>1976</v>
      </c>
      <c r="D73" s="465" t="s">
        <v>1977</v>
      </c>
      <c r="E73" s="465" t="s">
        <v>1978</v>
      </c>
      <c r="F73" s="465" t="s">
        <v>1979</v>
      </c>
    </row>
    <row r="74" spans="1:7" ht="14.4">
      <c r="A74" s="465"/>
      <c r="B74" s="465"/>
      <c r="C74" s="465" t="s">
        <v>1980</v>
      </c>
      <c r="D74" s="465"/>
      <c r="E74" s="465" t="s">
        <v>124</v>
      </c>
      <c r="F74" s="465" t="s">
        <v>124</v>
      </c>
    </row>
    <row r="75" spans="1:7" ht="14.4">
      <c r="A75" s="465">
        <v>1</v>
      </c>
      <c r="B75" s="3473" t="s">
        <v>1981</v>
      </c>
      <c r="C75" s="454" t="s">
        <v>1982</v>
      </c>
      <c r="D75" s="454" t="s">
        <v>1983</v>
      </c>
      <c r="E75" s="465">
        <v>0.2</v>
      </c>
      <c r="F75" s="465">
        <v>25</v>
      </c>
    </row>
    <row r="76" spans="1:7" ht="24">
      <c r="A76" s="465">
        <v>2</v>
      </c>
      <c r="B76" s="3475"/>
      <c r="C76" s="454" t="s">
        <v>1984</v>
      </c>
      <c r="D76" s="454" t="s">
        <v>1985</v>
      </c>
      <c r="E76" s="465">
        <v>0.2</v>
      </c>
      <c r="F76" s="465">
        <v>25</v>
      </c>
    </row>
    <row r="77" spans="1:7" ht="24">
      <c r="A77" s="465">
        <v>3</v>
      </c>
      <c r="B77" s="3475"/>
      <c r="C77" s="454" t="s">
        <v>1986</v>
      </c>
      <c r="D77" s="454" t="s">
        <v>1987</v>
      </c>
      <c r="E77" s="465">
        <v>0.2</v>
      </c>
      <c r="F77" s="465">
        <v>25</v>
      </c>
    </row>
    <row r="78" spans="1:7" ht="14.4">
      <c r="A78" s="465">
        <v>4</v>
      </c>
      <c r="B78" s="3475"/>
      <c r="C78" s="454" t="s">
        <v>1988</v>
      </c>
      <c r="D78" s="454" t="s">
        <v>1989</v>
      </c>
      <c r="E78" s="465">
        <v>0.15</v>
      </c>
      <c r="F78" s="465">
        <v>20</v>
      </c>
    </row>
    <row r="79" spans="1:7" ht="24">
      <c r="A79" s="465">
        <v>5</v>
      </c>
      <c r="B79" s="3475"/>
      <c r="C79" s="454" t="s">
        <v>1990</v>
      </c>
      <c r="D79" s="454" t="s">
        <v>1991</v>
      </c>
      <c r="E79" s="465">
        <v>0.15</v>
      </c>
      <c r="F79" s="465">
        <v>20</v>
      </c>
    </row>
    <row r="80" spans="1:7" ht="24">
      <c r="A80" s="465">
        <v>6</v>
      </c>
      <c r="B80" s="3475"/>
      <c r="C80" s="454" t="s">
        <v>1992</v>
      </c>
      <c r="D80" s="454" t="s">
        <v>1993</v>
      </c>
      <c r="E80" s="465">
        <v>0.15</v>
      </c>
      <c r="F80" s="465">
        <v>20</v>
      </c>
    </row>
    <row r="81" spans="1:6" ht="24">
      <c r="A81" s="465">
        <v>7</v>
      </c>
      <c r="B81" s="3475"/>
      <c r="C81" s="454" t="s">
        <v>1994</v>
      </c>
      <c r="D81" s="454" t="s">
        <v>1995</v>
      </c>
      <c r="E81" s="465">
        <v>0.15</v>
      </c>
      <c r="F81" s="465">
        <v>20</v>
      </c>
    </row>
    <row r="82" spans="1:6" ht="24">
      <c r="A82" s="465">
        <v>8</v>
      </c>
      <c r="B82" s="3475"/>
      <c r="C82" s="454" t="s">
        <v>1996</v>
      </c>
      <c r="D82" s="454" t="s">
        <v>1997</v>
      </c>
      <c r="E82" s="465">
        <v>0.1</v>
      </c>
      <c r="F82" s="465">
        <v>15</v>
      </c>
    </row>
    <row r="83" spans="1:6" ht="24">
      <c r="A83" s="465">
        <v>9</v>
      </c>
      <c r="B83" s="3475"/>
      <c r="C83" s="454" t="s">
        <v>1998</v>
      </c>
      <c r="D83" s="454" t="s">
        <v>1999</v>
      </c>
      <c r="E83" s="465">
        <v>0.1</v>
      </c>
      <c r="F83" s="465">
        <v>15</v>
      </c>
    </row>
    <row r="84" spans="1:6" ht="24">
      <c r="A84" s="465">
        <v>10</v>
      </c>
      <c r="B84" s="3475"/>
      <c r="C84" s="454" t="s">
        <v>2000</v>
      </c>
      <c r="D84" s="454" t="s">
        <v>2001</v>
      </c>
      <c r="E84" s="465">
        <v>0.1</v>
      </c>
      <c r="F84" s="465">
        <v>15</v>
      </c>
    </row>
    <row r="85" spans="1:6" ht="24">
      <c r="A85" s="465">
        <v>11</v>
      </c>
      <c r="B85" s="3475"/>
      <c r="C85" s="454" t="s">
        <v>2002</v>
      </c>
      <c r="D85" s="454" t="s">
        <v>2003</v>
      </c>
      <c r="E85" s="465">
        <v>0.1</v>
      </c>
      <c r="F85" s="465">
        <v>15</v>
      </c>
    </row>
    <row r="86" spans="1:6" ht="24">
      <c r="A86" s="465">
        <v>12</v>
      </c>
      <c r="B86" s="3475"/>
      <c r="C86" s="454" t="s">
        <v>2004</v>
      </c>
      <c r="D86" s="454" t="s">
        <v>2005</v>
      </c>
      <c r="E86" s="465">
        <v>0.1</v>
      </c>
      <c r="F86" s="465">
        <v>15</v>
      </c>
    </row>
    <row r="87" spans="1:6" ht="24">
      <c r="A87" s="465">
        <v>13</v>
      </c>
      <c r="B87" s="3475"/>
      <c r="C87" s="454" t="s">
        <v>2006</v>
      </c>
      <c r="D87" s="454" t="s">
        <v>2007</v>
      </c>
      <c r="E87" s="465">
        <v>0.1</v>
      </c>
      <c r="F87" s="465">
        <v>15</v>
      </c>
    </row>
    <row r="88" spans="1:6" ht="24">
      <c r="A88" s="465">
        <v>14</v>
      </c>
      <c r="B88" s="3475"/>
      <c r="C88" s="454" t="s">
        <v>2008</v>
      </c>
      <c r="D88" s="454" t="s">
        <v>2009</v>
      </c>
      <c r="E88" s="465">
        <v>0.1</v>
      </c>
      <c r="F88" s="465">
        <v>15</v>
      </c>
    </row>
    <row r="89" spans="1:6" ht="24">
      <c r="A89" s="465">
        <v>15</v>
      </c>
      <c r="B89" s="3475"/>
      <c r="C89" s="454" t="s">
        <v>2010</v>
      </c>
      <c r="D89" s="454" t="s">
        <v>2011</v>
      </c>
      <c r="E89" s="465">
        <v>0.1</v>
      </c>
      <c r="F89" s="465">
        <v>15</v>
      </c>
    </row>
    <row r="90" spans="1:6" ht="24">
      <c r="A90" s="465">
        <v>16</v>
      </c>
      <c r="B90" s="3475"/>
      <c r="C90" s="454" t="s">
        <v>2012</v>
      </c>
      <c r="D90" s="454" t="s">
        <v>2013</v>
      </c>
      <c r="E90" s="465">
        <v>0.1</v>
      </c>
      <c r="F90" s="465">
        <v>15</v>
      </c>
    </row>
    <row r="91" spans="1:6" ht="24">
      <c r="A91" s="465">
        <v>17</v>
      </c>
      <c r="B91" s="3474"/>
      <c r="C91" s="454" t="s">
        <v>2014</v>
      </c>
      <c r="D91" s="454" t="s">
        <v>2015</v>
      </c>
      <c r="E91" s="465">
        <v>0.1</v>
      </c>
      <c r="F91" s="465">
        <v>15</v>
      </c>
    </row>
    <row r="92" spans="1:6" ht="14.4">
      <c r="A92" s="465">
        <v>18</v>
      </c>
      <c r="B92" s="3473" t="s">
        <v>2016</v>
      </c>
      <c r="C92" s="454" t="s">
        <v>2017</v>
      </c>
      <c r="D92" s="454" t="s">
        <v>2018</v>
      </c>
      <c r="E92" s="465">
        <v>0.2</v>
      </c>
      <c r="F92" s="465">
        <v>25</v>
      </c>
    </row>
    <row r="93" spans="1:6" ht="24">
      <c r="A93" s="465">
        <v>19</v>
      </c>
      <c r="B93" s="3475"/>
      <c r="C93" s="454" t="s">
        <v>2019</v>
      </c>
      <c r="D93" s="454" t="s">
        <v>2020</v>
      </c>
      <c r="E93" s="465">
        <v>0.2</v>
      </c>
      <c r="F93" s="465">
        <v>25</v>
      </c>
    </row>
    <row r="94" spans="1:6" ht="14.4">
      <c r="A94" s="465">
        <v>20</v>
      </c>
      <c r="B94" s="3475"/>
      <c r="C94" s="454" t="s">
        <v>2021</v>
      </c>
      <c r="D94" s="454" t="s">
        <v>2022</v>
      </c>
      <c r="E94" s="465">
        <v>0.15</v>
      </c>
      <c r="F94" s="465">
        <v>20</v>
      </c>
    </row>
    <row r="95" spans="1:6" ht="24">
      <c r="A95" s="465">
        <v>21</v>
      </c>
      <c r="B95" s="3475"/>
      <c r="C95" s="454" t="s">
        <v>2023</v>
      </c>
      <c r="D95" s="454" t="s">
        <v>2024</v>
      </c>
      <c r="E95" s="465">
        <v>0.15</v>
      </c>
      <c r="F95" s="465">
        <v>20</v>
      </c>
    </row>
    <row r="96" spans="1:6" ht="24">
      <c r="A96" s="465">
        <v>22</v>
      </c>
      <c r="B96" s="3475"/>
      <c r="C96" s="454" t="s">
        <v>2025</v>
      </c>
      <c r="D96" s="454" t="s">
        <v>2026</v>
      </c>
      <c r="E96" s="465">
        <v>0.15</v>
      </c>
      <c r="F96" s="465">
        <v>20</v>
      </c>
    </row>
    <row r="97" spans="1:6" ht="36">
      <c r="A97" s="465">
        <v>23</v>
      </c>
      <c r="B97" s="3475"/>
      <c r="C97" s="454" t="s">
        <v>2027</v>
      </c>
      <c r="D97" s="454" t="s">
        <v>2028</v>
      </c>
      <c r="E97" s="465">
        <v>0.15</v>
      </c>
      <c r="F97" s="465">
        <v>20</v>
      </c>
    </row>
    <row r="98" spans="1:6" ht="24">
      <c r="A98" s="465">
        <v>24</v>
      </c>
      <c r="B98" s="3475"/>
      <c r="C98" s="454" t="s">
        <v>2029</v>
      </c>
      <c r="D98" s="454" t="s">
        <v>2030</v>
      </c>
      <c r="E98" s="465">
        <v>0.1</v>
      </c>
      <c r="F98" s="465">
        <v>15</v>
      </c>
    </row>
    <row r="99" spans="1:6" ht="24">
      <c r="A99" s="465">
        <v>25</v>
      </c>
      <c r="B99" s="3475"/>
      <c r="C99" s="454" t="s">
        <v>2031</v>
      </c>
      <c r="D99" s="454" t="s">
        <v>2032</v>
      </c>
      <c r="E99" s="465">
        <v>0.1</v>
      </c>
      <c r="F99" s="465">
        <v>15</v>
      </c>
    </row>
    <row r="100" spans="1:6" ht="24">
      <c r="A100" s="465">
        <v>26</v>
      </c>
      <c r="B100" s="3475"/>
      <c r="C100" s="454" t="s">
        <v>2033</v>
      </c>
      <c r="D100" s="454" t="s">
        <v>2034</v>
      </c>
      <c r="E100" s="465">
        <v>0.1</v>
      </c>
      <c r="F100" s="465">
        <v>15</v>
      </c>
    </row>
    <row r="101" spans="1:6" ht="24">
      <c r="A101" s="465">
        <v>27</v>
      </c>
      <c r="B101" s="3475"/>
      <c r="C101" s="454" t="s">
        <v>2035</v>
      </c>
      <c r="D101" s="454" t="s">
        <v>2036</v>
      </c>
      <c r="E101" s="465">
        <v>0.1</v>
      </c>
      <c r="F101" s="465">
        <v>15</v>
      </c>
    </row>
    <row r="102" spans="1:6" ht="24">
      <c r="A102" s="465">
        <v>28</v>
      </c>
      <c r="B102" s="3475"/>
      <c r="C102" s="454" t="s">
        <v>2037</v>
      </c>
      <c r="D102" s="454" t="s">
        <v>2038</v>
      </c>
      <c r="E102" s="465">
        <v>0.1</v>
      </c>
      <c r="F102" s="465">
        <v>15</v>
      </c>
    </row>
    <row r="103" spans="1:6" ht="24">
      <c r="A103" s="465">
        <v>29</v>
      </c>
      <c r="B103" s="3475"/>
      <c r="C103" s="454" t="s">
        <v>2039</v>
      </c>
      <c r="D103" s="454" t="s">
        <v>2040</v>
      </c>
      <c r="E103" s="465">
        <v>0.1</v>
      </c>
      <c r="F103" s="465">
        <v>15</v>
      </c>
    </row>
    <row r="104" spans="1:6" ht="24">
      <c r="A104" s="465">
        <v>30</v>
      </c>
      <c r="B104" s="3475"/>
      <c r="C104" s="454" t="s">
        <v>2041</v>
      </c>
      <c r="D104" s="454" t="s">
        <v>2042</v>
      </c>
      <c r="E104" s="465">
        <v>0.1</v>
      </c>
      <c r="F104" s="465">
        <v>15</v>
      </c>
    </row>
    <row r="105" spans="1:6" ht="24">
      <c r="A105" s="465">
        <v>31</v>
      </c>
      <c r="B105" s="3475"/>
      <c r="C105" s="454" t="s">
        <v>2043</v>
      </c>
      <c r="D105" s="454" t="s">
        <v>2044</v>
      </c>
      <c r="E105" s="465">
        <v>0.1</v>
      </c>
      <c r="F105" s="465">
        <v>15</v>
      </c>
    </row>
    <row r="106" spans="1:6" ht="24">
      <c r="A106" s="465">
        <v>32</v>
      </c>
      <c r="B106" s="3475"/>
      <c r="C106" s="454" t="s">
        <v>2045</v>
      </c>
      <c r="D106" s="454" t="s">
        <v>2046</v>
      </c>
      <c r="E106" s="465">
        <v>0.1</v>
      </c>
      <c r="F106" s="465">
        <v>15</v>
      </c>
    </row>
    <row r="107" spans="1:6" ht="24">
      <c r="A107" s="465">
        <v>33</v>
      </c>
      <c r="B107" s="3475"/>
      <c r="C107" s="454" t="s">
        <v>2047</v>
      </c>
      <c r="D107" s="454" t="s">
        <v>2048</v>
      </c>
      <c r="E107" s="465">
        <v>0.1</v>
      </c>
      <c r="F107" s="465">
        <v>15</v>
      </c>
    </row>
    <row r="108" spans="1:6" ht="24">
      <c r="A108" s="465">
        <v>34</v>
      </c>
      <c r="B108" s="3474"/>
      <c r="C108" s="454" t="s">
        <v>2049</v>
      </c>
      <c r="D108" s="454" t="s">
        <v>2050</v>
      </c>
      <c r="E108" s="465">
        <v>0.1</v>
      </c>
      <c r="F108" s="465">
        <v>15</v>
      </c>
    </row>
    <row r="109" spans="1:6" ht="36">
      <c r="A109" s="465">
        <v>35</v>
      </c>
      <c r="B109" s="3473" t="s">
        <v>2051</v>
      </c>
      <c r="C109" s="465" t="s">
        <v>2052</v>
      </c>
      <c r="D109" s="454" t="s">
        <v>2053</v>
      </c>
      <c r="E109" s="465">
        <v>0.15</v>
      </c>
      <c r="F109" s="465">
        <v>20</v>
      </c>
    </row>
    <row r="110" spans="1:6" ht="24">
      <c r="A110" s="465">
        <v>36</v>
      </c>
      <c r="B110" s="3475"/>
      <c r="C110" s="465" t="s">
        <v>2054</v>
      </c>
      <c r="D110" s="454" t="s">
        <v>2055</v>
      </c>
      <c r="E110" s="465">
        <v>0.15</v>
      </c>
      <c r="F110" s="465">
        <v>20</v>
      </c>
    </row>
    <row r="111" spans="1:6" ht="24">
      <c r="A111" s="465">
        <v>37</v>
      </c>
      <c r="B111" s="3475"/>
      <c r="C111" s="465" t="s">
        <v>2056</v>
      </c>
      <c r="D111" s="454" t="s">
        <v>2057</v>
      </c>
      <c r="E111" s="465">
        <v>0.15</v>
      </c>
      <c r="F111" s="465">
        <v>20</v>
      </c>
    </row>
    <row r="112" spans="1:6" ht="24">
      <c r="A112" s="465">
        <v>38</v>
      </c>
      <c r="B112" s="3475"/>
      <c r="C112" s="465" t="s">
        <v>2058</v>
      </c>
      <c r="D112" s="454" t="s">
        <v>2059</v>
      </c>
      <c r="E112" s="465">
        <v>0.1</v>
      </c>
      <c r="F112" s="465">
        <v>15</v>
      </c>
    </row>
    <row r="113" spans="1:6" ht="24">
      <c r="A113" s="465">
        <v>39</v>
      </c>
      <c r="B113" s="3475"/>
      <c r="C113" s="465" t="s">
        <v>2060</v>
      </c>
      <c r="D113" s="454" t="s">
        <v>2061</v>
      </c>
      <c r="E113" s="465">
        <v>0.1</v>
      </c>
      <c r="F113" s="465">
        <v>15</v>
      </c>
    </row>
    <row r="114" spans="1:6" ht="24">
      <c r="A114" s="465">
        <v>40</v>
      </c>
      <c r="B114" s="3474"/>
      <c r="C114" s="465" t="s">
        <v>2062</v>
      </c>
      <c r="D114" s="454" t="s">
        <v>2063</v>
      </c>
      <c r="E114" s="465">
        <v>0.1</v>
      </c>
      <c r="F114" s="465">
        <v>15</v>
      </c>
    </row>
    <row r="115" spans="1:6" ht="24">
      <c r="A115" s="465">
        <v>41</v>
      </c>
      <c r="B115" s="3472" t="s">
        <v>2064</v>
      </c>
      <c r="C115" s="465" t="s">
        <v>2065</v>
      </c>
      <c r="D115" s="454" t="s">
        <v>2066</v>
      </c>
      <c r="E115" s="465">
        <v>0.1</v>
      </c>
      <c r="F115" s="465">
        <v>15</v>
      </c>
    </row>
    <row r="116" spans="1:6" ht="24">
      <c r="A116" s="465">
        <v>42</v>
      </c>
      <c r="B116" s="3472"/>
      <c r="C116" s="465" t="s">
        <v>2067</v>
      </c>
      <c r="D116" s="454" t="s">
        <v>2068</v>
      </c>
      <c r="E116" s="465">
        <v>0.1</v>
      </c>
      <c r="F116" s="465">
        <v>15</v>
      </c>
    </row>
    <row r="117" spans="1:6" ht="24">
      <c r="A117" s="465">
        <v>43</v>
      </c>
      <c r="B117" s="3472"/>
      <c r="C117" s="465" t="s">
        <v>2069</v>
      </c>
      <c r="D117" s="454" t="s">
        <v>2070</v>
      </c>
      <c r="E117" s="465">
        <v>0.1</v>
      </c>
      <c r="F117" s="465">
        <v>15</v>
      </c>
    </row>
    <row r="118" spans="1:6" ht="24">
      <c r="A118" s="465">
        <v>44</v>
      </c>
      <c r="B118" s="3473" t="s">
        <v>2071</v>
      </c>
      <c r="C118" s="465" t="s">
        <v>2072</v>
      </c>
      <c r="D118" s="454" t="s">
        <v>2073</v>
      </c>
      <c r="E118" s="465">
        <v>0.1</v>
      </c>
      <c r="F118" s="465">
        <v>15</v>
      </c>
    </row>
    <row r="119" spans="1:6" ht="24">
      <c r="A119" s="465">
        <v>45</v>
      </c>
      <c r="B119" s="3474"/>
      <c r="C119" s="454" t="s">
        <v>2074</v>
      </c>
      <c r="D119" s="454" t="s">
        <v>2075</v>
      </c>
      <c r="E119" s="465">
        <v>0.1</v>
      </c>
      <c r="F119" s="465">
        <v>15</v>
      </c>
    </row>
    <row r="120" spans="1:6" ht="24">
      <c r="A120" s="465">
        <v>46</v>
      </c>
      <c r="B120" s="3473" t="s">
        <v>2076</v>
      </c>
      <c r="C120" s="465" t="s">
        <v>2077</v>
      </c>
      <c r="D120" s="454" t="s">
        <v>2078</v>
      </c>
      <c r="E120" s="465">
        <v>0.1</v>
      </c>
      <c r="F120" s="465">
        <v>15</v>
      </c>
    </row>
    <row r="121" spans="1:6" ht="24">
      <c r="A121" s="465">
        <v>47</v>
      </c>
      <c r="B121" s="3474"/>
      <c r="C121" s="465" t="s">
        <v>2079</v>
      </c>
      <c r="D121" s="454" t="s">
        <v>2080</v>
      </c>
      <c r="E121" s="465">
        <v>0.1</v>
      </c>
      <c r="F121" s="465">
        <v>15</v>
      </c>
    </row>
    <row r="122" spans="1:6" ht="24">
      <c r="A122" s="465">
        <v>48</v>
      </c>
      <c r="B122" s="3473" t="s">
        <v>2081</v>
      </c>
      <c r="C122" s="465" t="s">
        <v>2082</v>
      </c>
      <c r="D122" s="454" t="s">
        <v>2083</v>
      </c>
      <c r="E122" s="465">
        <v>0.1</v>
      </c>
      <c r="F122" s="465">
        <v>15</v>
      </c>
    </row>
    <row r="123" spans="1:6" ht="24">
      <c r="A123" s="465">
        <v>49</v>
      </c>
      <c r="B123" s="3474"/>
      <c r="C123" s="465" t="s">
        <v>2084</v>
      </c>
      <c r="D123" s="454" t="s">
        <v>2085</v>
      </c>
      <c r="E123" s="465">
        <v>0.1</v>
      </c>
      <c r="F123" s="465">
        <v>15</v>
      </c>
    </row>
    <row r="124" spans="1:6" ht="24">
      <c r="A124" s="465">
        <v>50</v>
      </c>
      <c r="B124" s="3472" t="s">
        <v>2086</v>
      </c>
      <c r="C124" s="465" t="s">
        <v>2087</v>
      </c>
      <c r="D124" s="454" t="s">
        <v>2088</v>
      </c>
      <c r="E124" s="465">
        <v>0.1</v>
      </c>
      <c r="F124" s="465">
        <v>15</v>
      </c>
    </row>
    <row r="125" spans="1:6" ht="24">
      <c r="A125" s="465">
        <v>51</v>
      </c>
      <c r="B125" s="3472"/>
      <c r="C125" s="465" t="s">
        <v>2089</v>
      </c>
      <c r="D125" s="454" t="s">
        <v>2090</v>
      </c>
      <c r="E125" s="465">
        <v>0.1</v>
      </c>
      <c r="F125" s="465">
        <v>15</v>
      </c>
    </row>
    <row r="126" spans="1:6" ht="24">
      <c r="A126" s="465">
        <v>52</v>
      </c>
      <c r="B126" s="3472" t="s">
        <v>2091</v>
      </c>
      <c r="C126" s="465" t="s">
        <v>2092</v>
      </c>
      <c r="D126" s="454" t="s">
        <v>2093</v>
      </c>
      <c r="E126" s="465">
        <v>0.1</v>
      </c>
      <c r="F126" s="465">
        <v>15</v>
      </c>
    </row>
    <row r="127" spans="1:6" ht="24">
      <c r="A127" s="465">
        <v>53</v>
      </c>
      <c r="B127" s="3472"/>
      <c r="C127" s="465" t="s">
        <v>2094</v>
      </c>
      <c r="D127" s="454" t="s">
        <v>2095</v>
      </c>
      <c r="E127" s="465">
        <v>0.1</v>
      </c>
      <c r="F127" s="465">
        <v>15</v>
      </c>
    </row>
    <row r="128" spans="1:6" ht="24">
      <c r="A128" s="465">
        <v>54</v>
      </c>
      <c r="B128" s="465" t="s">
        <v>2096</v>
      </c>
      <c r="C128" s="465" t="s">
        <v>2097</v>
      </c>
      <c r="D128" s="454" t="s">
        <v>2098</v>
      </c>
      <c r="E128" s="465">
        <v>0.1</v>
      </c>
      <c r="F128" s="465">
        <v>15</v>
      </c>
    </row>
    <row r="129" spans="1:6" ht="24">
      <c r="A129" s="465">
        <v>55</v>
      </c>
      <c r="B129" s="3472" t="s">
        <v>2099</v>
      </c>
      <c r="C129" s="465" t="s">
        <v>2100</v>
      </c>
      <c r="D129" s="454" t="s">
        <v>2101</v>
      </c>
      <c r="E129" s="465">
        <v>0.1</v>
      </c>
      <c r="F129" s="465">
        <v>15</v>
      </c>
    </row>
    <row r="130" spans="1:6" ht="24">
      <c r="A130" s="465">
        <v>56</v>
      </c>
      <c r="B130" s="3472"/>
      <c r="C130" s="465" t="s">
        <v>2102</v>
      </c>
      <c r="D130" s="454" t="s">
        <v>2103</v>
      </c>
      <c r="E130" s="465">
        <v>0.1</v>
      </c>
      <c r="F130" s="465">
        <v>15</v>
      </c>
    </row>
    <row r="131" spans="1:6" ht="24">
      <c r="A131" s="465">
        <v>57</v>
      </c>
      <c r="B131" s="3472"/>
      <c r="C131" s="465" t="s">
        <v>2104</v>
      </c>
      <c r="D131" s="454" t="s">
        <v>2105</v>
      </c>
      <c r="E131" s="465">
        <v>0.1</v>
      </c>
      <c r="F131" s="465">
        <v>15</v>
      </c>
    </row>
    <row r="132" spans="1:6" ht="24">
      <c r="A132" s="465">
        <v>58</v>
      </c>
      <c r="B132" s="3472" t="s">
        <v>2106</v>
      </c>
      <c r="C132" s="465" t="s">
        <v>2107</v>
      </c>
      <c r="D132" s="454" t="s">
        <v>2108</v>
      </c>
      <c r="E132" s="465">
        <v>0.1</v>
      </c>
      <c r="F132" s="465">
        <v>15</v>
      </c>
    </row>
    <row r="133" spans="1:6" ht="24">
      <c r="A133" s="465">
        <v>59</v>
      </c>
      <c r="B133" s="3472"/>
      <c r="C133" s="465" t="s">
        <v>2109</v>
      </c>
      <c r="D133" s="454" t="s">
        <v>2110</v>
      </c>
      <c r="E133" s="465">
        <v>0.1</v>
      </c>
      <c r="F133" s="465">
        <v>15</v>
      </c>
    </row>
    <row r="134" spans="1:6" ht="24">
      <c r="A134" s="465">
        <v>60</v>
      </c>
      <c r="B134" s="3473" t="s">
        <v>2111</v>
      </c>
      <c r="C134" s="465" t="s">
        <v>2112</v>
      </c>
      <c r="D134" s="454" t="s">
        <v>2113</v>
      </c>
      <c r="E134" s="465">
        <v>0.1</v>
      </c>
      <c r="F134" s="465">
        <v>15</v>
      </c>
    </row>
    <row r="135" spans="1:6" ht="24">
      <c r="A135" s="465">
        <v>61</v>
      </c>
      <c r="B135" s="3474"/>
      <c r="C135" s="465" t="s">
        <v>2114</v>
      </c>
      <c r="D135" s="454" t="s">
        <v>2115</v>
      </c>
      <c r="E135" s="465">
        <v>0.1</v>
      </c>
      <c r="F135" s="465">
        <v>15</v>
      </c>
    </row>
    <row r="136" spans="1:6" ht="24">
      <c r="A136" s="465">
        <v>62</v>
      </c>
      <c r="B136" s="465" t="s">
        <v>2116</v>
      </c>
      <c r="C136" s="465" t="s">
        <v>2117</v>
      </c>
      <c r="D136" s="454" t="s">
        <v>2118</v>
      </c>
      <c r="E136" s="465">
        <v>0.1</v>
      </c>
      <c r="F136" s="465">
        <v>15</v>
      </c>
    </row>
    <row r="137" spans="1:6" ht="24">
      <c r="A137" s="465">
        <v>63</v>
      </c>
      <c r="B137" s="3472" t="s">
        <v>2119</v>
      </c>
      <c r="C137" s="465" t="s">
        <v>2120</v>
      </c>
      <c r="D137" s="454" t="s">
        <v>2121</v>
      </c>
      <c r="E137" s="465">
        <v>0.1</v>
      </c>
      <c r="F137" s="465">
        <v>15</v>
      </c>
    </row>
    <row r="138" spans="1:6" ht="24">
      <c r="A138" s="465">
        <v>64</v>
      </c>
      <c r="B138" s="3472"/>
      <c r="C138" s="465" t="s">
        <v>2122</v>
      </c>
      <c r="D138" s="454" t="s">
        <v>2123</v>
      </c>
      <c r="E138" s="465">
        <v>0.1</v>
      </c>
      <c r="F138" s="465">
        <v>15</v>
      </c>
    </row>
    <row r="139" spans="1:6" ht="24">
      <c r="A139" s="465">
        <v>65</v>
      </c>
      <c r="B139" s="465" t="s">
        <v>2124</v>
      </c>
      <c r="C139" s="465" t="s">
        <v>2125</v>
      </c>
      <c r="D139" s="454" t="s">
        <v>2126</v>
      </c>
      <c r="E139" s="465">
        <v>0.1</v>
      </c>
      <c r="F139" s="465">
        <v>15</v>
      </c>
    </row>
    <row r="140" spans="1:6" ht="14.4">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2127</v>
      </c>
      <c r="B1" s="422"/>
      <c r="C1" s="422"/>
      <c r="D1" s="422"/>
      <c r="E1" s="422"/>
      <c r="F1" s="422"/>
      <c r="G1" s="422"/>
      <c r="H1" s="422"/>
      <c r="I1" s="422"/>
      <c r="J1" s="422"/>
      <c r="K1" s="422"/>
      <c r="L1" s="422"/>
      <c r="M1" s="422"/>
      <c r="N1" s="429"/>
    </row>
    <row r="2" spans="1:20">
      <c r="A2" s="423" t="s">
        <v>2128</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2129</v>
      </c>
      <c r="R2" s="433" t="s">
        <v>2130</v>
      </c>
      <c r="S2" s="433" t="s">
        <v>2131</v>
      </c>
      <c r="T2" s="433" t="s">
        <v>2132</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2133</v>
      </c>
      <c r="B93" s="422"/>
      <c r="C93" s="422"/>
      <c r="D93" s="422"/>
      <c r="E93" s="422"/>
      <c r="F93" s="422"/>
      <c r="G93" s="422"/>
      <c r="H93" s="422"/>
      <c r="I93" s="422"/>
      <c r="J93" s="422"/>
      <c r="K93" s="422"/>
      <c r="L93" s="422"/>
      <c r="M93" s="422"/>
    </row>
    <row r="94" spans="1:20">
      <c r="A94" s="423" t="s">
        <v>2128</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v>
      </c>
      <c r="Q94" s="433" t="s">
        <v>2129</v>
      </c>
      <c r="R94" s="433" t="s">
        <v>2130</v>
      </c>
      <c r="S94" s="433" t="s">
        <v>2131</v>
      </c>
      <c r="T94" s="433" t="s">
        <v>2132</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2134</v>
      </c>
      <c r="B185" s="422"/>
      <c r="C185" s="422"/>
      <c r="D185" s="422"/>
      <c r="E185" s="422"/>
      <c r="F185" s="422"/>
      <c r="G185" s="422"/>
      <c r="H185" s="422"/>
      <c r="I185" s="422"/>
      <c r="J185" s="422"/>
      <c r="K185" s="422"/>
      <c r="L185" s="422"/>
      <c r="M185" s="422"/>
    </row>
    <row r="186" spans="1:20">
      <c r="A186" s="423" t="s">
        <v>2128</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2129</v>
      </c>
      <c r="R186" s="433" t="s">
        <v>2130</v>
      </c>
      <c r="S186" s="433" t="s">
        <v>2131</v>
      </c>
      <c r="T186" s="433" t="s">
        <v>2132</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2135</v>
      </c>
      <c r="B277" s="422"/>
      <c r="C277" s="422"/>
      <c r="D277" s="422"/>
      <c r="E277" s="422"/>
      <c r="F277" s="422"/>
      <c r="G277" s="422"/>
      <c r="H277" s="422"/>
      <c r="I277" s="422"/>
      <c r="J277" s="422"/>
      <c r="K277" s="422"/>
      <c r="L277" s="422"/>
      <c r="M277" s="422"/>
    </row>
    <row r="278" spans="1:21">
      <c r="A278" s="423" t="s">
        <v>2128</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2129</v>
      </c>
      <c r="R278" s="433" t="s">
        <v>2130</v>
      </c>
      <c r="S278" s="433" t="s">
        <v>2136</v>
      </c>
      <c r="T278" s="433" t="s">
        <v>2137</v>
      </c>
      <c r="U278" s="433" t="s">
        <v>2132</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2138</v>
      </c>
      <c r="B369" s="437"/>
      <c r="C369" s="437"/>
      <c r="D369" s="437"/>
      <c r="E369" s="437"/>
      <c r="F369" s="437"/>
      <c r="G369" s="437"/>
      <c r="H369" s="437"/>
      <c r="I369" s="437"/>
      <c r="J369" s="437"/>
      <c r="K369" s="437"/>
      <c r="L369" s="437"/>
      <c r="M369" s="437"/>
    </row>
    <row r="370" spans="1:20">
      <c r="A370" s="423" t="s">
        <v>2128</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0.94710000000000005</v>
      </c>
      <c r="Q370" s="433" t="s">
        <v>2129</v>
      </c>
      <c r="R370" s="433" t="s">
        <v>2130</v>
      </c>
      <c r="S370" s="433" t="s">
        <v>2131</v>
      </c>
      <c r="T370" s="433" t="s">
        <v>2132</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2139</v>
      </c>
      <c r="B1" s="340"/>
      <c r="C1" s="341"/>
      <c r="D1" s="341"/>
      <c r="E1" s="341"/>
      <c r="F1" s="341"/>
      <c r="G1" s="342"/>
    </row>
    <row r="2" spans="1:7" s="331" customFormat="1" ht="18" customHeight="1">
      <c r="A2" s="343" t="s">
        <v>2140</v>
      </c>
      <c r="B2" s="344">
        <f ca="1">C52</f>
        <v>29198</v>
      </c>
      <c r="C2" s="345" t="s">
        <v>1470</v>
      </c>
      <c r="D2" s="342"/>
      <c r="E2" s="342"/>
      <c r="F2" s="342"/>
      <c r="G2" s="342"/>
    </row>
    <row r="3" spans="1:7" s="331" customFormat="1" ht="18" customHeight="1">
      <c r="A3" s="346" t="s">
        <v>2141</v>
      </c>
      <c r="B3" s="347">
        <f ca="1">ROUND(B2*10000/'数据-汇总表'!E3,0)</f>
        <v>1212390</v>
      </c>
      <c r="C3" s="345" t="s">
        <v>1649</v>
      </c>
      <c r="D3" s="342"/>
      <c r="E3" s="342"/>
      <c r="F3" s="342"/>
      <c r="G3" s="342"/>
    </row>
    <row r="4" spans="1:7" s="332" customFormat="1" ht="16.2">
      <c r="A4" s="348" t="s">
        <v>2142</v>
      </c>
      <c r="B4" s="349"/>
      <c r="C4" s="349"/>
      <c r="D4" s="349"/>
      <c r="E4" s="349"/>
      <c r="F4" s="349"/>
      <c r="G4" s="350"/>
    </row>
    <row r="5" spans="1:7" s="333" customFormat="1" ht="13.5" customHeight="1">
      <c r="A5" s="351" t="s">
        <v>1034</v>
      </c>
      <c r="B5" s="352" t="s">
        <v>2143</v>
      </c>
      <c r="C5" s="353">
        <f>C6+C7+C8</f>
        <v>20610</v>
      </c>
      <c r="D5" s="353" t="s">
        <v>2144</v>
      </c>
      <c r="E5" s="354" t="s">
        <v>2145</v>
      </c>
      <c r="F5" s="354" t="s">
        <v>2146</v>
      </c>
      <c r="G5" s="355"/>
    </row>
    <row r="6" spans="1:7" s="333" customFormat="1" ht="13.5" customHeight="1">
      <c r="A6" s="356" t="s">
        <v>1038</v>
      </c>
      <c r="B6" s="357" t="s">
        <v>2147</v>
      </c>
      <c r="C6" s="358">
        <v>20000</v>
      </c>
      <c r="D6" s="359"/>
      <c r="E6" s="360"/>
      <c r="F6" s="360"/>
      <c r="G6" s="361"/>
    </row>
    <row r="7" spans="1:7" s="333" customFormat="1" ht="13.5" customHeight="1">
      <c r="A7" s="356" t="s">
        <v>1040</v>
      </c>
      <c r="B7" s="357" t="s">
        <v>2148</v>
      </c>
      <c r="C7" s="362">
        <f>ROUND(C6*F7,0)</f>
        <v>610</v>
      </c>
      <c r="D7" s="362"/>
      <c r="E7" s="360"/>
      <c r="F7" s="363">
        <f>'数据-取费表'!B48+'数据-取费表'!B49</f>
        <v>3.0499999999999999E-2</v>
      </c>
      <c r="G7" s="361"/>
    </row>
    <row r="8" spans="1:7" s="334" customFormat="1">
      <c r="A8" s="356" t="s">
        <v>1042</v>
      </c>
      <c r="B8" s="357" t="s">
        <v>2149</v>
      </c>
      <c r="C8" s="362" t="str">
        <f>IF(G8="已包含在土地购买价格中","0",'数据-取费表'!B29)</f>
        <v>0</v>
      </c>
      <c r="D8" s="364"/>
      <c r="E8" s="362"/>
      <c r="F8" s="363"/>
      <c r="G8" s="365" t="s">
        <v>2150</v>
      </c>
    </row>
    <row r="9" spans="1:7" s="333" customFormat="1" ht="13.5" customHeight="1">
      <c r="A9" s="366" t="s">
        <v>1044</v>
      </c>
      <c r="B9" s="367" t="s">
        <v>2151</v>
      </c>
      <c r="C9" s="368">
        <f>ROUND(D9*E9/10000,0)</f>
        <v>0</v>
      </c>
      <c r="D9" s="369">
        <f>'数据-汇总表'!E5</f>
        <v>0</v>
      </c>
      <c r="E9" s="368">
        <f>'数据-取费表'!B27</f>
        <v>0</v>
      </c>
      <c r="F9" s="363"/>
      <c r="G9" s="370"/>
    </row>
    <row r="10" spans="1:7" s="333" customFormat="1" ht="13.5" customHeight="1">
      <c r="A10" s="366" t="s">
        <v>1047</v>
      </c>
      <c r="B10" s="367" t="s">
        <v>2152</v>
      </c>
      <c r="C10" s="368">
        <f>ROUND(D10*E10/10000,0)</f>
        <v>5</v>
      </c>
      <c r="D10" s="369">
        <f>'数据-汇总表'!E6</f>
        <v>240.83</v>
      </c>
      <c r="E10" s="368">
        <f>'数据-取费表'!B28</f>
        <v>200</v>
      </c>
      <c r="F10" s="363"/>
      <c r="G10" s="370"/>
    </row>
    <row r="11" spans="1:7" s="333" customFormat="1" ht="13.5" hidden="1" customHeight="1">
      <c r="A11" s="371" t="s">
        <v>1049</v>
      </c>
      <c r="B11" s="357" t="s">
        <v>2153</v>
      </c>
      <c r="C11" s="353"/>
      <c r="D11" s="360"/>
      <c r="E11" s="360"/>
      <c r="F11" s="360"/>
      <c r="G11" s="361"/>
    </row>
    <row r="12" spans="1:7" s="333" customFormat="1" ht="13.5" hidden="1" customHeight="1">
      <c r="A12" s="371" t="s">
        <v>1051</v>
      </c>
      <c r="B12" s="357" t="s">
        <v>2154</v>
      </c>
      <c r="C12" s="353">
        <v>0</v>
      </c>
      <c r="D12" s="360"/>
      <c r="E12" s="372"/>
      <c r="F12" s="363">
        <v>3.0499999999999999E-2</v>
      </c>
      <c r="G12" s="361"/>
    </row>
    <row r="13" spans="1:7" s="333" customFormat="1" ht="13.5" hidden="1" customHeight="1">
      <c r="A13" s="371" t="s">
        <v>1052</v>
      </c>
      <c r="B13" s="357" t="s">
        <v>2155</v>
      </c>
      <c r="C13" s="353"/>
      <c r="D13" s="360"/>
      <c r="E13" s="360"/>
      <c r="F13" s="360"/>
      <c r="G13" s="361"/>
    </row>
    <row r="14" spans="1:7" s="333" customFormat="1" ht="13.5" hidden="1" customHeight="1">
      <c r="A14" s="371" t="s">
        <v>1054</v>
      </c>
      <c r="B14" s="357" t="s">
        <v>2149</v>
      </c>
      <c r="C14" s="353"/>
      <c r="D14" s="360"/>
      <c r="E14" s="360"/>
      <c r="F14" s="360"/>
      <c r="G14" s="361" t="s">
        <v>2156</v>
      </c>
    </row>
    <row r="15" spans="1:7" s="333" customFormat="1" ht="13.5" hidden="1" customHeight="1">
      <c r="A15" s="371" t="s">
        <v>1056</v>
      </c>
      <c r="B15" s="357" t="s">
        <v>2157</v>
      </c>
      <c r="C15" s="362"/>
      <c r="D15" s="360"/>
      <c r="E15" s="360"/>
      <c r="F15" s="360"/>
      <c r="G15" s="361" t="s">
        <v>2158</v>
      </c>
    </row>
    <row r="16" spans="1:7" s="333" customFormat="1" ht="13.5" hidden="1" customHeight="1">
      <c r="A16" s="371" t="s">
        <v>1059</v>
      </c>
      <c r="B16" s="357" t="s">
        <v>2149</v>
      </c>
      <c r="C16" s="362"/>
      <c r="D16" s="360"/>
      <c r="E16" s="360"/>
      <c r="F16" s="360"/>
      <c r="G16" s="361"/>
    </row>
    <row r="17" spans="1:7" s="333" customFormat="1" ht="13.5" hidden="1" customHeight="1">
      <c r="A17" s="371" t="s">
        <v>1060</v>
      </c>
      <c r="B17" s="357" t="s">
        <v>2159</v>
      </c>
      <c r="C17" s="373"/>
      <c r="D17" s="373"/>
      <c r="E17" s="373"/>
      <c r="F17" s="373"/>
      <c r="G17" s="361" t="s">
        <v>2158</v>
      </c>
    </row>
    <row r="18" spans="1:7" s="333" customFormat="1" ht="13.5" hidden="1" customHeight="1">
      <c r="A18" s="371" t="s">
        <v>1062</v>
      </c>
      <c r="B18" s="357" t="s">
        <v>2160</v>
      </c>
      <c r="C18" s="362">
        <v>0</v>
      </c>
      <c r="D18" s="360"/>
      <c r="E18" s="360"/>
      <c r="F18" s="363">
        <v>3.0499999999999999E-2</v>
      </c>
      <c r="G18" s="361" t="s">
        <v>2161</v>
      </c>
    </row>
    <row r="19" spans="1:7" s="334" customFormat="1" ht="13.5" customHeight="1">
      <c r="A19" s="374" t="s">
        <v>1752</v>
      </c>
      <c r="B19" s="352" t="s">
        <v>2162</v>
      </c>
      <c r="C19" s="353">
        <f>IF(G19="已包含在土地取得成本中","0",ROUND(D19*E19/10000,0))</f>
        <v>5</v>
      </c>
      <c r="D19" s="354">
        <f>'数据-汇总表'!E3</f>
        <v>240.83</v>
      </c>
      <c r="E19" s="353">
        <f>'数据-取费表'!B31</f>
        <v>200</v>
      </c>
      <c r="F19" s="375"/>
      <c r="G19" s="365" t="s">
        <v>2163</v>
      </c>
    </row>
    <row r="20" spans="1:7" s="333" customFormat="1" ht="13.5" customHeight="1">
      <c r="A20" s="374" t="s">
        <v>1788</v>
      </c>
      <c r="B20" s="352" t="s">
        <v>2164</v>
      </c>
      <c r="C20" s="376">
        <f>ROUND((C5+C19)*F20,0)</f>
        <v>618</v>
      </c>
      <c r="D20" s="376"/>
      <c r="E20" s="376"/>
      <c r="F20" s="377">
        <f>'数据-取费表'!B37</f>
        <v>0.03</v>
      </c>
      <c r="G20" s="378" t="s">
        <v>2165</v>
      </c>
    </row>
    <row r="21" spans="1:7" s="333" customFormat="1" ht="13.5" customHeight="1">
      <c r="A21" s="374" t="s">
        <v>1793</v>
      </c>
      <c r="B21" s="352" t="s">
        <v>2166</v>
      </c>
      <c r="C21" s="379">
        <f>F21</f>
        <v>0.02</v>
      </c>
      <c r="D21" s="380" t="s">
        <v>2167</v>
      </c>
      <c r="E21" s="376"/>
      <c r="F21" s="377">
        <f>'数据-取费表'!B38</f>
        <v>0.02</v>
      </c>
      <c r="G21" s="381" t="s">
        <v>2168</v>
      </c>
    </row>
    <row r="22" spans="1:7" s="333" customFormat="1" ht="13.5" customHeight="1">
      <c r="A22" s="374" t="s">
        <v>1802</v>
      </c>
      <c r="B22" s="352" t="s">
        <v>2169</v>
      </c>
      <c r="C22" s="382">
        <f ca="1">ROUND(SUM(C23:C25),0)</f>
        <v>1329</v>
      </c>
      <c r="D22" s="379">
        <f ca="1">C26</f>
        <v>5.9999999999999995E-4</v>
      </c>
      <c r="E22" s="380" t="s">
        <v>2167</v>
      </c>
      <c r="F22" s="383">
        <f ca="1">'数据-取费表'!B40</f>
        <v>3.1300000000000001E-2</v>
      </c>
      <c r="G22" s="378" t="str">
        <f>IF('数据-取费表'!B22&lt;=1,"单利计息","复利计息")</f>
        <v>复利计息</v>
      </c>
    </row>
    <row r="23" spans="1:7" s="333" customFormat="1" ht="13.5" customHeight="1">
      <c r="A23" s="384" t="s">
        <v>1038</v>
      </c>
      <c r="B23" s="357" t="s">
        <v>2170</v>
      </c>
      <c r="C23" s="385">
        <f ca="1">ROUND(IF('数据-取费表'!B22&lt;=1,C5*F22*'数据-取费表'!B23,C5*(POWER((1+F22),'数据-取费表'!B23)-1)),0)</f>
        <v>1310</v>
      </c>
      <c r="D23" s="386"/>
      <c r="E23" s="386"/>
      <c r="F23" s="387"/>
      <c r="G23" s="388" t="s">
        <v>2171</v>
      </c>
    </row>
    <row r="24" spans="1:7" s="333" customFormat="1" ht="13.5" customHeight="1">
      <c r="A24" s="384" t="s">
        <v>1040</v>
      </c>
      <c r="B24" s="357" t="s">
        <v>2172</v>
      </c>
      <c r="C24" s="385">
        <f ca="1">ROUND(IF('数据-取费表'!B22&lt;=1,C19*F22*('数据-取费表'!B19/2+'数据-取费表'!B21),C19*(POWER((1+F22),('数据-取费表'!B19/2+'数据-取费表'!B21))-1)),0)</f>
        <v>0</v>
      </c>
      <c r="D24" s="386"/>
      <c r="E24" s="386"/>
      <c r="F24" s="387"/>
      <c r="G24" s="388" t="s">
        <v>2173</v>
      </c>
    </row>
    <row r="25" spans="1:7" s="333" customFormat="1" ht="24">
      <c r="A25" s="384" t="s">
        <v>1042</v>
      </c>
      <c r="B25" s="357" t="s">
        <v>2174</v>
      </c>
      <c r="C25" s="385">
        <f ca="1">ROUND(IF('数据-取费表'!B22&lt;=1,C20*F22*'数据-取费表'!B23/2,C20*(POWER((1+F22),'数据-取费表'!B23/2)-1)),0)</f>
        <v>19</v>
      </c>
      <c r="D25" s="386"/>
      <c r="E25" s="389"/>
      <c r="F25" s="387"/>
      <c r="G25" s="390" t="s">
        <v>2175</v>
      </c>
    </row>
    <row r="26" spans="1:7" s="333" customFormat="1">
      <c r="A26" s="384" t="s">
        <v>1082</v>
      </c>
      <c r="B26" s="357" t="s">
        <v>2176</v>
      </c>
      <c r="C26" s="386">
        <f ca="1">ROUND(IF('数据-取费表'!B22&lt;=1,F21*F22*'数据-取费表'!B23/2,F21*(POWER((1+F22),'数据-取费表'!B23/2)-1)),4)</f>
        <v>5.9999999999999995E-4</v>
      </c>
      <c r="D26" s="386"/>
      <c r="E26" s="389"/>
      <c r="F26" s="387"/>
      <c r="G26" s="391"/>
    </row>
    <row r="27" spans="1:7" s="333" customFormat="1" ht="26.4">
      <c r="A27" s="374" t="s">
        <v>1811</v>
      </c>
      <c r="B27" s="392" t="s">
        <v>2177</v>
      </c>
      <c r="C27" s="393">
        <f>C28</f>
        <v>4247</v>
      </c>
      <c r="D27" s="379">
        <f>C29</f>
        <v>4.0000000000000001E-3</v>
      </c>
      <c r="E27" s="380" t="s">
        <v>2167</v>
      </c>
      <c r="F27" s="394">
        <f>'数据-取费表'!Q16</f>
        <v>0.2</v>
      </c>
      <c r="G27" s="395" t="s">
        <v>2178</v>
      </c>
    </row>
    <row r="28" spans="1:7" s="333" customFormat="1" ht="13.5" customHeight="1">
      <c r="A28" s="384" t="s">
        <v>1038</v>
      </c>
      <c r="B28" s="396" t="s">
        <v>2179</v>
      </c>
      <c r="C28" s="397">
        <f>ROUND((C5+C19+C20)*F27*'数据-取费表'!B21/'数据-取费表'!B20,0)</f>
        <v>4247</v>
      </c>
      <c r="D28" s="379"/>
      <c r="E28" s="380"/>
      <c r="F28" s="394"/>
      <c r="G28" s="395"/>
    </row>
    <row r="29" spans="1:7" s="333" customFormat="1" ht="13.5" customHeight="1">
      <c r="A29" s="384" t="s">
        <v>1040</v>
      </c>
      <c r="B29" s="396" t="s">
        <v>2180</v>
      </c>
      <c r="C29" s="386">
        <f>ROUND(C21*F27*'数据-取费表'!B21/'数据-取费表'!B20,4)</f>
        <v>4.0000000000000001E-3</v>
      </c>
      <c r="D29" s="379"/>
      <c r="E29" s="380"/>
      <c r="F29" s="394"/>
      <c r="G29" s="395"/>
    </row>
    <row r="30" spans="1:7" s="333" customFormat="1" ht="13.5" customHeight="1">
      <c r="A30" s="374" t="s">
        <v>2181</v>
      </c>
      <c r="B30" s="352" t="s">
        <v>2182</v>
      </c>
      <c r="C30" s="379">
        <f>F30</f>
        <v>5.6000000000000001E-2</v>
      </c>
      <c r="D30" s="380" t="s">
        <v>2183</v>
      </c>
      <c r="E30" s="389"/>
      <c r="F30" s="383">
        <f>'数据-取费表'!B41</f>
        <v>5.6000000000000001E-2</v>
      </c>
      <c r="G30" s="381" t="s">
        <v>2184</v>
      </c>
    </row>
    <row r="31" spans="1:7" ht="16.5" customHeight="1">
      <c r="A31" s="398">
        <v>1</v>
      </c>
      <c r="B31" s="352" t="s">
        <v>2185</v>
      </c>
      <c r="C31" s="353">
        <f ca="1">ROUND((C5+C19+C20+C22+C27)/(1-C21-D22-D27-C30/(1+'数据-取费表'!B42)),0)</f>
        <v>29075</v>
      </c>
      <c r="D31" s="399"/>
      <c r="E31" s="353"/>
      <c r="F31" s="400"/>
      <c r="G31" s="381" t="s">
        <v>2186</v>
      </c>
    </row>
    <row r="32" spans="1:7" s="332" customFormat="1" ht="16.2">
      <c r="A32" s="401" t="s">
        <v>2187</v>
      </c>
      <c r="B32" s="402"/>
      <c r="C32" s="402"/>
      <c r="D32" s="402"/>
      <c r="E32" s="402"/>
      <c r="F32" s="402"/>
      <c r="G32" s="403"/>
    </row>
    <row r="33" spans="1:7" s="333" customFormat="1" ht="13.5" customHeight="1">
      <c r="A33" s="351" t="s">
        <v>1034</v>
      </c>
      <c r="B33" s="352" t="s">
        <v>2188</v>
      </c>
      <c r="C33" s="404">
        <f>SUM(C34:C38)</f>
        <v>120</v>
      </c>
      <c r="D33" s="376"/>
      <c r="E33" s="354"/>
      <c r="F33" s="389"/>
      <c r="G33" s="381"/>
    </row>
    <row r="34" spans="1:7" s="335" customFormat="1" ht="13.5" customHeight="1">
      <c r="A34" s="384" t="s">
        <v>1038</v>
      </c>
      <c r="B34" s="357" t="s">
        <v>2189</v>
      </c>
      <c r="C34" s="362">
        <f>IF(F34=100%,'数据-取费表'!M16-SUMIF('数据-取费表'!C:C,"公共配套",'数据-取费表'!M:M),'数据-取费表'!O16-SUMIF('数据-取费表'!C:C,"公共配套",'数据-取费表'!O:O))</f>
        <v>108</v>
      </c>
      <c r="D34" s="359"/>
      <c r="E34" s="362"/>
      <c r="F34" s="405">
        <f>IF('数据-取费表'!B24=0,1,'数据-取费表'!N16)</f>
        <v>1</v>
      </c>
      <c r="G34" s="361" t="s">
        <v>2190</v>
      </c>
    </row>
    <row r="35" spans="1:7" ht="13.5" customHeight="1">
      <c r="A35" s="384" t="s">
        <v>1040</v>
      </c>
      <c r="B35" s="357" t="s">
        <v>2191</v>
      </c>
      <c r="C35" s="362">
        <f>ROUND(C34*F35,0)</f>
        <v>5</v>
      </c>
      <c r="D35" s="362"/>
      <c r="E35" s="362"/>
      <c r="F35" s="406">
        <f>'数据-取费表'!B33</f>
        <v>0.05</v>
      </c>
      <c r="G35" s="361" t="s">
        <v>2192</v>
      </c>
    </row>
    <row r="36" spans="1:7" ht="24">
      <c r="A36" s="384" t="s">
        <v>1042</v>
      </c>
      <c r="B36" s="357" t="s">
        <v>2193</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2194</v>
      </c>
    </row>
    <row r="37" spans="1:7" s="335" customFormat="1" ht="13.5" customHeight="1">
      <c r="A37" s="384" t="s">
        <v>1082</v>
      </c>
      <c r="B37" s="357" t="s">
        <v>2195</v>
      </c>
      <c r="C37" s="397">
        <f>ROUND(E37*D37*F34/10000,0)</f>
        <v>5</v>
      </c>
      <c r="D37" s="359">
        <f>'数据-汇总表'!E3</f>
        <v>240.83</v>
      </c>
      <c r="E37" s="397">
        <f>'数据-取费表'!B35</f>
        <v>200</v>
      </c>
      <c r="F37" s="406"/>
      <c r="G37" s="408" t="s">
        <v>2196</v>
      </c>
    </row>
    <row r="38" spans="1:7" ht="13.5" customHeight="1">
      <c r="A38" s="384" t="s">
        <v>1104</v>
      </c>
      <c r="B38" s="357" t="s">
        <v>2154</v>
      </c>
      <c r="C38" s="362">
        <f>ROUND(C34*F38,0)</f>
        <v>2</v>
      </c>
      <c r="D38" s="362"/>
      <c r="E38" s="362"/>
      <c r="F38" s="406">
        <f>'数据-取费表'!B36</f>
        <v>0.02</v>
      </c>
      <c r="G38" s="361" t="s">
        <v>2192</v>
      </c>
    </row>
    <row r="39" spans="1:7" s="333" customFormat="1" ht="13.5" customHeight="1">
      <c r="A39" s="374" t="s">
        <v>1752</v>
      </c>
      <c r="B39" s="352" t="s">
        <v>2164</v>
      </c>
      <c r="C39" s="376">
        <f>ROUND(C33*F20,0)</f>
        <v>4</v>
      </c>
      <c r="D39" s="376"/>
      <c r="E39" s="376"/>
      <c r="F39" s="377"/>
      <c r="G39" s="378" t="s">
        <v>2197</v>
      </c>
    </row>
    <row r="40" spans="1:7" s="333" customFormat="1" ht="13.5" customHeight="1">
      <c r="A40" s="374" t="s">
        <v>1788</v>
      </c>
      <c r="B40" s="352" t="s">
        <v>2166</v>
      </c>
      <c r="C40" s="409">
        <f>F21</f>
        <v>0.02</v>
      </c>
      <c r="D40" s="380" t="s">
        <v>2198</v>
      </c>
      <c r="E40" s="376"/>
      <c r="F40" s="377"/>
      <c r="G40" s="381" t="s">
        <v>2199</v>
      </c>
    </row>
    <row r="41" spans="1:7" s="333" customFormat="1" ht="13.5" customHeight="1">
      <c r="A41" s="374" t="s">
        <v>1793</v>
      </c>
      <c r="B41" s="352" t="s">
        <v>2169</v>
      </c>
      <c r="C41" s="376">
        <f ca="1">ROUND(SUM(C42:C43),0)</f>
        <v>4</v>
      </c>
      <c r="D41" s="379">
        <f ca="1">C44</f>
        <v>5.9999999999999995E-4</v>
      </c>
      <c r="E41" s="380" t="s">
        <v>2198</v>
      </c>
      <c r="F41" s="383"/>
      <c r="G41" s="378" t="str">
        <f>IF('数据-取费表'!B22&lt;=1,"单利计息","复利计息")</f>
        <v>复利计息</v>
      </c>
    </row>
    <row r="42" spans="1:7" ht="13.5" customHeight="1">
      <c r="A42" s="384" t="s">
        <v>1038</v>
      </c>
      <c r="B42" s="357" t="s">
        <v>2170</v>
      </c>
      <c r="C42" s="386">
        <f ca="1">ROUND(IF('数据-取费表'!B22&lt;=1,C33*F22*'数据-取费表'!B21/2,C33*(POWER((1+F22),'数据-取费表'!B21/2)-1)),0)</f>
        <v>4</v>
      </c>
      <c r="D42" s="386"/>
      <c r="E42" s="386"/>
      <c r="F42" s="387"/>
      <c r="G42" s="3349" t="s">
        <v>2200</v>
      </c>
    </row>
    <row r="43" spans="1:7" ht="13.5" customHeight="1">
      <c r="A43" s="384" t="s">
        <v>1040</v>
      </c>
      <c r="B43" s="357" t="s">
        <v>2172</v>
      </c>
      <c r="C43" s="386">
        <f ca="1">ROUND(IF('数据-取费表'!B22&lt;=1,C39*F22*'数据-取费表'!B21/2,C39*(POWER((1+F22),'数据-取费表'!B21/2)-1)),0)</f>
        <v>0</v>
      </c>
      <c r="D43" s="386"/>
      <c r="E43" s="386"/>
      <c r="F43" s="387"/>
      <c r="G43" s="3350"/>
    </row>
    <row r="44" spans="1:7" ht="13.5" customHeight="1">
      <c r="A44" s="384" t="s">
        <v>1042</v>
      </c>
      <c r="B44" s="357" t="s">
        <v>2174</v>
      </c>
      <c r="C44" s="386">
        <f ca="1">ROUND(IF('数据-取费表'!B22&lt;=1,C40*F22*'数据-取费表'!B21/2,C40*(POWER((1+F22),'数据-取费表'!B21/2)-1)),4)</f>
        <v>5.9999999999999995E-4</v>
      </c>
      <c r="D44" s="386"/>
      <c r="E44" s="386"/>
      <c r="F44" s="387"/>
      <c r="G44" s="3351"/>
    </row>
    <row r="45" spans="1:7" s="333" customFormat="1" ht="13.5" customHeight="1">
      <c r="A45" s="374" t="s">
        <v>1802</v>
      </c>
      <c r="B45" s="392" t="s">
        <v>2177</v>
      </c>
      <c r="C45" s="393">
        <f>C46</f>
        <v>25</v>
      </c>
      <c r="D45" s="379">
        <f>C47</f>
        <v>4.0000000000000001E-3</v>
      </c>
      <c r="E45" s="380" t="s">
        <v>2198</v>
      </c>
      <c r="F45" s="394"/>
      <c r="G45" s="395" t="s">
        <v>2201</v>
      </c>
    </row>
    <row r="46" spans="1:7" s="333" customFormat="1" ht="13.5" customHeight="1">
      <c r="A46" s="384" t="s">
        <v>1038</v>
      </c>
      <c r="B46" s="396" t="s">
        <v>2202</v>
      </c>
      <c r="C46" s="397">
        <f>ROUND((C33+C39)*F27,0)</f>
        <v>25</v>
      </c>
      <c r="D46" s="410"/>
      <c r="E46" s="380"/>
      <c r="F46" s="394"/>
      <c r="G46" s="395"/>
    </row>
    <row r="47" spans="1:7" s="333" customFormat="1" ht="13.5" customHeight="1">
      <c r="A47" s="384" t="s">
        <v>1040</v>
      </c>
      <c r="B47" s="396" t="s">
        <v>2203</v>
      </c>
      <c r="C47" s="386">
        <f>ROUND(C40*F27,4)</f>
        <v>4.0000000000000001E-3</v>
      </c>
      <c r="D47" s="410"/>
      <c r="E47" s="380"/>
      <c r="F47" s="394"/>
      <c r="G47" s="395"/>
    </row>
    <row r="48" spans="1:7" s="333" customFormat="1" ht="13.5" customHeight="1">
      <c r="A48" s="374" t="s">
        <v>1811</v>
      </c>
      <c r="B48" s="352" t="s">
        <v>2182</v>
      </c>
      <c r="C48" s="409">
        <f>F30</f>
        <v>5.6000000000000001E-2</v>
      </c>
      <c r="D48" s="380" t="s">
        <v>2204</v>
      </c>
      <c r="E48" s="376"/>
      <c r="F48" s="383"/>
      <c r="G48" s="381" t="s">
        <v>2205</v>
      </c>
    </row>
    <row r="49" spans="1:7" ht="16.5" customHeight="1">
      <c r="A49" s="374" t="s">
        <v>2181</v>
      </c>
      <c r="B49" s="352" t="s">
        <v>2206</v>
      </c>
      <c r="C49" s="376">
        <f ca="1">ROUND((C33+C39+C41+C45)/(1-C40-D41-D45-C48/(1+'数据-取费表'!B42)),0)</f>
        <v>166</v>
      </c>
      <c r="D49" s="376"/>
      <c r="E49" s="376"/>
      <c r="F49" s="411"/>
      <c r="G49" s="381" t="s">
        <v>2207</v>
      </c>
    </row>
    <row r="50" spans="1:7" s="335" customFormat="1" ht="24">
      <c r="A50" s="374" t="s">
        <v>2208</v>
      </c>
      <c r="B50" s="352" t="s">
        <v>2209</v>
      </c>
      <c r="C50" s="376"/>
      <c r="D50" s="376"/>
      <c r="E50" s="376"/>
      <c r="F50" s="411">
        <f>IF('数据-取费表'!B24=0,'数据-取费表'!N16,1)</f>
        <v>0.74</v>
      </c>
      <c r="G50" s="395" t="s">
        <v>2210</v>
      </c>
    </row>
    <row r="51" spans="1:7" ht="16.5" customHeight="1">
      <c r="A51" s="374" t="s">
        <v>2211</v>
      </c>
      <c r="B51" s="352" t="s">
        <v>2212</v>
      </c>
      <c r="C51" s="376">
        <f ca="1">ROUND(C49*F50,0)</f>
        <v>123</v>
      </c>
      <c r="D51" s="376"/>
      <c r="E51" s="376"/>
      <c r="F51" s="411"/>
      <c r="G51" s="381" t="s">
        <v>2213</v>
      </c>
    </row>
    <row r="52" spans="1:7" s="332" customFormat="1" ht="16.2">
      <c r="A52" s="412" t="s">
        <v>2214</v>
      </c>
      <c r="B52" s="413"/>
      <c r="C52" s="414">
        <f ca="1">C31+C51</f>
        <v>29198</v>
      </c>
      <c r="D52" s="413"/>
      <c r="E52" s="413"/>
      <c r="F52" s="413"/>
      <c r="G52" s="415"/>
    </row>
    <row r="55" spans="1:7" ht="15">
      <c r="B55" s="416" t="s">
        <v>2215</v>
      </c>
      <c r="C55" s="417"/>
    </row>
    <row r="56" spans="1:7">
      <c r="B56" s="418" t="s">
        <v>2216</v>
      </c>
      <c r="C56" s="419">
        <f ca="1">ROUND(C51/C52,3)</f>
        <v>4.0000000000000001E-3</v>
      </c>
    </row>
    <row r="57" spans="1:7">
      <c r="B57" s="418" t="s">
        <v>2217</v>
      </c>
      <c r="C57" s="420">
        <f ca="1">1-C56</f>
        <v>0.996</v>
      </c>
    </row>
  </sheetData>
  <mergeCells count="1">
    <mergeCell ref="G42:G44"/>
  </mergeCells>
  <phoneticPr fontId="224"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6" customWidth="1"/>
    <col min="2" max="2" width="37.21875" style="3116" customWidth="1"/>
    <col min="3" max="3" width="11.33203125" style="3116" customWidth="1"/>
    <col min="4" max="4" width="31.77734375" style="3116" customWidth="1"/>
    <col min="5" max="5" width="0.44140625" style="3116" customWidth="1"/>
    <col min="6" max="7" width="13" style="3116" customWidth="1"/>
    <col min="8" max="16384" width="9" style="3116"/>
  </cols>
  <sheetData>
    <row r="1" spans="1:5" ht="17.399999999999999">
      <c r="A1" s="3117" t="s">
        <v>94</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7.399999999999999">
      <c r="A3" s="3176" t="str">
        <f>IF(项目基本情况!B9="房地产市场价值","估价结果一览表（市场价值不需“结果表-1”）","估价结果一览表")</f>
        <v>估价结果一览表</v>
      </c>
      <c r="B3" s="3176"/>
      <c r="C3" s="3176"/>
      <c r="D3" s="3176"/>
      <c r="E3" s="3176"/>
    </row>
    <row r="4" spans="1:5" ht="17.399999999999999">
      <c r="A4" s="3118"/>
      <c r="B4" s="3177" t="s">
        <v>95</v>
      </c>
      <c r="C4" s="3177"/>
      <c r="D4" s="3177"/>
      <c r="E4" s="3118"/>
    </row>
    <row r="5" spans="1:5" ht="15.6">
      <c r="B5" s="3169" t="s">
        <v>96</v>
      </c>
      <c r="C5" s="3119" t="s">
        <v>97</v>
      </c>
      <c r="D5" s="3120">
        <f ca="1">结果表!H101</f>
        <v>1259</v>
      </c>
    </row>
    <row r="6" spans="1:5" ht="15.6">
      <c r="B6" s="3169"/>
      <c r="C6" s="3119" t="s">
        <v>98</v>
      </c>
      <c r="D6" s="3120" t="str">
        <f ca="1">NUMBERSTRING(INT(D5*10000),2)&amp;"元整"</f>
        <v>壹仟贰佰伍拾玖万元整</v>
      </c>
    </row>
    <row r="7" spans="1:5" ht="15.6">
      <c r="B7" s="3170"/>
      <c r="C7" s="3121" t="s">
        <v>99</v>
      </c>
      <c r="D7" s="3122">
        <f ca="1">结果表!H102</f>
        <v>52277</v>
      </c>
    </row>
    <row r="8" spans="1:5" ht="15.6">
      <c r="B8" s="3171" t="str">
        <f>结果表!E103</f>
        <v>2.估价师知悉的法定优先受偿款</v>
      </c>
      <c r="C8" s="3123" t="s">
        <v>100</v>
      </c>
      <c r="D8" s="3122">
        <f>结果表!H103</f>
        <v>0</v>
      </c>
    </row>
    <row r="9" spans="1:5" ht="15.6">
      <c r="B9" s="3173"/>
      <c r="C9" s="3119" t="s">
        <v>98</v>
      </c>
      <c r="D9" s="3120" t="str">
        <f>NUMBERSTRING(INT(D8*10000),2)&amp;"元整"</f>
        <v>零元整</v>
      </c>
    </row>
    <row r="10" spans="1:5" ht="15.6">
      <c r="B10" s="3124" t="s">
        <v>101</v>
      </c>
      <c r="C10" s="3125" t="s">
        <v>102</v>
      </c>
      <c r="D10" s="3126">
        <f>结果表!H104</f>
        <v>0</v>
      </c>
    </row>
    <row r="11" spans="1:5" ht="15.6">
      <c r="B11" s="3124" t="s">
        <v>103</v>
      </c>
      <c r="C11" s="3125" t="s">
        <v>102</v>
      </c>
      <c r="D11" s="3126">
        <f>结果表!H105</f>
        <v>0</v>
      </c>
    </row>
    <row r="12" spans="1:5" ht="15.6">
      <c r="B12" s="3124" t="s">
        <v>104</v>
      </c>
      <c r="C12" s="3125" t="s">
        <v>102</v>
      </c>
      <c r="D12" s="3126">
        <f>结果表!H106</f>
        <v>0</v>
      </c>
    </row>
    <row r="13" spans="1:5" ht="15.6">
      <c r="B13" s="3168" t="str">
        <f>结果表!E107</f>
        <v>3.房地产抵押价值</v>
      </c>
      <c r="C13" s="3127" t="s">
        <v>97</v>
      </c>
      <c r="D13" s="3128">
        <f ca="1">结果表!H107</f>
        <v>1259</v>
      </c>
    </row>
    <row r="14" spans="1:5" ht="15.6">
      <c r="B14" s="3169"/>
      <c r="C14" s="3119" t="s">
        <v>98</v>
      </c>
      <c r="D14" s="3120" t="str">
        <f ca="1">NUMBERSTRING(INT(D13*10000),2)&amp;"元整"</f>
        <v>壹仟贰佰伍拾玖万元整</v>
      </c>
    </row>
    <row r="15" spans="1:5" ht="15.6">
      <c r="B15" s="3170"/>
      <c r="C15" s="3121" t="s">
        <v>99</v>
      </c>
      <c r="D15" s="3129">
        <f ca="1">结果表!H108</f>
        <v>52277</v>
      </c>
    </row>
    <row r="16" spans="1:5" ht="15.6">
      <c r="B16" s="3171" t="str">
        <f>结果表!E109</f>
        <v>——</v>
      </c>
      <c r="C16" s="3127" t="s">
        <v>97</v>
      </c>
      <c r="D16" s="3130" t="str">
        <f>结果表!H109</f>
        <v>——</v>
      </c>
    </row>
    <row r="17" spans="1:5" ht="15.6">
      <c r="B17" s="3172"/>
      <c r="C17" s="3119" t="s">
        <v>98</v>
      </c>
      <c r="D17" s="3120" t="e">
        <f>NUMBERSTRING(INT(D16*10000),2)&amp;"元整"</f>
        <v>#VALUE!</v>
      </c>
    </row>
    <row r="18" spans="1:5" ht="15.6">
      <c r="B18" s="3173"/>
      <c r="C18" s="3121" t="s">
        <v>99</v>
      </c>
      <c r="D18" s="3129" t="str">
        <f>结果表!H110</f>
        <v>——</v>
      </c>
    </row>
    <row r="19" spans="1:5" ht="15.6">
      <c r="B19" s="3168" t="str">
        <f>结果表!E111</f>
        <v>——</v>
      </c>
      <c r="C19" s="3127" t="s">
        <v>97</v>
      </c>
      <c r="D19" s="3122" t="str">
        <f>结果表!H111</f>
        <v>——</v>
      </c>
    </row>
    <row r="20" spans="1:5" ht="15.6">
      <c r="B20" s="3169"/>
      <c r="C20" s="3119" t="s">
        <v>98</v>
      </c>
      <c r="D20" s="3120" t="e">
        <f>NUMBERSTRING(INT(D19*10000),2)&amp;"元整"</f>
        <v>#VALUE!</v>
      </c>
    </row>
    <row r="21" spans="1:5" ht="15.6">
      <c r="B21" s="3174"/>
      <c r="C21" s="3131" t="s">
        <v>99</v>
      </c>
      <c r="D21" s="3132" t="str">
        <f>结果表!H112</f>
        <v>——</v>
      </c>
    </row>
    <row r="22" spans="1:5">
      <c r="B22" s="3133" t="s">
        <v>105</v>
      </c>
    </row>
    <row r="24" spans="1:5" ht="17.399999999999999">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486" t="s">
        <v>2218</v>
      </c>
      <c r="B1" s="3486"/>
    </row>
    <row r="2" spans="1:7">
      <c r="A2" s="297"/>
      <c r="B2" s="297"/>
    </row>
    <row r="3" spans="1:7">
      <c r="A3" s="297"/>
      <c r="B3" s="297"/>
      <c r="C3" s="298" t="s">
        <v>229</v>
      </c>
      <c r="D3" s="298" t="s">
        <v>230</v>
      </c>
      <c r="E3" s="298" t="s">
        <v>232</v>
      </c>
      <c r="F3" s="298" t="s">
        <v>233</v>
      </c>
      <c r="G3" s="298" t="s">
        <v>231</v>
      </c>
    </row>
    <row r="4" spans="1:7">
      <c r="A4" s="299" t="s">
        <v>2219</v>
      </c>
      <c r="B4" s="300" t="s">
        <v>2220</v>
      </c>
      <c r="C4" s="298"/>
      <c r="D4" s="298"/>
      <c r="E4" s="298"/>
      <c r="F4" s="298"/>
      <c r="G4" s="298"/>
    </row>
    <row r="5" spans="1:7">
      <c r="A5" s="301" t="s">
        <v>235</v>
      </c>
      <c r="B5" s="302" t="s">
        <v>2221</v>
      </c>
      <c r="C5" s="303">
        <v>9.8000000000000004E-2</v>
      </c>
      <c r="D5" s="303">
        <v>8.6999999999999994E-2</v>
      </c>
      <c r="E5" s="303">
        <v>8.6999999999999994E-2</v>
      </c>
      <c r="F5" s="303">
        <v>9.8000000000000004E-2</v>
      </c>
      <c r="G5" s="304">
        <v>9.5000000000000001E-2</v>
      </c>
    </row>
    <row r="6" spans="1:7">
      <c r="A6" s="305" t="s">
        <v>235</v>
      </c>
      <c r="B6" s="306" t="s">
        <v>2222</v>
      </c>
      <c r="C6" s="307">
        <v>9.8000000000000004E-2</v>
      </c>
      <c r="D6" s="307">
        <v>9.8000000000000004E-2</v>
      </c>
      <c r="E6" s="307">
        <v>9.8000000000000004E-2</v>
      </c>
      <c r="F6" s="307">
        <v>0.1</v>
      </c>
      <c r="G6" s="308">
        <v>9.9000000000000005E-2</v>
      </c>
    </row>
    <row r="7" spans="1:7">
      <c r="A7" s="305" t="s">
        <v>235</v>
      </c>
      <c r="B7" s="306" t="s">
        <v>2223</v>
      </c>
      <c r="C7" s="307">
        <v>9.7000000000000003E-2</v>
      </c>
      <c r="D7" s="307">
        <v>9.7000000000000003E-2</v>
      </c>
      <c r="E7" s="307">
        <v>9.6000000000000002E-2</v>
      </c>
      <c r="F7" s="307">
        <v>0.1</v>
      </c>
      <c r="G7" s="308">
        <v>9.8000000000000004E-2</v>
      </c>
    </row>
    <row r="8" spans="1:7">
      <c r="A8" s="305" t="s">
        <v>235</v>
      </c>
      <c r="B8" s="306" t="s">
        <v>2224</v>
      </c>
      <c r="C8" s="307">
        <v>8.1000000000000003E-2</v>
      </c>
      <c r="D8" s="307">
        <v>8.2000000000000003E-2</v>
      </c>
      <c r="E8" s="307">
        <v>7.0000000000000007E-2</v>
      </c>
      <c r="F8" s="307">
        <v>9.6000000000000002E-2</v>
      </c>
      <c r="G8" s="308">
        <v>8.8999999999999996E-2</v>
      </c>
    </row>
    <row r="9" spans="1:7">
      <c r="A9" s="309" t="s">
        <v>235</v>
      </c>
      <c r="B9" s="310" t="s">
        <v>2225</v>
      </c>
      <c r="C9" s="311">
        <v>0.1</v>
      </c>
      <c r="D9" s="311">
        <v>0.1</v>
      </c>
      <c r="E9" s="311">
        <v>0.1</v>
      </c>
      <c r="F9" s="312"/>
      <c r="G9" s="313">
        <v>0.1</v>
      </c>
    </row>
    <row r="10" spans="1:7">
      <c r="A10" s="301" t="s">
        <v>251</v>
      </c>
      <c r="B10" s="302" t="s">
        <v>2226</v>
      </c>
      <c r="C10" s="303">
        <v>6.7000000000000004E-2</v>
      </c>
      <c r="D10" s="303">
        <v>7.9000000000000001E-2</v>
      </c>
      <c r="E10" s="303">
        <v>7.9000000000000001E-2</v>
      </c>
      <c r="F10" s="303">
        <v>0.1</v>
      </c>
      <c r="G10" s="304">
        <v>9.0999999999999998E-2</v>
      </c>
    </row>
    <row r="11" spans="1:7">
      <c r="A11" s="305" t="s">
        <v>251</v>
      </c>
      <c r="B11" s="306" t="s">
        <v>2227</v>
      </c>
      <c r="C11" s="307">
        <v>0.05</v>
      </c>
      <c r="D11" s="307">
        <v>5.2999999999999999E-2</v>
      </c>
      <c r="E11" s="307">
        <v>6.3E-2</v>
      </c>
      <c r="F11" s="307">
        <v>0.1</v>
      </c>
      <c r="G11" s="308">
        <v>7.1999999999999995E-2</v>
      </c>
    </row>
    <row r="12" spans="1:7">
      <c r="A12" s="305" t="s">
        <v>251</v>
      </c>
      <c r="B12" s="306" t="s">
        <v>2228</v>
      </c>
      <c r="C12" s="307">
        <v>5.2999999999999999E-2</v>
      </c>
      <c r="D12" s="307">
        <v>0.09</v>
      </c>
      <c r="E12" s="307">
        <v>7.1999999999999995E-2</v>
      </c>
      <c r="F12" s="307">
        <v>0.1</v>
      </c>
      <c r="G12" s="308">
        <v>9.7000000000000003E-2</v>
      </c>
    </row>
    <row r="13" spans="1:7">
      <c r="A13" s="305" t="s">
        <v>251</v>
      </c>
      <c r="B13" s="306" t="s">
        <v>2229</v>
      </c>
      <c r="C13" s="307">
        <v>9.7000000000000003E-2</v>
      </c>
      <c r="D13" s="307">
        <v>9.1999999999999998E-2</v>
      </c>
      <c r="E13" s="307">
        <v>9.5000000000000001E-2</v>
      </c>
      <c r="F13" s="307">
        <v>0.1</v>
      </c>
      <c r="G13" s="308">
        <v>9.7000000000000003E-2</v>
      </c>
    </row>
    <row r="14" spans="1:7">
      <c r="A14" s="305" t="s">
        <v>251</v>
      </c>
      <c r="B14" s="306" t="s">
        <v>2230</v>
      </c>
      <c r="C14" s="307">
        <v>9.7000000000000003E-2</v>
      </c>
      <c r="D14" s="307">
        <v>9.7000000000000003E-2</v>
      </c>
      <c r="E14" s="307">
        <v>9.7000000000000003E-2</v>
      </c>
      <c r="F14" s="307">
        <v>0.1</v>
      </c>
      <c r="G14" s="308">
        <v>9.8000000000000004E-2</v>
      </c>
    </row>
    <row r="15" spans="1:7">
      <c r="A15" s="305" t="s">
        <v>251</v>
      </c>
      <c r="B15" s="306" t="s">
        <v>2231</v>
      </c>
      <c r="C15" s="307">
        <v>9.8000000000000004E-2</v>
      </c>
      <c r="D15" s="307">
        <v>9.0999999999999998E-2</v>
      </c>
      <c r="E15" s="307">
        <v>0.06</v>
      </c>
      <c r="F15" s="307">
        <v>0.1</v>
      </c>
      <c r="G15" s="308">
        <v>9.7000000000000003E-2</v>
      </c>
    </row>
    <row r="16" spans="1:7">
      <c r="A16" s="305" t="s">
        <v>251</v>
      </c>
      <c r="B16" s="306" t="s">
        <v>2232</v>
      </c>
      <c r="C16" s="307">
        <v>9.8000000000000004E-2</v>
      </c>
      <c r="D16" s="307">
        <v>9.7000000000000003E-2</v>
      </c>
      <c r="E16" s="307">
        <v>9.5000000000000001E-2</v>
      </c>
      <c r="F16" s="307">
        <v>0.1</v>
      </c>
      <c r="G16" s="308">
        <v>9.9000000000000005E-2</v>
      </c>
    </row>
    <row r="17" spans="1:7">
      <c r="A17" s="305" t="s">
        <v>251</v>
      </c>
      <c r="B17" s="306" t="s">
        <v>2233</v>
      </c>
      <c r="C17" s="307">
        <v>8.8999999999999996E-2</v>
      </c>
      <c r="D17" s="307">
        <v>9.1999999999999998E-2</v>
      </c>
      <c r="E17" s="307">
        <v>6.0999999999999999E-2</v>
      </c>
      <c r="F17" s="307">
        <v>0.1</v>
      </c>
      <c r="G17" s="308">
        <v>9.7000000000000003E-2</v>
      </c>
    </row>
    <row r="18" spans="1:7">
      <c r="A18" s="305" t="s">
        <v>251</v>
      </c>
      <c r="B18" s="306" t="s">
        <v>2234</v>
      </c>
      <c r="C18" s="307">
        <v>9.8000000000000004E-2</v>
      </c>
      <c r="D18" s="307">
        <v>9.8000000000000004E-2</v>
      </c>
      <c r="E18" s="307">
        <v>9.8000000000000004E-2</v>
      </c>
      <c r="F18" s="314"/>
      <c r="G18" s="308">
        <v>9.9000000000000005E-2</v>
      </c>
    </row>
    <row r="19" spans="1:7">
      <c r="A19" s="305" t="s">
        <v>251</v>
      </c>
      <c r="B19" s="306" t="s">
        <v>2235</v>
      </c>
      <c r="C19" s="307">
        <v>9.9000000000000005E-2</v>
      </c>
      <c r="D19" s="307">
        <v>7.3999999999999996E-2</v>
      </c>
      <c r="E19" s="307">
        <v>8.1000000000000003E-2</v>
      </c>
      <c r="F19" s="314"/>
      <c r="G19" s="308">
        <v>9.2999999999999999E-2</v>
      </c>
    </row>
    <row r="20" spans="1:7">
      <c r="A20" s="305" t="s">
        <v>251</v>
      </c>
      <c r="B20" s="306" t="s">
        <v>2236</v>
      </c>
      <c r="C20" s="307">
        <v>0.1</v>
      </c>
      <c r="D20" s="307">
        <v>8.8999999999999996E-2</v>
      </c>
      <c r="E20" s="307">
        <v>8.8999999999999996E-2</v>
      </c>
      <c r="F20" s="314"/>
      <c r="G20" s="308">
        <v>9.5000000000000001E-2</v>
      </c>
    </row>
    <row r="21" spans="1:7">
      <c r="A21" s="305" t="s">
        <v>251</v>
      </c>
      <c r="B21" s="306" t="s">
        <v>2237</v>
      </c>
      <c r="C21" s="307">
        <v>0.1</v>
      </c>
      <c r="D21" s="307">
        <v>9.0999999999999998E-2</v>
      </c>
      <c r="E21" s="307">
        <v>8.2000000000000003E-2</v>
      </c>
      <c r="F21" s="314"/>
      <c r="G21" s="308">
        <v>9.7000000000000003E-2</v>
      </c>
    </row>
    <row r="22" spans="1:7">
      <c r="A22" s="305" t="s">
        <v>251</v>
      </c>
      <c r="B22" s="306" t="s">
        <v>2238</v>
      </c>
      <c r="C22" s="307">
        <v>9.5000000000000001E-2</v>
      </c>
      <c r="D22" s="307">
        <v>9.9000000000000005E-2</v>
      </c>
      <c r="E22" s="307">
        <v>9.8000000000000004E-2</v>
      </c>
      <c r="F22" s="314"/>
      <c r="G22" s="308">
        <v>0.1</v>
      </c>
    </row>
    <row r="23" spans="1:7">
      <c r="A23" s="305" t="s">
        <v>251</v>
      </c>
      <c r="B23" s="306" t="s">
        <v>2239</v>
      </c>
      <c r="C23" s="307">
        <v>9.9000000000000005E-2</v>
      </c>
      <c r="D23" s="307">
        <v>0.1</v>
      </c>
      <c r="E23" s="307">
        <v>0.1</v>
      </c>
      <c r="F23" s="314"/>
      <c r="G23" s="308">
        <v>0.1</v>
      </c>
    </row>
    <row r="24" spans="1:7">
      <c r="A24" s="305" t="s">
        <v>251</v>
      </c>
      <c r="B24" s="306" t="s">
        <v>2240</v>
      </c>
      <c r="C24" s="307">
        <v>9.5000000000000001E-2</v>
      </c>
      <c r="D24" s="307">
        <v>0.1</v>
      </c>
      <c r="E24" s="307">
        <v>9.8000000000000004E-2</v>
      </c>
      <c r="F24" s="314"/>
      <c r="G24" s="308">
        <v>0.1</v>
      </c>
    </row>
    <row r="25" spans="1:7">
      <c r="A25" s="305" t="s">
        <v>251</v>
      </c>
      <c r="B25" s="306" t="s">
        <v>2241</v>
      </c>
      <c r="C25" s="307">
        <v>0.05</v>
      </c>
      <c r="D25" s="307">
        <v>9.6000000000000002E-2</v>
      </c>
      <c r="E25" s="307">
        <v>9.6000000000000002E-2</v>
      </c>
      <c r="F25" s="314"/>
      <c r="G25" s="308">
        <v>9.6000000000000002E-2</v>
      </c>
    </row>
    <row r="26" spans="1:7">
      <c r="A26" s="305" t="s">
        <v>251</v>
      </c>
      <c r="B26" s="306" t="s">
        <v>2242</v>
      </c>
      <c r="C26" s="307">
        <v>6.3E-2</v>
      </c>
      <c r="D26" s="307">
        <v>9.9000000000000005E-2</v>
      </c>
      <c r="E26" s="307">
        <v>9.8000000000000004E-2</v>
      </c>
      <c r="F26" s="314"/>
      <c r="G26" s="308">
        <v>0.1</v>
      </c>
    </row>
    <row r="27" spans="1:7">
      <c r="A27" s="305" t="s">
        <v>251</v>
      </c>
      <c r="B27" s="306" t="s">
        <v>2243</v>
      </c>
      <c r="C27" s="307">
        <v>5.1999999999999998E-2</v>
      </c>
      <c r="D27" s="307">
        <v>9.5000000000000001E-2</v>
      </c>
      <c r="E27" s="307">
        <v>6.4000000000000001E-2</v>
      </c>
      <c r="F27" s="314"/>
      <c r="G27" s="308">
        <v>9.7000000000000003E-2</v>
      </c>
    </row>
    <row r="28" spans="1:7">
      <c r="A28" s="305" t="s">
        <v>251</v>
      </c>
      <c r="B28" s="306" t="s">
        <v>2244</v>
      </c>
      <c r="C28" s="314"/>
      <c r="D28" s="307">
        <v>6.3E-2</v>
      </c>
      <c r="E28" s="307">
        <v>5.1999999999999998E-2</v>
      </c>
      <c r="F28" s="314"/>
      <c r="G28" s="308">
        <v>6.3E-2</v>
      </c>
    </row>
    <row r="29" spans="1:7">
      <c r="A29" s="309" t="s">
        <v>251</v>
      </c>
      <c r="B29" s="310" t="s">
        <v>2245</v>
      </c>
      <c r="C29" s="315"/>
      <c r="D29" s="311">
        <v>5.1999999999999998E-2</v>
      </c>
      <c r="E29" s="311">
        <v>7.0000000000000007E-2</v>
      </c>
      <c r="F29" s="315"/>
      <c r="G29" s="313">
        <v>7.0999999999999994E-2</v>
      </c>
    </row>
    <row r="30" spans="1:7">
      <c r="A30" s="316" t="s">
        <v>264</v>
      </c>
      <c r="B30" s="302" t="s">
        <v>2246</v>
      </c>
      <c r="C30" s="303">
        <v>6.6000000000000003E-2</v>
      </c>
      <c r="D30" s="303">
        <v>6.6000000000000003E-2</v>
      </c>
      <c r="E30" s="303">
        <v>5.7000000000000002E-2</v>
      </c>
      <c r="F30" s="303">
        <v>0.1</v>
      </c>
      <c r="G30" s="304">
        <v>6.8000000000000005E-2</v>
      </c>
    </row>
    <row r="31" spans="1:7">
      <c r="A31" s="317" t="s">
        <v>264</v>
      </c>
      <c r="B31" s="306" t="s">
        <v>2247</v>
      </c>
      <c r="C31" s="307">
        <v>5.5E-2</v>
      </c>
      <c r="D31" s="307">
        <v>8.2000000000000003E-2</v>
      </c>
      <c r="E31" s="307">
        <v>6.4000000000000001E-2</v>
      </c>
      <c r="F31" s="307">
        <v>0.1</v>
      </c>
      <c r="G31" s="308">
        <v>9.5000000000000001E-2</v>
      </c>
    </row>
    <row r="32" spans="1:7">
      <c r="A32" s="317" t="s">
        <v>264</v>
      </c>
      <c r="B32" s="306" t="s">
        <v>2248</v>
      </c>
      <c r="C32" s="307">
        <v>8.2000000000000003E-2</v>
      </c>
      <c r="D32" s="307">
        <v>8.6999999999999994E-2</v>
      </c>
      <c r="E32" s="307">
        <v>9.5000000000000001E-2</v>
      </c>
      <c r="F32" s="307">
        <v>0.1</v>
      </c>
      <c r="G32" s="308">
        <v>9.6000000000000002E-2</v>
      </c>
    </row>
    <row r="33" spans="1:7">
      <c r="A33" s="317" t="s">
        <v>264</v>
      </c>
      <c r="B33" s="306" t="s">
        <v>2249</v>
      </c>
      <c r="C33" s="307">
        <v>9.9000000000000005E-2</v>
      </c>
      <c r="D33" s="307">
        <v>9.1999999999999998E-2</v>
      </c>
      <c r="E33" s="307">
        <v>8.6999999999999994E-2</v>
      </c>
      <c r="F33" s="307">
        <v>0.1</v>
      </c>
      <c r="G33" s="308">
        <v>9.7000000000000003E-2</v>
      </c>
    </row>
    <row r="34" spans="1:7">
      <c r="A34" s="317" t="s">
        <v>264</v>
      </c>
      <c r="B34" s="306" t="s">
        <v>2250</v>
      </c>
      <c r="C34" s="307">
        <v>8.4000000000000005E-2</v>
      </c>
      <c r="D34" s="307">
        <v>9.7000000000000003E-2</v>
      </c>
      <c r="E34" s="307">
        <v>7.0999999999999994E-2</v>
      </c>
      <c r="F34" s="307">
        <v>0.1</v>
      </c>
      <c r="G34" s="308">
        <v>9.8000000000000004E-2</v>
      </c>
    </row>
    <row r="35" spans="1:7">
      <c r="A35" s="317" t="s">
        <v>264</v>
      </c>
      <c r="B35" s="306" t="s">
        <v>2251</v>
      </c>
      <c r="C35" s="307">
        <v>8.3000000000000004E-2</v>
      </c>
      <c r="D35" s="307">
        <v>9.7000000000000003E-2</v>
      </c>
      <c r="E35" s="307">
        <v>6.0999999999999999E-2</v>
      </c>
      <c r="F35" s="307">
        <v>0.1</v>
      </c>
      <c r="G35" s="308">
        <v>9.9000000000000005E-2</v>
      </c>
    </row>
    <row r="36" spans="1:7">
      <c r="A36" s="317" t="s">
        <v>264</v>
      </c>
      <c r="B36" s="306" t="s">
        <v>2252</v>
      </c>
      <c r="C36" s="307">
        <v>9.7000000000000003E-2</v>
      </c>
      <c r="D36" s="307">
        <v>9.7000000000000003E-2</v>
      </c>
      <c r="E36" s="307">
        <v>7.8E-2</v>
      </c>
      <c r="F36" s="307">
        <v>0.1</v>
      </c>
      <c r="G36" s="308">
        <v>9.9000000000000005E-2</v>
      </c>
    </row>
    <row r="37" spans="1:7">
      <c r="A37" s="317" t="s">
        <v>264</v>
      </c>
      <c r="B37" s="306" t="s">
        <v>2253</v>
      </c>
      <c r="C37" s="307">
        <v>9.7000000000000003E-2</v>
      </c>
      <c r="D37" s="307">
        <v>9.5000000000000001E-2</v>
      </c>
      <c r="E37" s="307">
        <v>7.8E-2</v>
      </c>
      <c r="F37" s="307">
        <v>0.1</v>
      </c>
      <c r="G37" s="308">
        <v>9.7000000000000003E-2</v>
      </c>
    </row>
    <row r="38" spans="1:7">
      <c r="A38" s="317" t="s">
        <v>264</v>
      </c>
      <c r="B38" s="306" t="s">
        <v>2254</v>
      </c>
      <c r="C38" s="307">
        <v>9.7000000000000003E-2</v>
      </c>
      <c r="D38" s="307">
        <v>7.6999999999999999E-2</v>
      </c>
      <c r="E38" s="307">
        <v>7.0000000000000007E-2</v>
      </c>
      <c r="F38" s="307">
        <v>0.1</v>
      </c>
      <c r="G38" s="308">
        <v>7.6999999999999999E-2</v>
      </c>
    </row>
    <row r="39" spans="1:7">
      <c r="A39" s="317" t="s">
        <v>264</v>
      </c>
      <c r="B39" s="306" t="s">
        <v>2255</v>
      </c>
      <c r="C39" s="307">
        <v>9.5000000000000001E-2</v>
      </c>
      <c r="D39" s="307">
        <v>7.6999999999999999E-2</v>
      </c>
      <c r="E39" s="307">
        <v>6.6000000000000003E-2</v>
      </c>
      <c r="F39" s="307">
        <v>0.1</v>
      </c>
      <c r="G39" s="308">
        <v>8.5999999999999993E-2</v>
      </c>
    </row>
    <row r="40" spans="1:7">
      <c r="A40" s="317" t="s">
        <v>264</v>
      </c>
      <c r="B40" s="306" t="s">
        <v>2256</v>
      </c>
      <c r="C40" s="307">
        <v>7.6999999999999999E-2</v>
      </c>
      <c r="D40" s="307">
        <v>7.8E-2</v>
      </c>
      <c r="E40" s="307">
        <v>8.2000000000000003E-2</v>
      </c>
      <c r="F40" s="318"/>
      <c r="G40" s="308">
        <v>7.8E-2</v>
      </c>
    </row>
    <row r="41" spans="1:7">
      <c r="A41" s="317" t="s">
        <v>264</v>
      </c>
      <c r="B41" s="306" t="s">
        <v>2257</v>
      </c>
      <c r="C41" s="307">
        <v>7.8E-2</v>
      </c>
      <c r="D41" s="307">
        <v>7.8E-2</v>
      </c>
      <c r="E41" s="307">
        <v>8.2000000000000003E-2</v>
      </c>
      <c r="F41" s="318"/>
      <c r="G41" s="308">
        <v>8.5999999999999993E-2</v>
      </c>
    </row>
    <row r="42" spans="1:7">
      <c r="A42" s="317" t="s">
        <v>264</v>
      </c>
      <c r="B42" s="306" t="s">
        <v>2258</v>
      </c>
      <c r="C42" s="307">
        <v>7.8E-2</v>
      </c>
      <c r="D42" s="307">
        <v>9.6000000000000002E-2</v>
      </c>
      <c r="E42" s="307">
        <v>7.1999999999999995E-2</v>
      </c>
      <c r="F42" s="318"/>
      <c r="G42" s="308">
        <v>9.8000000000000004E-2</v>
      </c>
    </row>
    <row r="43" spans="1:7">
      <c r="A43" s="317" t="s">
        <v>264</v>
      </c>
      <c r="B43" s="306" t="s">
        <v>2259</v>
      </c>
      <c r="C43" s="307">
        <v>7.8E-2</v>
      </c>
      <c r="D43" s="307">
        <v>9.9000000000000005E-2</v>
      </c>
      <c r="E43" s="307">
        <v>9.6000000000000002E-2</v>
      </c>
      <c r="F43" s="318"/>
      <c r="G43" s="308">
        <v>0.1</v>
      </c>
    </row>
    <row r="44" spans="1:7">
      <c r="A44" s="317" t="s">
        <v>264</v>
      </c>
      <c r="B44" s="306" t="s">
        <v>2260</v>
      </c>
      <c r="C44" s="307">
        <v>9.6000000000000002E-2</v>
      </c>
      <c r="D44" s="307">
        <v>0.1</v>
      </c>
      <c r="E44" s="307">
        <v>9.8000000000000004E-2</v>
      </c>
      <c r="F44" s="318"/>
      <c r="G44" s="308">
        <v>0.1</v>
      </c>
    </row>
    <row r="45" spans="1:7">
      <c r="A45" s="317" t="s">
        <v>264</v>
      </c>
      <c r="B45" s="306" t="s">
        <v>2261</v>
      </c>
      <c r="C45" s="307">
        <v>9.9000000000000005E-2</v>
      </c>
      <c r="D45" s="307">
        <v>9.8000000000000004E-2</v>
      </c>
      <c r="E45" s="307">
        <v>9.5000000000000001E-2</v>
      </c>
      <c r="F45" s="318"/>
      <c r="G45" s="308">
        <v>9.8000000000000004E-2</v>
      </c>
    </row>
    <row r="46" spans="1:7">
      <c r="A46" s="317" t="s">
        <v>264</v>
      </c>
      <c r="B46" s="306" t="s">
        <v>2262</v>
      </c>
      <c r="C46" s="307">
        <v>0.1</v>
      </c>
      <c r="D46" s="307">
        <v>9.9000000000000005E-2</v>
      </c>
      <c r="E46" s="307">
        <v>9.6000000000000002E-2</v>
      </c>
      <c r="F46" s="318"/>
      <c r="G46" s="308">
        <v>0.1</v>
      </c>
    </row>
    <row r="47" spans="1:7">
      <c r="A47" s="317" t="s">
        <v>264</v>
      </c>
      <c r="B47" s="306" t="s">
        <v>2263</v>
      </c>
      <c r="C47" s="307">
        <v>9.8000000000000004E-2</v>
      </c>
      <c r="D47" s="307">
        <v>8.6999999999999994E-2</v>
      </c>
      <c r="E47" s="307">
        <v>5.8999999999999997E-2</v>
      </c>
      <c r="F47" s="318"/>
      <c r="G47" s="308">
        <v>9.6000000000000002E-2</v>
      </c>
    </row>
    <row r="48" spans="1:7">
      <c r="A48" s="317" t="s">
        <v>264</v>
      </c>
      <c r="B48" s="306" t="s">
        <v>2264</v>
      </c>
      <c r="C48" s="307">
        <v>9.9000000000000005E-2</v>
      </c>
      <c r="D48" s="307">
        <v>9.8000000000000004E-2</v>
      </c>
      <c r="E48" s="307">
        <v>9.5000000000000001E-2</v>
      </c>
      <c r="F48" s="318"/>
      <c r="G48" s="308">
        <v>9.8000000000000004E-2</v>
      </c>
    </row>
    <row r="49" spans="1:7">
      <c r="A49" s="317" t="s">
        <v>264</v>
      </c>
      <c r="B49" s="306" t="s">
        <v>2265</v>
      </c>
      <c r="C49" s="307">
        <v>8.7999999999999995E-2</v>
      </c>
      <c r="D49" s="307">
        <v>9.9000000000000005E-2</v>
      </c>
      <c r="E49" s="307">
        <v>7.0000000000000007E-2</v>
      </c>
      <c r="F49" s="318"/>
      <c r="G49" s="308">
        <v>0.1</v>
      </c>
    </row>
    <row r="50" spans="1:7">
      <c r="A50" s="317" t="s">
        <v>264</v>
      </c>
      <c r="B50" s="306" t="s">
        <v>2266</v>
      </c>
      <c r="C50" s="307">
        <v>9.8000000000000004E-2</v>
      </c>
      <c r="D50" s="307">
        <v>7.2999999999999995E-2</v>
      </c>
      <c r="E50" s="307">
        <v>7.0999999999999994E-2</v>
      </c>
      <c r="F50" s="318"/>
      <c r="G50" s="308">
        <v>7.2999999999999995E-2</v>
      </c>
    </row>
    <row r="51" spans="1:7">
      <c r="A51" s="317" t="s">
        <v>264</v>
      </c>
      <c r="B51" s="306" t="s">
        <v>2267</v>
      </c>
      <c r="C51" s="307">
        <v>9.9000000000000005E-2</v>
      </c>
      <c r="D51" s="307">
        <v>8.5000000000000006E-2</v>
      </c>
      <c r="E51" s="307">
        <v>6.3E-2</v>
      </c>
      <c r="F51" s="318"/>
      <c r="G51" s="308">
        <v>9.6000000000000002E-2</v>
      </c>
    </row>
    <row r="52" spans="1:7">
      <c r="A52" s="317" t="s">
        <v>264</v>
      </c>
      <c r="B52" s="306" t="s">
        <v>2268</v>
      </c>
      <c r="C52" s="307">
        <v>7.3999999999999996E-2</v>
      </c>
      <c r="D52" s="307">
        <v>9.6000000000000002E-2</v>
      </c>
      <c r="E52" s="307">
        <v>0.05</v>
      </c>
      <c r="F52" s="318"/>
      <c r="G52" s="308">
        <v>9.8000000000000004E-2</v>
      </c>
    </row>
    <row r="53" spans="1:7">
      <c r="A53" s="317" t="s">
        <v>264</v>
      </c>
      <c r="B53" s="306" t="s">
        <v>2269</v>
      </c>
      <c r="C53" s="307">
        <v>8.5999999999999993E-2</v>
      </c>
      <c r="D53" s="318"/>
      <c r="E53" s="307">
        <v>9.1999999999999998E-2</v>
      </c>
      <c r="F53" s="318"/>
      <c r="G53" s="319"/>
    </row>
    <row r="54" spans="1:7">
      <c r="A54" s="320" t="s">
        <v>264</v>
      </c>
      <c r="B54" s="310" t="s">
        <v>2270</v>
      </c>
      <c r="C54" s="311">
        <v>9.6000000000000002E-2</v>
      </c>
      <c r="D54" s="312"/>
      <c r="E54" s="321"/>
      <c r="F54" s="312"/>
      <c r="G54" s="322"/>
    </row>
    <row r="55" spans="1:7">
      <c r="A55" s="316" t="s">
        <v>275</v>
      </c>
      <c r="B55" s="302" t="s">
        <v>2271</v>
      </c>
      <c r="C55" s="303">
        <v>9.6000000000000002E-2</v>
      </c>
      <c r="D55" s="303">
        <v>8.4000000000000005E-2</v>
      </c>
      <c r="E55" s="303">
        <v>9.1999999999999998E-2</v>
      </c>
      <c r="F55" s="303">
        <v>0.1</v>
      </c>
      <c r="G55" s="304">
        <v>9.5000000000000001E-2</v>
      </c>
    </row>
    <row r="56" spans="1:7">
      <c r="A56" s="317" t="s">
        <v>275</v>
      </c>
      <c r="B56" s="306" t="s">
        <v>2272</v>
      </c>
      <c r="C56" s="307">
        <v>8.4000000000000005E-2</v>
      </c>
      <c r="D56" s="307">
        <v>9.1999999999999998E-2</v>
      </c>
      <c r="E56" s="307">
        <v>9.5000000000000001E-2</v>
      </c>
      <c r="F56" s="307">
        <v>9.1999999999999998E-2</v>
      </c>
      <c r="G56" s="308">
        <v>9.6000000000000002E-2</v>
      </c>
    </row>
    <row r="57" spans="1:7">
      <c r="A57" s="317" t="s">
        <v>275</v>
      </c>
      <c r="B57" s="306" t="s">
        <v>2273</v>
      </c>
      <c r="C57" s="307">
        <v>9.9000000000000005E-2</v>
      </c>
      <c r="D57" s="307">
        <v>9.6000000000000002E-2</v>
      </c>
      <c r="E57" s="307">
        <v>9.1999999999999998E-2</v>
      </c>
      <c r="F57" s="307">
        <v>0.1</v>
      </c>
      <c r="G57" s="308">
        <v>9.8000000000000004E-2</v>
      </c>
    </row>
    <row r="58" spans="1:7">
      <c r="A58" s="317" t="s">
        <v>275</v>
      </c>
      <c r="B58" s="306" t="s">
        <v>2274</v>
      </c>
      <c r="C58" s="307">
        <v>9.8000000000000004E-2</v>
      </c>
      <c r="D58" s="307">
        <v>9.5000000000000001E-2</v>
      </c>
      <c r="E58" s="307">
        <v>5.7000000000000002E-2</v>
      </c>
      <c r="F58" s="307">
        <v>0.1</v>
      </c>
      <c r="G58" s="308">
        <v>9.6000000000000002E-2</v>
      </c>
    </row>
    <row r="59" spans="1:7">
      <c r="A59" s="317" t="s">
        <v>275</v>
      </c>
      <c r="B59" s="306" t="s">
        <v>2275</v>
      </c>
      <c r="C59" s="307">
        <v>9.5000000000000001E-2</v>
      </c>
      <c r="D59" s="307">
        <v>0.1</v>
      </c>
      <c r="E59" s="307">
        <v>7.4999999999999997E-2</v>
      </c>
      <c r="F59" s="307">
        <v>0.1</v>
      </c>
      <c r="G59" s="308">
        <v>0.1</v>
      </c>
    </row>
    <row r="60" spans="1:7">
      <c r="A60" s="317" t="s">
        <v>275</v>
      </c>
      <c r="B60" s="306" t="s">
        <v>2276</v>
      </c>
      <c r="C60" s="307">
        <v>0.1</v>
      </c>
      <c r="D60" s="307">
        <v>9.7000000000000003E-2</v>
      </c>
      <c r="E60" s="307">
        <v>0.1</v>
      </c>
      <c r="F60" s="307">
        <v>0.1</v>
      </c>
      <c r="G60" s="308">
        <v>9.7000000000000003E-2</v>
      </c>
    </row>
    <row r="61" spans="1:7">
      <c r="A61" s="317" t="s">
        <v>275</v>
      </c>
      <c r="B61" s="306" t="s">
        <v>2277</v>
      </c>
      <c r="C61" s="307">
        <v>9.7000000000000003E-2</v>
      </c>
      <c r="D61" s="307">
        <v>0.1</v>
      </c>
      <c r="E61" s="307">
        <v>9.2999999999999999E-2</v>
      </c>
      <c r="F61" s="307">
        <v>0.1</v>
      </c>
      <c r="G61" s="308">
        <v>0.1</v>
      </c>
    </row>
    <row r="62" spans="1:7">
      <c r="A62" s="317" t="s">
        <v>275</v>
      </c>
      <c r="B62" s="306" t="s">
        <v>2278</v>
      </c>
      <c r="C62" s="307">
        <v>0.1</v>
      </c>
      <c r="D62" s="307">
        <v>9.7000000000000003E-2</v>
      </c>
      <c r="E62" s="307">
        <v>8.8999999999999996E-2</v>
      </c>
      <c r="F62" s="307">
        <v>0.1</v>
      </c>
      <c r="G62" s="308">
        <v>9.8000000000000004E-2</v>
      </c>
    </row>
    <row r="63" spans="1:7">
      <c r="A63" s="317" t="s">
        <v>275</v>
      </c>
      <c r="B63" s="306" t="s">
        <v>2279</v>
      </c>
      <c r="C63" s="307">
        <v>9.7000000000000003E-2</v>
      </c>
      <c r="D63" s="307">
        <v>9.7000000000000003E-2</v>
      </c>
      <c r="E63" s="307">
        <v>9.9000000000000005E-2</v>
      </c>
      <c r="F63" s="307">
        <v>0.1</v>
      </c>
      <c r="G63" s="308">
        <v>9.7000000000000003E-2</v>
      </c>
    </row>
    <row r="64" spans="1:7">
      <c r="A64" s="317" t="s">
        <v>275</v>
      </c>
      <c r="B64" s="306" t="s">
        <v>2280</v>
      </c>
      <c r="C64" s="307">
        <v>9.7000000000000003E-2</v>
      </c>
      <c r="D64" s="307">
        <v>7.3999999999999996E-2</v>
      </c>
      <c r="E64" s="307">
        <v>7.8E-2</v>
      </c>
      <c r="F64" s="307">
        <v>0.1</v>
      </c>
      <c r="G64" s="308">
        <v>8.8999999999999996E-2</v>
      </c>
    </row>
    <row r="65" spans="1:7">
      <c r="A65" s="317" t="s">
        <v>275</v>
      </c>
      <c r="B65" s="306" t="s">
        <v>2281</v>
      </c>
      <c r="C65" s="307">
        <v>7.2999999999999995E-2</v>
      </c>
      <c r="D65" s="307">
        <v>9.8000000000000004E-2</v>
      </c>
      <c r="E65" s="307">
        <v>9.5000000000000001E-2</v>
      </c>
      <c r="F65" s="307">
        <v>0.1</v>
      </c>
      <c r="G65" s="308">
        <v>9.9000000000000005E-2</v>
      </c>
    </row>
    <row r="66" spans="1:7">
      <c r="A66" s="317" t="s">
        <v>275</v>
      </c>
      <c r="B66" s="306" t="s">
        <v>2282</v>
      </c>
      <c r="C66" s="307">
        <v>9.8000000000000004E-2</v>
      </c>
      <c r="D66" s="307">
        <v>9.5000000000000001E-2</v>
      </c>
      <c r="E66" s="307">
        <v>0.05</v>
      </c>
      <c r="F66" s="307">
        <v>0.1</v>
      </c>
      <c r="G66" s="308">
        <v>9.7000000000000003E-2</v>
      </c>
    </row>
    <row r="67" spans="1:7">
      <c r="A67" s="317" t="s">
        <v>275</v>
      </c>
      <c r="B67" s="306" t="s">
        <v>2283</v>
      </c>
      <c r="C67" s="307">
        <v>9.5000000000000001E-2</v>
      </c>
      <c r="D67" s="307">
        <v>9.7000000000000003E-2</v>
      </c>
      <c r="E67" s="307">
        <v>9.7000000000000003E-2</v>
      </c>
      <c r="F67" s="307">
        <v>0.1</v>
      </c>
      <c r="G67" s="308">
        <v>9.9000000000000005E-2</v>
      </c>
    </row>
    <row r="68" spans="1:7">
      <c r="A68" s="317" t="s">
        <v>275</v>
      </c>
      <c r="B68" s="306" t="s">
        <v>2284</v>
      </c>
      <c r="C68" s="307">
        <v>9.7000000000000003E-2</v>
      </c>
      <c r="D68" s="307">
        <v>6.8000000000000005E-2</v>
      </c>
      <c r="E68" s="307">
        <v>6.6000000000000003E-2</v>
      </c>
      <c r="F68" s="307">
        <v>0.1</v>
      </c>
      <c r="G68" s="308">
        <v>8.4000000000000005E-2</v>
      </c>
    </row>
    <row r="69" spans="1:7">
      <c r="A69" s="317" t="s">
        <v>275</v>
      </c>
      <c r="B69" s="306" t="s">
        <v>2285</v>
      </c>
      <c r="C69" s="307">
        <v>6.8000000000000005E-2</v>
      </c>
      <c r="D69" s="307">
        <v>9.8000000000000004E-2</v>
      </c>
      <c r="E69" s="307">
        <v>9.5000000000000001E-2</v>
      </c>
      <c r="F69" s="307">
        <v>0.1</v>
      </c>
      <c r="G69" s="308">
        <v>0.1</v>
      </c>
    </row>
    <row r="70" spans="1:7">
      <c r="A70" s="317" t="s">
        <v>275</v>
      </c>
      <c r="B70" s="306" t="s">
        <v>2286</v>
      </c>
      <c r="C70" s="307">
        <v>9.8000000000000004E-2</v>
      </c>
      <c r="D70" s="307">
        <v>8.8999999999999996E-2</v>
      </c>
      <c r="E70" s="307">
        <v>5.8999999999999997E-2</v>
      </c>
      <c r="F70" s="307">
        <v>0.1</v>
      </c>
      <c r="G70" s="308">
        <v>9.6000000000000002E-2</v>
      </c>
    </row>
    <row r="71" spans="1:7">
      <c r="A71" s="317" t="s">
        <v>275</v>
      </c>
      <c r="B71" s="306" t="s">
        <v>2287</v>
      </c>
      <c r="C71" s="307">
        <v>8.8999999999999996E-2</v>
      </c>
      <c r="D71" s="307">
        <v>9.9000000000000005E-2</v>
      </c>
      <c r="E71" s="307">
        <v>9.6000000000000002E-2</v>
      </c>
      <c r="F71" s="307">
        <v>0.1</v>
      </c>
      <c r="G71" s="308">
        <v>0.1</v>
      </c>
    </row>
    <row r="72" spans="1:7">
      <c r="A72" s="317" t="s">
        <v>275</v>
      </c>
      <c r="B72" s="306" t="s">
        <v>2288</v>
      </c>
      <c r="C72" s="307">
        <v>9.9000000000000005E-2</v>
      </c>
      <c r="D72" s="307">
        <v>0.1</v>
      </c>
      <c r="E72" s="307">
        <v>7.0000000000000007E-2</v>
      </c>
      <c r="F72" s="318"/>
      <c r="G72" s="308">
        <v>0.1</v>
      </c>
    </row>
    <row r="73" spans="1:7">
      <c r="A73" s="317" t="s">
        <v>275</v>
      </c>
      <c r="B73" s="306" t="s">
        <v>2289</v>
      </c>
      <c r="C73" s="307">
        <v>0.1</v>
      </c>
      <c r="D73" s="307">
        <v>0.1</v>
      </c>
      <c r="E73" s="307">
        <v>9.6000000000000002E-2</v>
      </c>
      <c r="F73" s="318"/>
      <c r="G73" s="308">
        <v>0.1</v>
      </c>
    </row>
    <row r="74" spans="1:7">
      <c r="A74" s="317" t="s">
        <v>275</v>
      </c>
      <c r="B74" s="306" t="s">
        <v>2290</v>
      </c>
      <c r="C74" s="307">
        <v>0.1</v>
      </c>
      <c r="D74" s="307">
        <v>0.1</v>
      </c>
      <c r="E74" s="307">
        <v>9.8000000000000004E-2</v>
      </c>
      <c r="F74" s="318"/>
      <c r="G74" s="308">
        <v>0.1</v>
      </c>
    </row>
    <row r="75" spans="1:7">
      <c r="A75" s="317" t="s">
        <v>275</v>
      </c>
      <c r="B75" s="306" t="s">
        <v>2291</v>
      </c>
      <c r="C75" s="307">
        <v>0.1</v>
      </c>
      <c r="D75" s="307">
        <v>9.9000000000000005E-2</v>
      </c>
      <c r="E75" s="307">
        <v>9.8000000000000004E-2</v>
      </c>
      <c r="F75" s="318"/>
      <c r="G75" s="308">
        <v>0.1</v>
      </c>
    </row>
    <row r="76" spans="1:7">
      <c r="A76" s="317" t="s">
        <v>275</v>
      </c>
      <c r="B76" s="306" t="s">
        <v>2292</v>
      </c>
      <c r="C76" s="307">
        <v>9.9000000000000005E-2</v>
      </c>
      <c r="D76" s="307">
        <v>0.1</v>
      </c>
      <c r="E76" s="307">
        <v>9.7000000000000003E-2</v>
      </c>
      <c r="F76" s="318"/>
      <c r="G76" s="308">
        <v>0.1</v>
      </c>
    </row>
    <row r="77" spans="1:7">
      <c r="A77" s="317" t="s">
        <v>275</v>
      </c>
      <c r="B77" s="306" t="s">
        <v>2293</v>
      </c>
      <c r="C77" s="307">
        <v>0.1</v>
      </c>
      <c r="D77" s="307">
        <v>0.1</v>
      </c>
      <c r="E77" s="307">
        <v>9.6000000000000002E-2</v>
      </c>
      <c r="F77" s="318"/>
      <c r="G77" s="308">
        <v>0.1</v>
      </c>
    </row>
    <row r="78" spans="1:7">
      <c r="A78" s="317" t="s">
        <v>275</v>
      </c>
      <c r="B78" s="306" t="s">
        <v>2294</v>
      </c>
      <c r="C78" s="307">
        <v>0.1</v>
      </c>
      <c r="D78" s="307">
        <v>8.5000000000000006E-2</v>
      </c>
      <c r="E78" s="307">
        <v>9.6000000000000002E-2</v>
      </c>
      <c r="F78" s="318"/>
      <c r="G78" s="308">
        <v>9.6000000000000002E-2</v>
      </c>
    </row>
    <row r="79" spans="1:7">
      <c r="A79" s="317" t="s">
        <v>275</v>
      </c>
      <c r="B79" s="306" t="s">
        <v>2295</v>
      </c>
      <c r="C79" s="307">
        <v>0.05</v>
      </c>
      <c r="D79" s="307">
        <v>9.6000000000000002E-2</v>
      </c>
      <c r="E79" s="307">
        <v>9.5000000000000001E-2</v>
      </c>
      <c r="F79" s="318"/>
      <c r="G79" s="308">
        <v>9.8000000000000004E-2</v>
      </c>
    </row>
    <row r="80" spans="1:7">
      <c r="A80" s="317" t="s">
        <v>275</v>
      </c>
      <c r="B80" s="306" t="s">
        <v>2296</v>
      </c>
      <c r="C80" s="307">
        <v>8.5999999999999993E-2</v>
      </c>
      <c r="D80" s="323"/>
      <c r="E80" s="307">
        <v>0.1</v>
      </c>
      <c r="F80" s="318"/>
      <c r="G80" s="319"/>
    </row>
    <row r="81" spans="1:7">
      <c r="A81" s="317" t="s">
        <v>275</v>
      </c>
      <c r="B81" s="306" t="s">
        <v>2297</v>
      </c>
      <c r="C81" s="307">
        <v>9.6000000000000002E-2</v>
      </c>
      <c r="D81" s="318"/>
      <c r="E81" s="307">
        <v>9.8000000000000004E-2</v>
      </c>
      <c r="F81" s="318"/>
      <c r="G81" s="319"/>
    </row>
    <row r="82" spans="1:7">
      <c r="A82" s="317" t="s">
        <v>275</v>
      </c>
      <c r="B82" s="306" t="s">
        <v>2298</v>
      </c>
      <c r="C82" s="323"/>
      <c r="D82" s="318"/>
      <c r="E82" s="307">
        <v>7.6999999999999999E-2</v>
      </c>
      <c r="F82" s="318"/>
      <c r="G82" s="319"/>
    </row>
    <row r="83" spans="1:7">
      <c r="A83" s="317" t="s">
        <v>275</v>
      </c>
      <c r="B83" s="306" t="s">
        <v>2299</v>
      </c>
      <c r="C83" s="318"/>
      <c r="D83" s="318"/>
      <c r="E83" s="318"/>
      <c r="F83" s="307">
        <v>0.1</v>
      </c>
      <c r="G83" s="324"/>
    </row>
    <row r="84" spans="1:7">
      <c r="A84" s="317" t="s">
        <v>275</v>
      </c>
      <c r="B84" s="306" t="s">
        <v>2300</v>
      </c>
      <c r="C84" s="318"/>
      <c r="D84" s="318"/>
      <c r="E84" s="318"/>
      <c r="F84" s="307">
        <v>0.1</v>
      </c>
      <c r="G84" s="324"/>
    </row>
    <row r="85" spans="1:7">
      <c r="A85" s="317" t="s">
        <v>275</v>
      </c>
      <c r="B85" s="306" t="s">
        <v>2301</v>
      </c>
      <c r="C85" s="318"/>
      <c r="D85" s="318"/>
      <c r="E85" s="318"/>
      <c r="F85" s="307">
        <v>0.1</v>
      </c>
      <c r="G85" s="324"/>
    </row>
    <row r="86" spans="1:7">
      <c r="A86" s="320" t="s">
        <v>275</v>
      </c>
      <c r="B86" s="310" t="s">
        <v>2302</v>
      </c>
      <c r="C86" s="311">
        <v>9.8000000000000004E-2</v>
      </c>
      <c r="D86" s="311">
        <v>9.8000000000000004E-2</v>
      </c>
      <c r="E86" s="311">
        <v>9.6000000000000002E-2</v>
      </c>
      <c r="F86" s="321"/>
      <c r="G86" s="313">
        <v>0.1</v>
      </c>
    </row>
    <row r="87" spans="1:7">
      <c r="A87" s="316" t="s">
        <v>286</v>
      </c>
      <c r="B87" s="302" t="s">
        <v>2303</v>
      </c>
      <c r="C87" s="303">
        <v>0.1</v>
      </c>
      <c r="D87" s="303">
        <v>0.1</v>
      </c>
      <c r="E87" s="303">
        <v>9.8000000000000004E-2</v>
      </c>
      <c r="F87" s="303">
        <v>0.1</v>
      </c>
      <c r="G87" s="304">
        <v>0.1</v>
      </c>
    </row>
    <row r="88" spans="1:7">
      <c r="A88" s="317" t="s">
        <v>286</v>
      </c>
      <c r="B88" s="306" t="s">
        <v>2304</v>
      </c>
      <c r="C88" s="307">
        <v>9.0999999999999998E-2</v>
      </c>
      <c r="D88" s="307">
        <v>9.1999999999999998E-2</v>
      </c>
      <c r="E88" s="307">
        <v>0.1</v>
      </c>
      <c r="F88" s="307">
        <v>0.1</v>
      </c>
      <c r="G88" s="308">
        <v>9.6000000000000002E-2</v>
      </c>
    </row>
    <row r="89" spans="1:7">
      <c r="A89" s="317" t="s">
        <v>286</v>
      </c>
      <c r="B89" s="306" t="s">
        <v>2305</v>
      </c>
      <c r="C89" s="307">
        <v>0.1</v>
      </c>
      <c r="D89" s="307">
        <v>0.1</v>
      </c>
      <c r="E89" s="307">
        <v>6.7000000000000004E-2</v>
      </c>
      <c r="F89" s="307">
        <v>9.2999999999999999E-2</v>
      </c>
      <c r="G89" s="308">
        <v>0.1</v>
      </c>
    </row>
    <row r="90" spans="1:7">
      <c r="A90" s="317" t="s">
        <v>286</v>
      </c>
      <c r="B90" s="306" t="s">
        <v>2306</v>
      </c>
      <c r="C90" s="307">
        <v>9.6000000000000002E-2</v>
      </c>
      <c r="D90" s="307">
        <v>9.6000000000000002E-2</v>
      </c>
      <c r="E90" s="307">
        <v>0.1</v>
      </c>
      <c r="F90" s="307">
        <v>0.1</v>
      </c>
      <c r="G90" s="308">
        <v>9.8000000000000004E-2</v>
      </c>
    </row>
    <row r="91" spans="1:7">
      <c r="A91" s="317" t="s">
        <v>286</v>
      </c>
      <c r="B91" s="306" t="s">
        <v>2307</v>
      </c>
      <c r="C91" s="307">
        <v>7.6999999999999999E-2</v>
      </c>
      <c r="D91" s="307">
        <v>7.6999999999999999E-2</v>
      </c>
      <c r="E91" s="307">
        <v>9.6000000000000002E-2</v>
      </c>
      <c r="F91" s="307">
        <v>0.1</v>
      </c>
      <c r="G91" s="308">
        <v>7.6999999999999999E-2</v>
      </c>
    </row>
    <row r="92" spans="1:7">
      <c r="A92" s="317" t="s">
        <v>286</v>
      </c>
      <c r="B92" s="306" t="s">
        <v>2308</v>
      </c>
      <c r="C92" s="307">
        <v>0.1</v>
      </c>
      <c r="D92" s="307">
        <v>0.1</v>
      </c>
      <c r="E92" s="307">
        <v>9.1999999999999998E-2</v>
      </c>
      <c r="F92" s="307">
        <v>0.1</v>
      </c>
      <c r="G92" s="308">
        <v>0.1</v>
      </c>
    </row>
    <row r="93" spans="1:7">
      <c r="A93" s="317" t="s">
        <v>286</v>
      </c>
      <c r="B93" s="306" t="s">
        <v>2309</v>
      </c>
      <c r="C93" s="307">
        <v>9.8000000000000004E-2</v>
      </c>
      <c r="D93" s="307">
        <v>9.8000000000000004E-2</v>
      </c>
      <c r="E93" s="307">
        <v>9.6000000000000002E-2</v>
      </c>
      <c r="F93" s="307">
        <v>0.1</v>
      </c>
      <c r="G93" s="308">
        <v>9.9000000000000005E-2</v>
      </c>
    </row>
    <row r="94" spans="1:7">
      <c r="A94" s="317" t="s">
        <v>286</v>
      </c>
      <c r="B94" s="306" t="s">
        <v>2310</v>
      </c>
      <c r="C94" s="307">
        <v>8.7999999999999995E-2</v>
      </c>
      <c r="D94" s="307">
        <v>8.7999999999999995E-2</v>
      </c>
      <c r="E94" s="307">
        <v>9.6000000000000002E-2</v>
      </c>
      <c r="F94" s="307">
        <v>0.1</v>
      </c>
      <c r="G94" s="308">
        <v>8.7999999999999995E-2</v>
      </c>
    </row>
    <row r="95" spans="1:7">
      <c r="A95" s="317" t="s">
        <v>286</v>
      </c>
      <c r="B95" s="306" t="s">
        <v>2311</v>
      </c>
      <c r="C95" s="307">
        <v>9.6000000000000002E-2</v>
      </c>
      <c r="D95" s="307">
        <v>9.6000000000000002E-2</v>
      </c>
      <c r="E95" s="307">
        <v>0.1</v>
      </c>
      <c r="F95" s="307">
        <v>0.1</v>
      </c>
      <c r="G95" s="308">
        <v>9.8000000000000004E-2</v>
      </c>
    </row>
    <row r="96" spans="1:7">
      <c r="A96" s="317" t="s">
        <v>286</v>
      </c>
      <c r="B96" s="306" t="s">
        <v>2312</v>
      </c>
      <c r="C96" s="307">
        <v>9.7000000000000003E-2</v>
      </c>
      <c r="D96" s="307">
        <v>9.7000000000000003E-2</v>
      </c>
      <c r="E96" s="307">
        <v>0.1</v>
      </c>
      <c r="F96" s="307">
        <v>0.1</v>
      </c>
      <c r="G96" s="308">
        <v>9.8000000000000004E-2</v>
      </c>
    </row>
    <row r="97" spans="1:7">
      <c r="A97" s="317" t="s">
        <v>286</v>
      </c>
      <c r="B97" s="306" t="s">
        <v>2313</v>
      </c>
      <c r="C97" s="307">
        <v>9.6000000000000002E-2</v>
      </c>
      <c r="D97" s="307">
        <v>9.6000000000000002E-2</v>
      </c>
      <c r="E97" s="307">
        <v>9.9000000000000005E-2</v>
      </c>
      <c r="F97" s="307">
        <v>0.1</v>
      </c>
      <c r="G97" s="308">
        <v>9.8000000000000004E-2</v>
      </c>
    </row>
    <row r="98" spans="1:7">
      <c r="A98" s="317" t="s">
        <v>286</v>
      </c>
      <c r="B98" s="306" t="s">
        <v>2314</v>
      </c>
      <c r="C98" s="307">
        <v>9.8000000000000004E-2</v>
      </c>
      <c r="D98" s="307">
        <v>9.8000000000000004E-2</v>
      </c>
      <c r="E98" s="307">
        <v>0.1</v>
      </c>
      <c r="F98" s="307">
        <v>0.1</v>
      </c>
      <c r="G98" s="308">
        <v>9.9000000000000005E-2</v>
      </c>
    </row>
    <row r="99" spans="1:7">
      <c r="A99" s="317" t="s">
        <v>286</v>
      </c>
      <c r="B99" s="306" t="s">
        <v>2315</v>
      </c>
      <c r="C99" s="307">
        <v>9.6000000000000002E-2</v>
      </c>
      <c r="D99" s="307">
        <v>9.6000000000000002E-2</v>
      </c>
      <c r="E99" s="307">
        <v>0.1</v>
      </c>
      <c r="F99" s="307">
        <v>0.1</v>
      </c>
      <c r="G99" s="308">
        <v>9.7000000000000003E-2</v>
      </c>
    </row>
    <row r="100" spans="1:7">
      <c r="A100" s="317" t="s">
        <v>286</v>
      </c>
      <c r="B100" s="306" t="s">
        <v>2316</v>
      </c>
      <c r="C100" s="307">
        <v>0.1</v>
      </c>
      <c r="D100" s="307">
        <v>0.1</v>
      </c>
      <c r="E100" s="307">
        <v>9.7000000000000003E-2</v>
      </c>
      <c r="F100" s="307">
        <v>9.8000000000000004E-2</v>
      </c>
      <c r="G100" s="308">
        <v>0.1</v>
      </c>
    </row>
    <row r="101" spans="1:7">
      <c r="A101" s="317" t="s">
        <v>286</v>
      </c>
      <c r="B101" s="306" t="s">
        <v>2317</v>
      </c>
      <c r="C101" s="307">
        <v>0.1</v>
      </c>
      <c r="D101" s="307">
        <v>0.1</v>
      </c>
      <c r="E101" s="307">
        <v>9.5000000000000001E-2</v>
      </c>
      <c r="F101" s="307">
        <v>0.1</v>
      </c>
      <c r="G101" s="308">
        <v>0.1</v>
      </c>
    </row>
    <row r="102" spans="1:7">
      <c r="A102" s="317" t="s">
        <v>286</v>
      </c>
      <c r="B102" s="306" t="s">
        <v>2318</v>
      </c>
      <c r="C102" s="307">
        <v>0.1</v>
      </c>
      <c r="D102" s="307">
        <v>0.1</v>
      </c>
      <c r="E102" s="307">
        <v>9.9000000000000005E-2</v>
      </c>
      <c r="F102" s="307">
        <v>9.7000000000000003E-2</v>
      </c>
      <c r="G102" s="308">
        <v>0.1</v>
      </c>
    </row>
    <row r="103" spans="1:7">
      <c r="A103" s="317" t="s">
        <v>286</v>
      </c>
      <c r="B103" s="306" t="s">
        <v>2319</v>
      </c>
      <c r="C103" s="307">
        <v>0.1</v>
      </c>
      <c r="D103" s="307">
        <v>0.1</v>
      </c>
      <c r="E103" s="307">
        <v>9.8000000000000004E-2</v>
      </c>
      <c r="F103" s="307">
        <v>0.1</v>
      </c>
      <c r="G103" s="308">
        <v>0.1</v>
      </c>
    </row>
    <row r="104" spans="1:7">
      <c r="A104" s="317" t="s">
        <v>286</v>
      </c>
      <c r="B104" s="306" t="s">
        <v>2320</v>
      </c>
      <c r="C104" s="307">
        <v>0.1</v>
      </c>
      <c r="D104" s="307">
        <v>0.1</v>
      </c>
      <c r="E104" s="307">
        <v>9.8000000000000004E-2</v>
      </c>
      <c r="F104" s="307">
        <v>0.1</v>
      </c>
      <c r="G104" s="308">
        <v>0.1</v>
      </c>
    </row>
    <row r="105" spans="1:7">
      <c r="A105" s="317" t="s">
        <v>286</v>
      </c>
      <c r="B105" s="306" t="s">
        <v>2321</v>
      </c>
      <c r="C105" s="307">
        <v>9.8000000000000004E-2</v>
      </c>
      <c r="D105" s="307">
        <v>9.8000000000000004E-2</v>
      </c>
      <c r="E105" s="307">
        <v>9.8000000000000004E-2</v>
      </c>
      <c r="F105" s="307">
        <v>0.1</v>
      </c>
      <c r="G105" s="308">
        <v>9.9000000000000005E-2</v>
      </c>
    </row>
    <row r="106" spans="1:7">
      <c r="A106" s="317" t="s">
        <v>286</v>
      </c>
      <c r="B106" s="306" t="s">
        <v>2322</v>
      </c>
      <c r="C106" s="307">
        <v>9.7000000000000003E-2</v>
      </c>
      <c r="D106" s="307">
        <v>9.7000000000000003E-2</v>
      </c>
      <c r="E106" s="307">
        <v>9.7000000000000003E-2</v>
      </c>
      <c r="F106" s="307">
        <v>0.1</v>
      </c>
      <c r="G106" s="308">
        <v>9.9000000000000005E-2</v>
      </c>
    </row>
    <row r="107" spans="1:7">
      <c r="A107" s="317" t="s">
        <v>286</v>
      </c>
      <c r="B107" s="306" t="s">
        <v>2323</v>
      </c>
      <c r="C107" s="307">
        <v>0.1</v>
      </c>
      <c r="D107" s="307">
        <v>0.1</v>
      </c>
      <c r="E107" s="307">
        <v>8.5999999999999993E-2</v>
      </c>
      <c r="F107" s="307">
        <v>0.09</v>
      </c>
      <c r="G107" s="308">
        <v>0.1</v>
      </c>
    </row>
    <row r="108" spans="1:7">
      <c r="A108" s="317" t="s">
        <v>286</v>
      </c>
      <c r="B108" s="306" t="s">
        <v>2324</v>
      </c>
      <c r="C108" s="307">
        <v>0.1</v>
      </c>
      <c r="D108" s="307">
        <v>0.1</v>
      </c>
      <c r="E108" s="307">
        <v>9.6000000000000002E-2</v>
      </c>
      <c r="F108" s="318"/>
      <c r="G108" s="308">
        <v>0.1</v>
      </c>
    </row>
    <row r="109" spans="1:7">
      <c r="A109" s="317" t="s">
        <v>286</v>
      </c>
      <c r="B109" s="306" t="s">
        <v>2325</v>
      </c>
      <c r="C109" s="307">
        <v>0.1</v>
      </c>
      <c r="D109" s="307">
        <v>0.1</v>
      </c>
      <c r="E109" s="307">
        <v>0.1</v>
      </c>
      <c r="F109" s="318"/>
      <c r="G109" s="308">
        <v>0.1</v>
      </c>
    </row>
    <row r="110" spans="1:7">
      <c r="A110" s="317" t="s">
        <v>286</v>
      </c>
      <c r="B110" s="306" t="s">
        <v>2326</v>
      </c>
      <c r="C110" s="307">
        <v>0.1</v>
      </c>
      <c r="D110" s="307">
        <v>0.1</v>
      </c>
      <c r="E110" s="307">
        <v>0.1</v>
      </c>
      <c r="F110" s="318"/>
      <c r="G110" s="308">
        <v>0.1</v>
      </c>
    </row>
    <row r="111" spans="1:7">
      <c r="A111" s="317" t="s">
        <v>286</v>
      </c>
      <c r="B111" s="306" t="s">
        <v>2327</v>
      </c>
      <c r="C111" s="307">
        <v>0.1</v>
      </c>
      <c r="D111" s="307">
        <v>0.1</v>
      </c>
      <c r="E111" s="307">
        <v>9.5000000000000001E-2</v>
      </c>
      <c r="F111" s="318"/>
      <c r="G111" s="308">
        <v>0.1</v>
      </c>
    </row>
    <row r="112" spans="1:7">
      <c r="A112" s="317" t="s">
        <v>286</v>
      </c>
      <c r="B112" s="306" t="s">
        <v>2328</v>
      </c>
      <c r="C112" s="307">
        <v>9.7000000000000003E-2</v>
      </c>
      <c r="D112" s="307">
        <v>9.7000000000000003E-2</v>
      </c>
      <c r="E112" s="307">
        <v>0.05</v>
      </c>
      <c r="F112" s="318"/>
      <c r="G112" s="308">
        <v>9.8000000000000004E-2</v>
      </c>
    </row>
    <row r="113" spans="1:7">
      <c r="A113" s="317" t="s">
        <v>286</v>
      </c>
      <c r="B113" s="306" t="s">
        <v>2329</v>
      </c>
      <c r="C113" s="307">
        <v>0.1</v>
      </c>
      <c r="D113" s="307">
        <v>0.1</v>
      </c>
      <c r="E113" s="318"/>
      <c r="F113" s="318"/>
      <c r="G113" s="308">
        <v>0.1</v>
      </c>
    </row>
    <row r="114" spans="1:7">
      <c r="A114" s="317" t="s">
        <v>286</v>
      </c>
      <c r="B114" s="306" t="s">
        <v>2330</v>
      </c>
      <c r="C114" s="307">
        <v>9.7000000000000003E-2</v>
      </c>
      <c r="D114" s="307">
        <v>9.7000000000000003E-2</v>
      </c>
      <c r="E114" s="318"/>
      <c r="F114" s="318"/>
      <c r="G114" s="308">
        <v>9.9000000000000005E-2</v>
      </c>
    </row>
    <row r="115" spans="1:7">
      <c r="A115" s="317" t="s">
        <v>286</v>
      </c>
      <c r="B115" s="306" t="s">
        <v>2331</v>
      </c>
      <c r="C115" s="307">
        <v>0.1</v>
      </c>
      <c r="D115" s="307">
        <v>0.1</v>
      </c>
      <c r="E115" s="318"/>
      <c r="F115" s="318"/>
      <c r="G115" s="308">
        <v>0.1</v>
      </c>
    </row>
    <row r="116" spans="1:7">
      <c r="A116" s="317" t="s">
        <v>286</v>
      </c>
      <c r="B116" s="306" t="s">
        <v>2332</v>
      </c>
      <c r="C116" s="307">
        <v>0.1</v>
      </c>
      <c r="D116" s="307">
        <v>0.1</v>
      </c>
      <c r="E116" s="318"/>
      <c r="F116" s="318"/>
      <c r="G116" s="308">
        <v>0.1</v>
      </c>
    </row>
    <row r="117" spans="1:7">
      <c r="A117" s="317" t="s">
        <v>286</v>
      </c>
      <c r="B117" s="306" t="s">
        <v>2333</v>
      </c>
      <c r="C117" s="307">
        <v>9.7000000000000003E-2</v>
      </c>
      <c r="D117" s="307">
        <v>9.7000000000000003E-2</v>
      </c>
      <c r="E117" s="318"/>
      <c r="F117" s="318"/>
      <c r="G117" s="308">
        <v>9.7000000000000003E-2</v>
      </c>
    </row>
    <row r="118" spans="1:7">
      <c r="A118" s="317" t="s">
        <v>286</v>
      </c>
      <c r="B118" s="306" t="s">
        <v>2334</v>
      </c>
      <c r="C118" s="307">
        <v>0.1</v>
      </c>
      <c r="D118" s="307">
        <v>0.1</v>
      </c>
      <c r="E118" s="318"/>
      <c r="F118" s="318"/>
      <c r="G118" s="308">
        <v>0.1</v>
      </c>
    </row>
    <row r="119" spans="1:7">
      <c r="A119" s="317" t="s">
        <v>286</v>
      </c>
      <c r="B119" s="306" t="s">
        <v>2335</v>
      </c>
      <c r="C119" s="307">
        <v>5.0999999999999997E-2</v>
      </c>
      <c r="D119" s="307">
        <v>5.1999999999999998E-2</v>
      </c>
      <c r="E119" s="318"/>
      <c r="F119" s="323"/>
      <c r="G119" s="308">
        <v>0.06</v>
      </c>
    </row>
    <row r="120" spans="1:7">
      <c r="A120" s="317" t="s">
        <v>286</v>
      </c>
      <c r="B120" s="306" t="s">
        <v>2336</v>
      </c>
      <c r="C120" s="318"/>
      <c r="D120" s="318"/>
      <c r="E120" s="318"/>
      <c r="F120" s="307">
        <v>0.1</v>
      </c>
      <c r="G120" s="324"/>
    </row>
    <row r="121" spans="1:7">
      <c r="A121" s="317" t="s">
        <v>286</v>
      </c>
      <c r="B121" s="306" t="s">
        <v>2337</v>
      </c>
      <c r="C121" s="318"/>
      <c r="D121" s="318"/>
      <c r="E121" s="318"/>
      <c r="F121" s="307">
        <v>0.1</v>
      </c>
      <c r="G121" s="324"/>
    </row>
    <row r="122" spans="1:7">
      <c r="A122" s="317" t="s">
        <v>286</v>
      </c>
      <c r="B122" s="306" t="s">
        <v>2338</v>
      </c>
      <c r="C122" s="307">
        <v>0.1</v>
      </c>
      <c r="D122" s="307">
        <v>0.1</v>
      </c>
      <c r="E122" s="307">
        <v>9.8000000000000004E-2</v>
      </c>
      <c r="F122" s="307">
        <v>0.1</v>
      </c>
      <c r="G122" s="308">
        <v>0.1</v>
      </c>
    </row>
    <row r="123" spans="1:7">
      <c r="A123" s="317" t="s">
        <v>286</v>
      </c>
      <c r="B123" s="306" t="s">
        <v>2339</v>
      </c>
      <c r="C123" s="307">
        <v>0.1</v>
      </c>
      <c r="D123" s="307">
        <v>0.1</v>
      </c>
      <c r="E123" s="307">
        <v>9.8000000000000004E-2</v>
      </c>
      <c r="F123" s="307">
        <v>0.1</v>
      </c>
      <c r="G123" s="308">
        <v>0.1</v>
      </c>
    </row>
    <row r="124" spans="1:7">
      <c r="A124" s="317" t="s">
        <v>286</v>
      </c>
      <c r="B124" s="306" t="s">
        <v>2340</v>
      </c>
      <c r="C124" s="307">
        <v>0.1</v>
      </c>
      <c r="D124" s="307">
        <v>0.1</v>
      </c>
      <c r="E124" s="307">
        <v>9.8000000000000004E-2</v>
      </c>
      <c r="F124" s="323"/>
      <c r="G124" s="308">
        <v>0.1</v>
      </c>
    </row>
    <row r="125" spans="1:7">
      <c r="A125" s="317" t="s">
        <v>286</v>
      </c>
      <c r="B125" s="306" t="s">
        <v>2341</v>
      </c>
      <c r="C125" s="307">
        <v>9.8000000000000004E-2</v>
      </c>
      <c r="D125" s="307">
        <v>9.8000000000000004E-2</v>
      </c>
      <c r="E125" s="307">
        <v>9.6000000000000002E-2</v>
      </c>
      <c r="F125" s="323"/>
      <c r="G125" s="308">
        <v>0.1</v>
      </c>
    </row>
    <row r="126" spans="1:7">
      <c r="A126" s="320" t="s">
        <v>286</v>
      </c>
      <c r="B126" s="310" t="s">
        <v>2342</v>
      </c>
      <c r="C126" s="311">
        <v>0.1</v>
      </c>
      <c r="D126" s="311">
        <v>0.1</v>
      </c>
      <c r="E126" s="311">
        <v>9.8000000000000004E-2</v>
      </c>
      <c r="F126" s="311">
        <v>0.1</v>
      </c>
      <c r="G126" s="313">
        <v>0.1</v>
      </c>
    </row>
    <row r="127" spans="1:7">
      <c r="A127" s="316" t="s">
        <v>295</v>
      </c>
      <c r="B127" s="302" t="s">
        <v>2343</v>
      </c>
      <c r="C127" s="303">
        <v>0.121</v>
      </c>
      <c r="D127" s="303">
        <v>0.121</v>
      </c>
      <c r="E127" s="303">
        <v>0.107</v>
      </c>
      <c r="F127" s="303">
        <v>0.13</v>
      </c>
      <c r="G127" s="304">
        <v>0.122</v>
      </c>
    </row>
    <row r="128" spans="1:7">
      <c r="A128" s="317" t="s">
        <v>295</v>
      </c>
      <c r="B128" s="306" t="s">
        <v>2344</v>
      </c>
      <c r="C128" s="307">
        <v>0.11600000000000001</v>
      </c>
      <c r="D128" s="307">
        <v>0.11700000000000001</v>
      </c>
      <c r="E128" s="307">
        <v>0.104</v>
      </c>
      <c r="F128" s="307">
        <v>0.13</v>
      </c>
      <c r="G128" s="308">
        <v>0.11700000000000001</v>
      </c>
    </row>
    <row r="129" spans="1:7">
      <c r="A129" s="317" t="s">
        <v>295</v>
      </c>
      <c r="B129" s="306" t="s">
        <v>2345</v>
      </c>
      <c r="C129" s="307">
        <v>0.107</v>
      </c>
      <c r="D129" s="307">
        <v>0.108</v>
      </c>
      <c r="E129" s="307">
        <v>0.1</v>
      </c>
      <c r="F129" s="307">
        <v>0.13</v>
      </c>
      <c r="G129" s="308">
        <v>0.11700000000000001</v>
      </c>
    </row>
    <row r="130" spans="1:7">
      <c r="A130" s="317" t="s">
        <v>295</v>
      </c>
      <c r="B130" s="306" t="s">
        <v>2346</v>
      </c>
      <c r="C130" s="307">
        <v>0.13</v>
      </c>
      <c r="D130" s="307">
        <v>0.13</v>
      </c>
      <c r="E130" s="307">
        <v>0.126</v>
      </c>
      <c r="F130" s="307">
        <v>0.13</v>
      </c>
      <c r="G130" s="308">
        <v>0.13</v>
      </c>
    </row>
    <row r="131" spans="1:7">
      <c r="A131" s="317" t="s">
        <v>295</v>
      </c>
      <c r="B131" s="306" t="s">
        <v>2347</v>
      </c>
      <c r="C131" s="307">
        <v>0.13</v>
      </c>
      <c r="D131" s="307">
        <v>0.13</v>
      </c>
      <c r="E131" s="307">
        <v>0.13</v>
      </c>
      <c r="F131" s="307">
        <v>0.13</v>
      </c>
      <c r="G131" s="308">
        <v>0.13</v>
      </c>
    </row>
    <row r="132" spans="1:7">
      <c r="A132" s="317" t="s">
        <v>295</v>
      </c>
      <c r="B132" s="306" t="s">
        <v>2348</v>
      </c>
      <c r="C132" s="307">
        <v>0.13</v>
      </c>
      <c r="D132" s="307">
        <v>0.13</v>
      </c>
      <c r="E132" s="307">
        <v>0.126</v>
      </c>
      <c r="F132" s="307">
        <v>0.13</v>
      </c>
      <c r="G132" s="308">
        <v>0.13</v>
      </c>
    </row>
    <row r="133" spans="1:7">
      <c r="A133" s="317" t="s">
        <v>295</v>
      </c>
      <c r="B133" s="306" t="s">
        <v>2349</v>
      </c>
      <c r="C133" s="307">
        <v>0.111</v>
      </c>
      <c r="D133" s="307">
        <v>0.111</v>
      </c>
      <c r="E133" s="307">
        <v>0.10199999999999999</v>
      </c>
      <c r="F133" s="307">
        <v>0.13</v>
      </c>
      <c r="G133" s="308">
        <v>0.121</v>
      </c>
    </row>
    <row r="134" spans="1:7">
      <c r="A134" s="317" t="s">
        <v>295</v>
      </c>
      <c r="B134" s="306" t="s">
        <v>2350</v>
      </c>
      <c r="C134" s="307">
        <v>0.121</v>
      </c>
      <c r="D134" s="307">
        <v>0.121</v>
      </c>
      <c r="E134" s="307">
        <v>0.1</v>
      </c>
      <c r="F134" s="307">
        <v>0.13</v>
      </c>
      <c r="G134" s="308">
        <v>0.123</v>
      </c>
    </row>
    <row r="135" spans="1:7">
      <c r="A135" s="317" t="s">
        <v>295</v>
      </c>
      <c r="B135" s="306" t="s">
        <v>2351</v>
      </c>
      <c r="C135" s="307">
        <v>0.105</v>
      </c>
      <c r="D135" s="307">
        <v>0.106</v>
      </c>
      <c r="E135" s="307">
        <v>0.1</v>
      </c>
      <c r="F135" s="307">
        <v>0.13</v>
      </c>
      <c r="G135" s="308">
        <v>0.115</v>
      </c>
    </row>
    <row r="136" spans="1:7">
      <c r="A136" s="317" t="s">
        <v>295</v>
      </c>
      <c r="B136" s="306" t="s">
        <v>2352</v>
      </c>
      <c r="C136" s="307">
        <v>0.127</v>
      </c>
      <c r="D136" s="307">
        <v>0.127</v>
      </c>
      <c r="E136" s="307">
        <v>0.121</v>
      </c>
      <c r="F136" s="307">
        <v>0.123</v>
      </c>
      <c r="G136" s="308">
        <v>0.129</v>
      </c>
    </row>
    <row r="137" spans="1:7">
      <c r="A137" s="317" t="s">
        <v>295</v>
      </c>
      <c r="B137" s="306" t="s">
        <v>2353</v>
      </c>
      <c r="C137" s="307">
        <v>0.13</v>
      </c>
      <c r="D137" s="307">
        <v>0.13</v>
      </c>
      <c r="E137" s="307">
        <v>0.129</v>
      </c>
      <c r="F137" s="307">
        <v>0.13</v>
      </c>
      <c r="G137" s="308">
        <v>0.13</v>
      </c>
    </row>
    <row r="138" spans="1:7">
      <c r="A138" s="317" t="s">
        <v>295</v>
      </c>
      <c r="B138" s="306" t="s">
        <v>2354</v>
      </c>
      <c r="C138" s="307">
        <v>0.13</v>
      </c>
      <c r="D138" s="307">
        <v>0.13</v>
      </c>
      <c r="E138" s="307">
        <v>0.125</v>
      </c>
      <c r="F138" s="307">
        <v>0.13</v>
      </c>
      <c r="G138" s="308">
        <v>0.13</v>
      </c>
    </row>
    <row r="139" spans="1:7">
      <c r="A139" s="317" t="s">
        <v>295</v>
      </c>
      <c r="B139" s="306" t="s">
        <v>2355</v>
      </c>
      <c r="C139" s="307">
        <v>0.13</v>
      </c>
      <c r="D139" s="307">
        <v>0.13</v>
      </c>
      <c r="E139" s="307">
        <v>0.126</v>
      </c>
      <c r="F139" s="307">
        <v>0.13</v>
      </c>
      <c r="G139" s="308">
        <v>0.13</v>
      </c>
    </row>
    <row r="140" spans="1:7">
      <c r="A140" s="317" t="s">
        <v>295</v>
      </c>
      <c r="B140" s="306" t="s">
        <v>2356</v>
      </c>
      <c r="C140" s="307">
        <v>0.1</v>
      </c>
      <c r="D140" s="307">
        <v>0.1</v>
      </c>
      <c r="E140" s="307">
        <v>0.1</v>
      </c>
      <c r="F140" s="307">
        <v>0.123</v>
      </c>
      <c r="G140" s="308">
        <v>0.107</v>
      </c>
    </row>
    <row r="141" spans="1:7">
      <c r="A141" s="317" t="s">
        <v>295</v>
      </c>
      <c r="B141" s="306" t="s">
        <v>2357</v>
      </c>
      <c r="C141" s="307">
        <v>0.127</v>
      </c>
      <c r="D141" s="307">
        <v>0.127</v>
      </c>
      <c r="E141" s="307">
        <v>0.122</v>
      </c>
      <c r="F141" s="307">
        <v>0.1</v>
      </c>
      <c r="G141" s="308">
        <v>0.129</v>
      </c>
    </row>
    <row r="142" spans="1:7">
      <c r="A142" s="317" t="s">
        <v>295</v>
      </c>
      <c r="B142" s="306" t="s">
        <v>2358</v>
      </c>
      <c r="C142" s="307">
        <v>0.121</v>
      </c>
      <c r="D142" s="307">
        <v>0.122</v>
      </c>
      <c r="E142" s="307">
        <v>0.1</v>
      </c>
      <c r="F142" s="307">
        <v>0.123</v>
      </c>
      <c r="G142" s="308">
        <v>0.123</v>
      </c>
    </row>
    <row r="143" spans="1:7">
      <c r="A143" s="317" t="s">
        <v>295</v>
      </c>
      <c r="B143" s="306" t="s">
        <v>2359</v>
      </c>
      <c r="C143" s="307">
        <v>0.1</v>
      </c>
      <c r="D143" s="307">
        <v>0.1</v>
      </c>
      <c r="E143" s="307">
        <v>0.1</v>
      </c>
      <c r="F143" s="307">
        <v>0.13</v>
      </c>
      <c r="G143" s="308">
        <v>0.1</v>
      </c>
    </row>
    <row r="144" spans="1:7">
      <c r="A144" s="317" t="s">
        <v>295</v>
      </c>
      <c r="B144" s="306" t="s">
        <v>2360</v>
      </c>
      <c r="C144" s="307">
        <v>0.106</v>
      </c>
      <c r="D144" s="307">
        <v>0.105</v>
      </c>
      <c r="E144" s="307">
        <v>0.1</v>
      </c>
      <c r="F144" s="307">
        <v>0.13</v>
      </c>
      <c r="G144" s="308">
        <v>0.11799999999999999</v>
      </c>
    </row>
    <row r="145" spans="1:7">
      <c r="A145" s="317" t="s">
        <v>295</v>
      </c>
      <c r="B145" s="306" t="s">
        <v>2361</v>
      </c>
      <c r="C145" s="307">
        <v>0.123</v>
      </c>
      <c r="D145" s="307">
        <v>0.123</v>
      </c>
      <c r="E145" s="307">
        <v>0.11700000000000001</v>
      </c>
      <c r="F145" s="307">
        <v>0.13</v>
      </c>
      <c r="G145" s="308">
        <v>0.126</v>
      </c>
    </row>
    <row r="146" spans="1:7">
      <c r="A146" s="317" t="s">
        <v>295</v>
      </c>
      <c r="B146" s="306" t="s">
        <v>2362</v>
      </c>
      <c r="C146" s="307">
        <v>0.127</v>
      </c>
      <c r="D146" s="307">
        <v>0.127</v>
      </c>
      <c r="E146" s="307">
        <v>0.12</v>
      </c>
      <c r="F146" s="318"/>
      <c r="G146" s="308">
        <v>0.129</v>
      </c>
    </row>
    <row r="147" spans="1:7">
      <c r="A147" s="317" t="s">
        <v>295</v>
      </c>
      <c r="B147" s="306" t="s">
        <v>2363</v>
      </c>
      <c r="C147" s="307">
        <v>0.13</v>
      </c>
      <c r="D147" s="307">
        <v>0.13</v>
      </c>
      <c r="E147" s="307">
        <v>0.126</v>
      </c>
      <c r="F147" s="318"/>
      <c r="G147" s="308">
        <v>0.13</v>
      </c>
    </row>
    <row r="148" spans="1:7">
      <c r="A148" s="317" t="s">
        <v>295</v>
      </c>
      <c r="B148" s="306" t="s">
        <v>2364</v>
      </c>
      <c r="C148" s="307">
        <v>0.13</v>
      </c>
      <c r="D148" s="307">
        <v>0.13</v>
      </c>
      <c r="E148" s="307">
        <v>0.13</v>
      </c>
      <c r="F148" s="318"/>
      <c r="G148" s="308">
        <v>0.13</v>
      </c>
    </row>
    <row r="149" spans="1:7">
      <c r="A149" s="317" t="s">
        <v>295</v>
      </c>
      <c r="B149" s="306" t="s">
        <v>2365</v>
      </c>
      <c r="C149" s="307">
        <v>0.13</v>
      </c>
      <c r="D149" s="307">
        <v>0.13</v>
      </c>
      <c r="E149" s="307">
        <v>0.13</v>
      </c>
      <c r="F149" s="307">
        <v>0.13</v>
      </c>
      <c r="G149" s="308">
        <v>0.13</v>
      </c>
    </row>
    <row r="150" spans="1:7">
      <c r="A150" s="317" t="s">
        <v>295</v>
      </c>
      <c r="B150" s="306" t="s">
        <v>2366</v>
      </c>
      <c r="C150" s="307">
        <v>0.13</v>
      </c>
      <c r="D150" s="307">
        <v>0.13</v>
      </c>
      <c r="E150" s="307">
        <v>0.127</v>
      </c>
      <c r="F150" s="307">
        <v>0.13</v>
      </c>
      <c r="G150" s="308">
        <v>0.13</v>
      </c>
    </row>
    <row r="151" spans="1:7">
      <c r="A151" s="317" t="s">
        <v>295</v>
      </c>
      <c r="B151" s="306" t="s">
        <v>2367</v>
      </c>
      <c r="C151" s="307">
        <v>0.13</v>
      </c>
      <c r="D151" s="307">
        <v>0.13</v>
      </c>
      <c r="E151" s="307">
        <v>0.13</v>
      </c>
      <c r="F151" s="307">
        <v>0.13</v>
      </c>
      <c r="G151" s="308">
        <v>0.13</v>
      </c>
    </row>
    <row r="152" spans="1:7">
      <c r="A152" s="317" t="s">
        <v>295</v>
      </c>
      <c r="B152" s="306" t="s">
        <v>2368</v>
      </c>
      <c r="C152" s="307">
        <v>0.13</v>
      </c>
      <c r="D152" s="307">
        <v>0.13</v>
      </c>
      <c r="E152" s="307">
        <v>0.13</v>
      </c>
      <c r="F152" s="307">
        <v>0.13</v>
      </c>
      <c r="G152" s="308">
        <v>0.13</v>
      </c>
    </row>
    <row r="153" spans="1:7">
      <c r="A153" s="317" t="s">
        <v>295</v>
      </c>
      <c r="B153" s="306" t="s">
        <v>2369</v>
      </c>
      <c r="C153" s="307">
        <v>0.13</v>
      </c>
      <c r="D153" s="307">
        <v>0.13</v>
      </c>
      <c r="E153" s="307">
        <v>0.13</v>
      </c>
      <c r="F153" s="307">
        <v>0.13</v>
      </c>
      <c r="G153" s="308">
        <v>0.13</v>
      </c>
    </row>
    <row r="154" spans="1:7">
      <c r="A154" s="317" t="s">
        <v>295</v>
      </c>
      <c r="B154" s="306" t="s">
        <v>2370</v>
      </c>
      <c r="C154" s="307">
        <v>0.121</v>
      </c>
      <c r="D154" s="307">
        <v>0.121</v>
      </c>
      <c r="E154" s="307">
        <v>0.105</v>
      </c>
      <c r="F154" s="307">
        <v>0.121</v>
      </c>
      <c r="G154" s="308">
        <v>0.123</v>
      </c>
    </row>
    <row r="155" spans="1:7">
      <c r="A155" s="317" t="s">
        <v>295</v>
      </c>
      <c r="B155" s="306" t="s">
        <v>2371</v>
      </c>
      <c r="C155" s="307">
        <v>0.1</v>
      </c>
      <c r="D155" s="307">
        <v>0.1</v>
      </c>
      <c r="E155" s="307">
        <v>0.1</v>
      </c>
      <c r="F155" s="307">
        <v>0.1</v>
      </c>
      <c r="G155" s="308">
        <v>0.1</v>
      </c>
    </row>
    <row r="156" spans="1:7">
      <c r="A156" s="317" t="s">
        <v>295</v>
      </c>
      <c r="B156" s="306" t="s">
        <v>2372</v>
      </c>
      <c r="C156" s="307">
        <v>0.13</v>
      </c>
      <c r="D156" s="307">
        <v>0.13</v>
      </c>
      <c r="E156" s="307">
        <v>0.13</v>
      </c>
      <c r="F156" s="307">
        <v>0.13</v>
      </c>
      <c r="G156" s="308">
        <v>0.13</v>
      </c>
    </row>
    <row r="157" spans="1:7">
      <c r="A157" s="317" t="s">
        <v>295</v>
      </c>
      <c r="B157" s="306" t="s">
        <v>2373</v>
      </c>
      <c r="C157" s="307">
        <v>0.13</v>
      </c>
      <c r="D157" s="307">
        <v>0.13</v>
      </c>
      <c r="E157" s="307">
        <v>0.125</v>
      </c>
      <c r="F157" s="307">
        <v>0.13</v>
      </c>
      <c r="G157" s="308">
        <v>0.13</v>
      </c>
    </row>
    <row r="158" spans="1:7">
      <c r="A158" s="317" t="s">
        <v>295</v>
      </c>
      <c r="B158" s="306" t="s">
        <v>2374</v>
      </c>
      <c r="C158" s="307">
        <v>0.124</v>
      </c>
      <c r="D158" s="307">
        <v>0.124</v>
      </c>
      <c r="E158" s="307">
        <v>0.11700000000000001</v>
      </c>
      <c r="F158" s="307">
        <v>0.121</v>
      </c>
      <c r="G158" s="308">
        <v>0.124</v>
      </c>
    </row>
    <row r="159" spans="1:7">
      <c r="A159" s="317" t="s">
        <v>295</v>
      </c>
      <c r="B159" s="306" t="s">
        <v>2375</v>
      </c>
      <c r="C159" s="307">
        <v>0.127</v>
      </c>
      <c r="D159" s="307">
        <v>0.127</v>
      </c>
      <c r="E159" s="307">
        <v>0.122</v>
      </c>
      <c r="F159" s="307">
        <v>0.13</v>
      </c>
      <c r="G159" s="308">
        <v>0.129</v>
      </c>
    </row>
    <row r="160" spans="1:7">
      <c r="A160" s="317" t="s">
        <v>295</v>
      </c>
      <c r="B160" s="306" t="s">
        <v>2376</v>
      </c>
      <c r="C160" s="307">
        <v>0.13</v>
      </c>
      <c r="D160" s="307">
        <v>0.13</v>
      </c>
      <c r="E160" s="307">
        <v>0.124</v>
      </c>
      <c r="F160" s="307">
        <v>0.126</v>
      </c>
      <c r="G160" s="308">
        <v>0.13</v>
      </c>
    </row>
    <row r="161" spans="1:7">
      <c r="A161" s="317" t="s">
        <v>295</v>
      </c>
      <c r="B161" s="306" t="s">
        <v>2377</v>
      </c>
      <c r="C161" s="307">
        <v>0.13</v>
      </c>
      <c r="D161" s="307">
        <v>0.13</v>
      </c>
      <c r="E161" s="307">
        <v>0.124</v>
      </c>
      <c r="F161" s="307">
        <v>0.127</v>
      </c>
      <c r="G161" s="308">
        <v>0.13</v>
      </c>
    </row>
    <row r="162" spans="1:7">
      <c r="A162" s="317" t="s">
        <v>295</v>
      </c>
      <c r="B162" s="306" t="s">
        <v>2378</v>
      </c>
      <c r="C162" s="307">
        <v>0.1</v>
      </c>
      <c r="D162" s="307">
        <v>0.1</v>
      </c>
      <c r="E162" s="307">
        <v>0.1</v>
      </c>
      <c r="F162" s="307">
        <v>0.121</v>
      </c>
      <c r="G162" s="308">
        <v>0.105</v>
      </c>
    </row>
    <row r="163" spans="1:7">
      <c r="A163" s="317" t="s">
        <v>295</v>
      </c>
      <c r="B163" s="306" t="s">
        <v>2379</v>
      </c>
      <c r="C163" s="307">
        <v>0.1</v>
      </c>
      <c r="D163" s="307">
        <v>0.1</v>
      </c>
      <c r="E163" s="307">
        <v>0.1</v>
      </c>
      <c r="F163" s="307">
        <v>0.1</v>
      </c>
      <c r="G163" s="308">
        <v>0.1</v>
      </c>
    </row>
    <row r="164" spans="1:7">
      <c r="A164" s="317" t="s">
        <v>295</v>
      </c>
      <c r="B164" s="306" t="s">
        <v>2380</v>
      </c>
      <c r="C164" s="323"/>
      <c r="D164" s="323"/>
      <c r="E164" s="323"/>
      <c r="F164" s="307">
        <v>0.1</v>
      </c>
      <c r="G164" s="319"/>
    </row>
    <row r="165" spans="1:7">
      <c r="A165" s="317" t="s">
        <v>295</v>
      </c>
      <c r="B165" s="306" t="s">
        <v>2381</v>
      </c>
      <c r="C165" s="307">
        <v>0.126</v>
      </c>
      <c r="D165" s="307">
        <v>0.126</v>
      </c>
      <c r="E165" s="307">
        <v>0.11899999999999999</v>
      </c>
      <c r="F165" s="307">
        <v>0.13</v>
      </c>
      <c r="G165" s="308">
        <v>0.128</v>
      </c>
    </row>
    <row r="166" spans="1:7">
      <c r="A166" s="317" t="s">
        <v>295</v>
      </c>
      <c r="B166" s="306" t="s">
        <v>2382</v>
      </c>
      <c r="C166" s="307">
        <v>0.129</v>
      </c>
      <c r="D166" s="307">
        <v>0.129</v>
      </c>
      <c r="E166" s="307">
        <v>0.123</v>
      </c>
      <c r="F166" s="307">
        <v>0.128</v>
      </c>
      <c r="G166" s="308">
        <v>0.13</v>
      </c>
    </row>
    <row r="167" spans="1:7">
      <c r="A167" s="317" t="s">
        <v>295</v>
      </c>
      <c r="B167" s="306" t="s">
        <v>2383</v>
      </c>
      <c r="C167" s="307">
        <v>0.125</v>
      </c>
      <c r="D167" s="307">
        <v>0.125</v>
      </c>
      <c r="E167" s="307">
        <v>0.11700000000000001</v>
      </c>
      <c r="F167" s="307">
        <v>0.13</v>
      </c>
      <c r="G167" s="308">
        <v>0.126</v>
      </c>
    </row>
    <row r="168" spans="1:7">
      <c r="A168" s="317" t="s">
        <v>295</v>
      </c>
      <c r="B168" s="306" t="s">
        <v>2384</v>
      </c>
      <c r="C168" s="307">
        <v>0.128</v>
      </c>
      <c r="D168" s="307">
        <v>0.128</v>
      </c>
      <c r="E168" s="307">
        <v>0.123</v>
      </c>
      <c r="F168" s="318"/>
      <c r="G168" s="308">
        <v>0.13</v>
      </c>
    </row>
    <row r="169" spans="1:7">
      <c r="A169" s="317" t="s">
        <v>295</v>
      </c>
      <c r="B169" s="306" t="s">
        <v>2385</v>
      </c>
      <c r="C169" s="323"/>
      <c r="D169" s="323"/>
      <c r="E169" s="323"/>
      <c r="F169" s="307">
        <v>0.05</v>
      </c>
      <c r="G169" s="319"/>
    </row>
    <row r="170" spans="1:7">
      <c r="A170" s="317" t="s">
        <v>295</v>
      </c>
      <c r="B170" s="306" t="s">
        <v>2386</v>
      </c>
      <c r="C170" s="323"/>
      <c r="D170" s="323"/>
      <c r="E170" s="323"/>
      <c r="F170" s="307">
        <v>0.05</v>
      </c>
      <c r="G170" s="319"/>
    </row>
    <row r="171" spans="1:7">
      <c r="A171" s="317" t="s">
        <v>295</v>
      </c>
      <c r="B171" s="306" t="s">
        <v>2387</v>
      </c>
      <c r="C171" s="323"/>
      <c r="D171" s="323"/>
      <c r="E171" s="323"/>
      <c r="F171" s="307">
        <v>0.05</v>
      </c>
      <c r="G171" s="324"/>
    </row>
    <row r="172" spans="1:7">
      <c r="A172" s="317" t="s">
        <v>295</v>
      </c>
      <c r="B172" s="306" t="s">
        <v>2388</v>
      </c>
      <c r="C172" s="323"/>
      <c r="D172" s="323"/>
      <c r="E172" s="323"/>
      <c r="F172" s="307">
        <v>0.05</v>
      </c>
      <c r="G172" s="324"/>
    </row>
    <row r="173" spans="1:7">
      <c r="A173" s="317" t="s">
        <v>295</v>
      </c>
      <c r="B173" s="306" t="s">
        <v>2389</v>
      </c>
      <c r="C173" s="323"/>
      <c r="D173" s="323"/>
      <c r="E173" s="323"/>
      <c r="F173" s="307">
        <v>0.05</v>
      </c>
      <c r="G173" s="319"/>
    </row>
    <row r="174" spans="1:7">
      <c r="A174" s="317" t="s">
        <v>295</v>
      </c>
      <c r="B174" s="306" t="s">
        <v>2390</v>
      </c>
      <c r="C174" s="323"/>
      <c r="D174" s="323"/>
      <c r="E174" s="323"/>
      <c r="F174" s="307">
        <v>0.05</v>
      </c>
      <c r="G174" s="319"/>
    </row>
    <row r="175" spans="1:7">
      <c r="A175" s="317" t="s">
        <v>295</v>
      </c>
      <c r="B175" s="306" t="s">
        <v>2391</v>
      </c>
      <c r="C175" s="323"/>
      <c r="D175" s="323"/>
      <c r="E175" s="323"/>
      <c r="F175" s="307">
        <v>0.05</v>
      </c>
      <c r="G175" s="319"/>
    </row>
    <row r="176" spans="1:7">
      <c r="A176" s="317" t="s">
        <v>295</v>
      </c>
      <c r="B176" s="306" t="s">
        <v>2392</v>
      </c>
      <c r="C176" s="323"/>
      <c r="D176" s="323"/>
      <c r="E176" s="323"/>
      <c r="F176" s="307">
        <v>0.05</v>
      </c>
      <c r="G176" s="319"/>
    </row>
    <row r="177" spans="1:7">
      <c r="A177" s="317" t="s">
        <v>295</v>
      </c>
      <c r="B177" s="306" t="s">
        <v>2393</v>
      </c>
      <c r="C177" s="318"/>
      <c r="D177" s="318"/>
      <c r="E177" s="318"/>
      <c r="F177" s="307">
        <v>0.05</v>
      </c>
      <c r="G177" s="324"/>
    </row>
    <row r="178" spans="1:7">
      <c r="A178" s="317" t="s">
        <v>295</v>
      </c>
      <c r="B178" s="306" t="s">
        <v>2394</v>
      </c>
      <c r="C178" s="318"/>
      <c r="D178" s="318"/>
      <c r="E178" s="318"/>
      <c r="F178" s="307">
        <v>0.05</v>
      </c>
      <c r="G178" s="324"/>
    </row>
    <row r="179" spans="1:7">
      <c r="A179" s="317" t="s">
        <v>295</v>
      </c>
      <c r="B179" s="306" t="s">
        <v>2395</v>
      </c>
      <c r="C179" s="318"/>
      <c r="D179" s="318"/>
      <c r="E179" s="318"/>
      <c r="F179" s="307">
        <v>0.05</v>
      </c>
      <c r="G179" s="324"/>
    </row>
    <row r="180" spans="1:7">
      <c r="A180" s="317" t="s">
        <v>295</v>
      </c>
      <c r="B180" s="306" t="s">
        <v>2396</v>
      </c>
      <c r="C180" s="318"/>
      <c r="D180" s="318"/>
      <c r="E180" s="318"/>
      <c r="F180" s="307">
        <v>0.05</v>
      </c>
      <c r="G180" s="324"/>
    </row>
    <row r="181" spans="1:7">
      <c r="A181" s="317" t="s">
        <v>295</v>
      </c>
      <c r="B181" s="306" t="s">
        <v>2397</v>
      </c>
      <c r="C181" s="318"/>
      <c r="D181" s="318"/>
      <c r="E181" s="318"/>
      <c r="F181" s="307">
        <v>0.05</v>
      </c>
      <c r="G181" s="324"/>
    </row>
    <row r="182" spans="1:7">
      <c r="A182" s="317" t="s">
        <v>295</v>
      </c>
      <c r="B182" s="306" t="s">
        <v>2398</v>
      </c>
      <c r="C182" s="318"/>
      <c r="D182" s="318"/>
      <c r="E182" s="318"/>
      <c r="F182" s="307">
        <v>0.05</v>
      </c>
      <c r="G182" s="324"/>
    </row>
    <row r="183" spans="1:7">
      <c r="A183" s="317" t="s">
        <v>295</v>
      </c>
      <c r="B183" s="306" t="s">
        <v>2399</v>
      </c>
      <c r="C183" s="318"/>
      <c r="D183" s="318"/>
      <c r="E183" s="318"/>
      <c r="F183" s="307">
        <v>0.05</v>
      </c>
      <c r="G183" s="324"/>
    </row>
    <row r="184" spans="1:7">
      <c r="A184" s="317" t="s">
        <v>295</v>
      </c>
      <c r="B184" s="306" t="s">
        <v>2400</v>
      </c>
      <c r="C184" s="318"/>
      <c r="D184" s="318"/>
      <c r="E184" s="318"/>
      <c r="F184" s="307">
        <v>0.05</v>
      </c>
      <c r="G184" s="324"/>
    </row>
    <row r="185" spans="1:7">
      <c r="A185" s="317" t="s">
        <v>295</v>
      </c>
      <c r="B185" s="306" t="s">
        <v>2401</v>
      </c>
      <c r="C185" s="318"/>
      <c r="D185" s="318"/>
      <c r="E185" s="318"/>
      <c r="F185" s="307">
        <v>0.05</v>
      </c>
      <c r="G185" s="324"/>
    </row>
    <row r="186" spans="1:7">
      <c r="A186" s="317" t="s">
        <v>295</v>
      </c>
      <c r="B186" s="306" t="s">
        <v>2402</v>
      </c>
      <c r="C186" s="318"/>
      <c r="D186" s="318"/>
      <c r="E186" s="318"/>
      <c r="F186" s="307">
        <v>0.05</v>
      </c>
      <c r="G186" s="324"/>
    </row>
    <row r="187" spans="1:7">
      <c r="A187" s="317" t="s">
        <v>295</v>
      </c>
      <c r="B187" s="306" t="s">
        <v>2403</v>
      </c>
      <c r="C187" s="318"/>
      <c r="D187" s="318"/>
      <c r="E187" s="318"/>
      <c r="F187" s="307">
        <v>0.05</v>
      </c>
      <c r="G187" s="324"/>
    </row>
    <row r="188" spans="1:7">
      <c r="A188" s="317" t="s">
        <v>295</v>
      </c>
      <c r="B188" s="306" t="s">
        <v>2404</v>
      </c>
      <c r="C188" s="318"/>
      <c r="D188" s="318"/>
      <c r="E188" s="318"/>
      <c r="F188" s="307">
        <v>0.05</v>
      </c>
      <c r="G188" s="324"/>
    </row>
    <row r="189" spans="1:7">
      <c r="A189" s="320" t="s">
        <v>295</v>
      </c>
      <c r="B189" s="310" t="s">
        <v>2405</v>
      </c>
      <c r="C189" s="312"/>
      <c r="D189" s="312"/>
      <c r="E189" s="312"/>
      <c r="F189" s="311">
        <v>0.05</v>
      </c>
      <c r="G189" s="325"/>
    </row>
    <row r="190" spans="1:7">
      <c r="A190" s="316" t="s">
        <v>303</v>
      </c>
      <c r="B190" s="302" t="s">
        <v>2406</v>
      </c>
      <c r="C190" s="303">
        <v>0.124</v>
      </c>
      <c r="D190" s="303">
        <v>0.124</v>
      </c>
      <c r="E190" s="303">
        <v>0.129</v>
      </c>
      <c r="F190" s="303">
        <v>0.13</v>
      </c>
      <c r="G190" s="304">
        <v>0.127</v>
      </c>
    </row>
    <row r="191" spans="1:7">
      <c r="A191" s="317" t="s">
        <v>303</v>
      </c>
      <c r="B191" s="306" t="s">
        <v>2407</v>
      </c>
      <c r="C191" s="307">
        <v>0.13</v>
      </c>
      <c r="D191" s="307">
        <v>0.13</v>
      </c>
      <c r="E191" s="307">
        <v>0.13</v>
      </c>
      <c r="F191" s="307">
        <v>0.13</v>
      </c>
      <c r="G191" s="308">
        <v>0.13</v>
      </c>
    </row>
    <row r="192" spans="1:7">
      <c r="A192" s="317" t="s">
        <v>303</v>
      </c>
      <c r="B192" s="306" t="s">
        <v>2408</v>
      </c>
      <c r="C192" s="307">
        <v>0.13</v>
      </c>
      <c r="D192" s="307">
        <v>0.13</v>
      </c>
      <c r="E192" s="307">
        <v>0.13</v>
      </c>
      <c r="F192" s="307">
        <v>0.13</v>
      </c>
      <c r="G192" s="308">
        <v>0.13</v>
      </c>
    </row>
    <row r="193" spans="1:7">
      <c r="A193" s="317" t="s">
        <v>303</v>
      </c>
      <c r="B193" s="306" t="s">
        <v>2409</v>
      </c>
      <c r="C193" s="307">
        <v>0.13</v>
      </c>
      <c r="D193" s="307">
        <v>0.13</v>
      </c>
      <c r="E193" s="307">
        <v>0.13</v>
      </c>
      <c r="F193" s="307">
        <v>0.13</v>
      </c>
      <c r="G193" s="308">
        <v>0.13</v>
      </c>
    </row>
    <row r="194" spans="1:7">
      <c r="A194" s="317" t="s">
        <v>303</v>
      </c>
      <c r="B194" s="306" t="s">
        <v>2410</v>
      </c>
      <c r="C194" s="307">
        <v>0.123</v>
      </c>
      <c r="D194" s="307">
        <v>0.123</v>
      </c>
      <c r="E194" s="307">
        <v>0.128</v>
      </c>
      <c r="F194" s="307">
        <v>0.13</v>
      </c>
      <c r="G194" s="308">
        <v>0.126</v>
      </c>
    </row>
    <row r="195" spans="1:7">
      <c r="A195" s="317" t="s">
        <v>303</v>
      </c>
      <c r="B195" s="306" t="s">
        <v>2411</v>
      </c>
      <c r="C195" s="307">
        <v>0.127</v>
      </c>
      <c r="D195" s="307">
        <v>0.127</v>
      </c>
      <c r="E195" s="307">
        <v>0.121</v>
      </c>
      <c r="F195" s="307">
        <v>0.129</v>
      </c>
      <c r="G195" s="308">
        <v>0.129</v>
      </c>
    </row>
    <row r="196" spans="1:7">
      <c r="A196" s="317" t="s">
        <v>303</v>
      </c>
      <c r="B196" s="306" t="s">
        <v>2412</v>
      </c>
      <c r="C196" s="307">
        <v>0.127</v>
      </c>
      <c r="D196" s="307">
        <v>0.128</v>
      </c>
      <c r="E196" s="307">
        <v>0.122</v>
      </c>
      <c r="F196" s="307">
        <v>0.13</v>
      </c>
      <c r="G196" s="308">
        <v>0.129</v>
      </c>
    </row>
    <row r="197" spans="1:7">
      <c r="A197" s="317" t="s">
        <v>303</v>
      </c>
      <c r="B197" s="306" t="s">
        <v>2413</v>
      </c>
      <c r="C197" s="307">
        <v>0.126</v>
      </c>
      <c r="D197" s="307">
        <v>0.126</v>
      </c>
      <c r="E197" s="307">
        <v>0.11899999999999999</v>
      </c>
      <c r="F197" s="307">
        <v>0.13</v>
      </c>
      <c r="G197" s="308">
        <v>0.128</v>
      </c>
    </row>
    <row r="198" spans="1:7">
      <c r="A198" s="317" t="s">
        <v>303</v>
      </c>
      <c r="B198" s="306" t="s">
        <v>2414</v>
      </c>
      <c r="C198" s="307">
        <v>0.13</v>
      </c>
      <c r="D198" s="307">
        <v>0.13</v>
      </c>
      <c r="E198" s="307">
        <v>0.126</v>
      </c>
      <c r="F198" s="323"/>
      <c r="G198" s="308">
        <v>0.13</v>
      </c>
    </row>
    <row r="199" spans="1:7">
      <c r="A199" s="317" t="s">
        <v>303</v>
      </c>
      <c r="B199" s="306" t="s">
        <v>2415</v>
      </c>
      <c r="C199" s="307">
        <v>0.13</v>
      </c>
      <c r="D199" s="307">
        <v>0.13</v>
      </c>
      <c r="E199" s="307">
        <v>0.13</v>
      </c>
      <c r="F199" s="307">
        <v>0.13</v>
      </c>
      <c r="G199" s="308">
        <v>0.13</v>
      </c>
    </row>
    <row r="200" spans="1:7">
      <c r="A200" s="317" t="s">
        <v>303</v>
      </c>
      <c r="B200" s="306" t="s">
        <v>2416</v>
      </c>
      <c r="C200" s="323"/>
      <c r="D200" s="323"/>
      <c r="E200" s="323"/>
      <c r="F200" s="307">
        <v>0.13</v>
      </c>
      <c r="G200" s="319"/>
    </row>
    <row r="201" spans="1:7">
      <c r="A201" s="317" t="s">
        <v>303</v>
      </c>
      <c r="B201" s="306" t="s">
        <v>2417</v>
      </c>
      <c r="C201" s="307">
        <v>0.13</v>
      </c>
      <c r="D201" s="307">
        <v>0.13</v>
      </c>
      <c r="E201" s="307">
        <v>0.13</v>
      </c>
      <c r="F201" s="307">
        <v>0.129</v>
      </c>
      <c r="G201" s="308">
        <v>0.13</v>
      </c>
    </row>
    <row r="202" spans="1:7">
      <c r="A202" s="317" t="s">
        <v>303</v>
      </c>
      <c r="B202" s="306" t="s">
        <v>2418</v>
      </c>
      <c r="C202" s="307">
        <v>0.13</v>
      </c>
      <c r="D202" s="307">
        <v>0.13</v>
      </c>
      <c r="E202" s="307">
        <v>0.13</v>
      </c>
      <c r="F202" s="307">
        <v>0.13</v>
      </c>
      <c r="G202" s="308">
        <v>0.13</v>
      </c>
    </row>
    <row r="203" spans="1:7">
      <c r="A203" s="317" t="s">
        <v>303</v>
      </c>
      <c r="B203" s="306" t="s">
        <v>2419</v>
      </c>
      <c r="C203" s="307">
        <v>0.129</v>
      </c>
      <c r="D203" s="307">
        <v>0.129</v>
      </c>
      <c r="E203" s="307">
        <v>0.13</v>
      </c>
      <c r="F203" s="307">
        <v>0.13</v>
      </c>
      <c r="G203" s="308">
        <v>0.13</v>
      </c>
    </row>
    <row r="204" spans="1:7">
      <c r="A204" s="317" t="s">
        <v>303</v>
      </c>
      <c r="B204" s="306" t="s">
        <v>2420</v>
      </c>
      <c r="C204" s="307">
        <v>0.129</v>
      </c>
      <c r="D204" s="307">
        <v>0.129</v>
      </c>
      <c r="E204" s="307">
        <v>0.123</v>
      </c>
      <c r="F204" s="307">
        <v>0.13</v>
      </c>
      <c r="G204" s="308">
        <v>0.13</v>
      </c>
    </row>
    <row r="205" spans="1:7">
      <c r="A205" s="317" t="s">
        <v>303</v>
      </c>
      <c r="B205" s="306" t="s">
        <v>2421</v>
      </c>
      <c r="C205" s="307">
        <v>0.13</v>
      </c>
      <c r="D205" s="307">
        <v>0.13</v>
      </c>
      <c r="E205" s="307">
        <v>0.13</v>
      </c>
      <c r="F205" s="307">
        <v>0.13</v>
      </c>
      <c r="G205" s="308">
        <v>0.13</v>
      </c>
    </row>
    <row r="206" spans="1:7">
      <c r="A206" s="317" t="s">
        <v>303</v>
      </c>
      <c r="B206" s="306" t="s">
        <v>2422</v>
      </c>
      <c r="C206" s="307">
        <v>0.13</v>
      </c>
      <c r="D206" s="307">
        <v>0.13</v>
      </c>
      <c r="E206" s="307">
        <v>0.13</v>
      </c>
      <c r="F206" s="307">
        <v>0.128</v>
      </c>
      <c r="G206" s="308">
        <v>0.13</v>
      </c>
    </row>
    <row r="207" spans="1:7">
      <c r="A207" s="317" t="s">
        <v>303</v>
      </c>
      <c r="B207" s="306" t="s">
        <v>2423</v>
      </c>
      <c r="C207" s="307">
        <v>0.13</v>
      </c>
      <c r="D207" s="307">
        <v>0.13</v>
      </c>
      <c r="E207" s="307">
        <v>0.13</v>
      </c>
      <c r="F207" s="307">
        <v>0.13</v>
      </c>
      <c r="G207" s="308">
        <v>0.13</v>
      </c>
    </row>
    <row r="208" spans="1:7">
      <c r="A208" s="317" t="s">
        <v>303</v>
      </c>
      <c r="B208" s="306" t="s">
        <v>2424</v>
      </c>
      <c r="C208" s="307">
        <v>0.13</v>
      </c>
      <c r="D208" s="307">
        <v>0.13</v>
      </c>
      <c r="E208" s="307">
        <v>0.13</v>
      </c>
      <c r="F208" s="307">
        <v>0.13</v>
      </c>
      <c r="G208" s="308">
        <v>0.13</v>
      </c>
    </row>
    <row r="209" spans="1:7">
      <c r="A209" s="317" t="s">
        <v>303</v>
      </c>
      <c r="B209" s="306" t="s">
        <v>2425</v>
      </c>
      <c r="C209" s="307">
        <v>0.13</v>
      </c>
      <c r="D209" s="307">
        <v>0.13</v>
      </c>
      <c r="E209" s="307">
        <v>0.13</v>
      </c>
      <c r="F209" s="307">
        <v>0.13</v>
      </c>
      <c r="G209" s="308">
        <v>0.13</v>
      </c>
    </row>
    <row r="210" spans="1:7">
      <c r="A210" s="317" t="s">
        <v>303</v>
      </c>
      <c r="B210" s="306" t="s">
        <v>2426</v>
      </c>
      <c r="C210" s="307">
        <v>0.121</v>
      </c>
      <c r="D210" s="307">
        <v>0.121</v>
      </c>
      <c r="E210" s="307">
        <v>0.125</v>
      </c>
      <c r="F210" s="307">
        <v>0.13</v>
      </c>
      <c r="G210" s="308">
        <v>0.123</v>
      </c>
    </row>
    <row r="211" spans="1:7">
      <c r="A211" s="317" t="s">
        <v>303</v>
      </c>
      <c r="B211" s="306" t="s">
        <v>2427</v>
      </c>
      <c r="C211" s="307">
        <v>0.123</v>
      </c>
      <c r="D211" s="307">
        <v>0.123</v>
      </c>
      <c r="E211" s="307">
        <v>0.127</v>
      </c>
      <c r="F211" s="307">
        <v>0.115</v>
      </c>
      <c r="G211" s="308">
        <v>0.126</v>
      </c>
    </row>
    <row r="212" spans="1:7">
      <c r="A212" s="317" t="s">
        <v>303</v>
      </c>
      <c r="B212" s="306" t="s">
        <v>2428</v>
      </c>
      <c r="C212" s="307">
        <v>0.126</v>
      </c>
      <c r="D212" s="307">
        <v>0.126</v>
      </c>
      <c r="E212" s="307">
        <v>0.13</v>
      </c>
      <c r="F212" s="307">
        <v>0.13</v>
      </c>
      <c r="G212" s="308">
        <v>0.129</v>
      </c>
    </row>
    <row r="213" spans="1:7">
      <c r="A213" s="317" t="s">
        <v>303</v>
      </c>
      <c r="B213" s="306" t="s">
        <v>2429</v>
      </c>
      <c r="C213" s="307">
        <v>0.129</v>
      </c>
      <c r="D213" s="307">
        <v>0.13</v>
      </c>
      <c r="E213" s="307">
        <v>0.127</v>
      </c>
      <c r="F213" s="307">
        <v>0.13</v>
      </c>
      <c r="G213" s="308">
        <v>0.13</v>
      </c>
    </row>
    <row r="214" spans="1:7">
      <c r="A214" s="317" t="s">
        <v>303</v>
      </c>
      <c r="B214" s="306" t="s">
        <v>2430</v>
      </c>
      <c r="C214" s="307">
        <v>0.128</v>
      </c>
      <c r="D214" s="307">
        <v>0.128</v>
      </c>
      <c r="E214" s="307">
        <v>0.13</v>
      </c>
      <c r="F214" s="307">
        <v>0.13</v>
      </c>
      <c r="G214" s="308">
        <v>0.13</v>
      </c>
    </row>
    <row r="215" spans="1:7">
      <c r="A215" s="317" t="s">
        <v>303</v>
      </c>
      <c r="B215" s="306" t="s">
        <v>2431</v>
      </c>
      <c r="C215" s="307">
        <v>0.13</v>
      </c>
      <c r="D215" s="307">
        <v>0.13</v>
      </c>
      <c r="E215" s="307">
        <v>0.13</v>
      </c>
      <c r="F215" s="307">
        <v>0.129</v>
      </c>
      <c r="G215" s="308">
        <v>0.13</v>
      </c>
    </row>
    <row r="216" spans="1:7">
      <c r="A216" s="317" t="s">
        <v>303</v>
      </c>
      <c r="B216" s="306" t="s">
        <v>2432</v>
      </c>
      <c r="C216" s="307">
        <v>0.13</v>
      </c>
      <c r="D216" s="307">
        <v>0.13</v>
      </c>
      <c r="E216" s="307">
        <v>0.13</v>
      </c>
      <c r="F216" s="307">
        <v>0.13</v>
      </c>
      <c r="G216" s="308">
        <v>0.13</v>
      </c>
    </row>
    <row r="217" spans="1:7">
      <c r="A217" s="317" t="s">
        <v>303</v>
      </c>
      <c r="B217" s="306" t="s">
        <v>2433</v>
      </c>
      <c r="C217" s="307">
        <v>0.129</v>
      </c>
      <c r="D217" s="307">
        <v>0.129</v>
      </c>
      <c r="E217" s="307">
        <v>0.13</v>
      </c>
      <c r="F217" s="307">
        <v>0.13</v>
      </c>
      <c r="G217" s="308">
        <v>0.13</v>
      </c>
    </row>
    <row r="218" spans="1:7">
      <c r="A218" s="317" t="s">
        <v>303</v>
      </c>
      <c r="B218" s="306" t="s">
        <v>2434</v>
      </c>
      <c r="C218" s="318"/>
      <c r="D218" s="318"/>
      <c r="E218" s="318"/>
      <c r="F218" s="307">
        <v>0.05</v>
      </c>
      <c r="G218" s="324"/>
    </row>
    <row r="219" spans="1:7">
      <c r="A219" s="317" t="s">
        <v>303</v>
      </c>
      <c r="B219" s="306" t="s">
        <v>2435</v>
      </c>
      <c r="C219" s="318"/>
      <c r="D219" s="318"/>
      <c r="E219" s="318"/>
      <c r="F219" s="307">
        <v>0.05</v>
      </c>
      <c r="G219" s="324"/>
    </row>
    <row r="220" spans="1:7">
      <c r="A220" s="317" t="s">
        <v>303</v>
      </c>
      <c r="B220" s="306" t="s">
        <v>2436</v>
      </c>
      <c r="C220" s="318"/>
      <c r="D220" s="318"/>
      <c r="E220" s="318"/>
      <c r="F220" s="307">
        <v>0.05</v>
      </c>
      <c r="G220" s="324"/>
    </row>
    <row r="221" spans="1:7">
      <c r="A221" s="317" t="s">
        <v>303</v>
      </c>
      <c r="B221" s="306" t="s">
        <v>2437</v>
      </c>
      <c r="C221" s="318"/>
      <c r="D221" s="318"/>
      <c r="E221" s="318"/>
      <c r="F221" s="307">
        <v>0.05</v>
      </c>
      <c r="G221" s="324"/>
    </row>
    <row r="222" spans="1:7">
      <c r="A222" s="317" t="s">
        <v>303</v>
      </c>
      <c r="B222" s="306" t="s">
        <v>2438</v>
      </c>
      <c r="C222" s="318"/>
      <c r="D222" s="318"/>
      <c r="E222" s="318"/>
      <c r="F222" s="307">
        <v>0.05</v>
      </c>
      <c r="G222" s="324"/>
    </row>
    <row r="223" spans="1:7">
      <c r="A223" s="317" t="s">
        <v>303</v>
      </c>
      <c r="B223" s="306" t="s">
        <v>2439</v>
      </c>
      <c r="C223" s="318"/>
      <c r="D223" s="318"/>
      <c r="E223" s="318"/>
      <c r="F223" s="307">
        <v>0.05</v>
      </c>
      <c r="G223" s="324"/>
    </row>
    <row r="224" spans="1:7">
      <c r="A224" s="317" t="s">
        <v>303</v>
      </c>
      <c r="B224" s="306" t="s">
        <v>2440</v>
      </c>
      <c r="C224" s="318"/>
      <c r="D224" s="318"/>
      <c r="E224" s="318"/>
      <c r="F224" s="307">
        <v>0.05</v>
      </c>
      <c r="G224" s="324"/>
    </row>
    <row r="225" spans="1:7">
      <c r="A225" s="317" t="s">
        <v>303</v>
      </c>
      <c r="B225" s="306" t="s">
        <v>2441</v>
      </c>
      <c r="C225" s="318"/>
      <c r="D225" s="318"/>
      <c r="E225" s="318"/>
      <c r="F225" s="307">
        <v>0.05</v>
      </c>
      <c r="G225" s="324"/>
    </row>
    <row r="226" spans="1:7">
      <c r="A226" s="317" t="s">
        <v>303</v>
      </c>
      <c r="B226" s="306" t="s">
        <v>2442</v>
      </c>
      <c r="C226" s="318"/>
      <c r="D226" s="318"/>
      <c r="E226" s="318"/>
      <c r="F226" s="307">
        <v>0.05</v>
      </c>
      <c r="G226" s="324"/>
    </row>
    <row r="227" spans="1:7">
      <c r="A227" s="317" t="s">
        <v>303</v>
      </c>
      <c r="B227" s="306" t="s">
        <v>2443</v>
      </c>
      <c r="C227" s="318"/>
      <c r="D227" s="318"/>
      <c r="E227" s="318"/>
      <c r="F227" s="307">
        <v>0.05</v>
      </c>
      <c r="G227" s="324"/>
    </row>
    <row r="228" spans="1:7">
      <c r="A228" s="317" t="s">
        <v>303</v>
      </c>
      <c r="B228" s="306" t="s">
        <v>2444</v>
      </c>
      <c r="C228" s="318"/>
      <c r="D228" s="318"/>
      <c r="E228" s="318"/>
      <c r="F228" s="307">
        <v>0.05</v>
      </c>
      <c r="G228" s="324"/>
    </row>
    <row r="229" spans="1:7">
      <c r="A229" s="317" t="s">
        <v>303</v>
      </c>
      <c r="B229" s="306" t="s">
        <v>2445</v>
      </c>
      <c r="C229" s="318"/>
      <c r="D229" s="318"/>
      <c r="E229" s="318"/>
      <c r="F229" s="307">
        <v>0.05</v>
      </c>
      <c r="G229" s="324"/>
    </row>
    <row r="230" spans="1:7">
      <c r="A230" s="317" t="s">
        <v>303</v>
      </c>
      <c r="B230" s="306" t="s">
        <v>2446</v>
      </c>
      <c r="C230" s="318"/>
      <c r="D230" s="318"/>
      <c r="E230" s="318"/>
      <c r="F230" s="307">
        <v>0.05</v>
      </c>
      <c r="G230" s="324"/>
    </row>
    <row r="231" spans="1:7">
      <c r="A231" s="317" t="s">
        <v>303</v>
      </c>
      <c r="B231" s="306" t="s">
        <v>2447</v>
      </c>
      <c r="C231" s="318"/>
      <c r="D231" s="318"/>
      <c r="E231" s="318"/>
      <c r="F231" s="307">
        <v>0.05</v>
      </c>
      <c r="G231" s="324"/>
    </row>
    <row r="232" spans="1:7">
      <c r="A232" s="317" t="s">
        <v>303</v>
      </c>
      <c r="B232" s="306" t="s">
        <v>2448</v>
      </c>
      <c r="C232" s="318"/>
      <c r="D232" s="318"/>
      <c r="E232" s="318"/>
      <c r="F232" s="307">
        <v>0.05</v>
      </c>
      <c r="G232" s="324"/>
    </row>
    <row r="233" spans="1:7">
      <c r="A233" s="320" t="s">
        <v>303</v>
      </c>
      <c r="B233" s="310" t="s">
        <v>2449</v>
      </c>
      <c r="C233" s="312"/>
      <c r="D233" s="312"/>
      <c r="E233" s="312"/>
      <c r="F233" s="311">
        <v>0.05</v>
      </c>
      <c r="G233" s="325"/>
    </row>
    <row r="234" spans="1:7">
      <c r="A234" s="316" t="s">
        <v>311</v>
      </c>
      <c r="B234" s="302" t="s">
        <v>2450</v>
      </c>
      <c r="C234" s="303">
        <v>0.13</v>
      </c>
      <c r="D234" s="303">
        <v>0.128</v>
      </c>
      <c r="E234" s="303">
        <v>0.14199999999999999</v>
      </c>
      <c r="F234" s="303">
        <v>0.14699999999999999</v>
      </c>
      <c r="G234" s="304">
        <v>0.14000000000000001</v>
      </c>
    </row>
    <row r="235" spans="1:7">
      <c r="A235" s="317" t="s">
        <v>311</v>
      </c>
      <c r="B235" s="306" t="s">
        <v>2451</v>
      </c>
      <c r="C235" s="307">
        <v>0.13600000000000001</v>
      </c>
      <c r="D235" s="307">
        <v>0.13800000000000001</v>
      </c>
      <c r="E235" s="307">
        <v>0.14499999999999999</v>
      </c>
      <c r="F235" s="307">
        <v>0.14299999999999999</v>
      </c>
      <c r="G235" s="308">
        <v>0.14099999999999999</v>
      </c>
    </row>
    <row r="236" spans="1:7">
      <c r="A236" s="317" t="s">
        <v>311</v>
      </c>
      <c r="B236" s="306" t="s">
        <v>2452</v>
      </c>
      <c r="C236" s="307">
        <v>0.15</v>
      </c>
      <c r="D236" s="307">
        <v>0.15</v>
      </c>
      <c r="E236" s="307">
        <v>0.15</v>
      </c>
      <c r="F236" s="307">
        <v>0.15</v>
      </c>
      <c r="G236" s="308">
        <v>0.15</v>
      </c>
    </row>
    <row r="237" spans="1:7">
      <c r="A237" s="317" t="s">
        <v>311</v>
      </c>
      <c r="B237" s="306" t="s">
        <v>2453</v>
      </c>
      <c r="C237" s="307">
        <v>0.15</v>
      </c>
      <c r="D237" s="307">
        <v>0.15</v>
      </c>
      <c r="E237" s="307">
        <v>0.15</v>
      </c>
      <c r="F237" s="307">
        <v>0.15</v>
      </c>
      <c r="G237" s="308">
        <v>0.15</v>
      </c>
    </row>
    <row r="238" spans="1:7">
      <c r="A238" s="317" t="s">
        <v>311</v>
      </c>
      <c r="B238" s="306" t="s">
        <v>2454</v>
      </c>
      <c r="C238" s="307">
        <v>0.14899999999999999</v>
      </c>
      <c r="D238" s="307">
        <v>0.14899999999999999</v>
      </c>
      <c r="E238" s="307">
        <v>0.15</v>
      </c>
      <c r="F238" s="307">
        <v>0.15</v>
      </c>
      <c r="G238" s="308">
        <v>0.15</v>
      </c>
    </row>
    <row r="239" spans="1:7">
      <c r="A239" s="317" t="s">
        <v>311</v>
      </c>
      <c r="B239" s="306" t="s">
        <v>2455</v>
      </c>
      <c r="C239" s="307">
        <v>0.15</v>
      </c>
      <c r="D239" s="307">
        <v>0.15</v>
      </c>
      <c r="E239" s="307">
        <v>0.15</v>
      </c>
      <c r="F239" s="307">
        <v>0.15</v>
      </c>
      <c r="G239" s="308">
        <v>0.15</v>
      </c>
    </row>
    <row r="240" spans="1:7">
      <c r="A240" s="317" t="s">
        <v>311</v>
      </c>
      <c r="B240" s="306" t="s">
        <v>2456</v>
      </c>
      <c r="C240" s="307">
        <v>0.15</v>
      </c>
      <c r="D240" s="307">
        <v>0.15</v>
      </c>
      <c r="E240" s="307">
        <v>0.15</v>
      </c>
      <c r="F240" s="307">
        <v>0.15</v>
      </c>
      <c r="G240" s="308">
        <v>0.15</v>
      </c>
    </row>
    <row r="241" spans="1:7">
      <c r="A241" s="317" t="s">
        <v>311</v>
      </c>
      <c r="B241" s="306" t="s">
        <v>2457</v>
      </c>
      <c r="C241" s="307">
        <v>0.14099999999999999</v>
      </c>
      <c r="D241" s="307">
        <v>0.14199999999999999</v>
      </c>
      <c r="E241" s="307">
        <v>0.14899999999999999</v>
      </c>
      <c r="F241" s="307">
        <v>0.15</v>
      </c>
      <c r="G241" s="308">
        <v>0.14399999999999999</v>
      </c>
    </row>
    <row r="242" spans="1:7">
      <c r="A242" s="317" t="s">
        <v>311</v>
      </c>
      <c r="B242" s="306" t="s">
        <v>2458</v>
      </c>
      <c r="C242" s="307">
        <v>0.14099999999999999</v>
      </c>
      <c r="D242" s="307">
        <v>0.14199999999999999</v>
      </c>
      <c r="E242" s="307">
        <v>0.14799999999999999</v>
      </c>
      <c r="F242" s="307">
        <v>0.127</v>
      </c>
      <c r="G242" s="308">
        <v>0.14399999999999999</v>
      </c>
    </row>
    <row r="243" spans="1:7">
      <c r="A243" s="317" t="s">
        <v>311</v>
      </c>
      <c r="B243" s="306" t="s">
        <v>2459</v>
      </c>
      <c r="C243" s="307">
        <v>0.14699999999999999</v>
      </c>
      <c r="D243" s="307">
        <v>0.14699999999999999</v>
      </c>
      <c r="E243" s="307">
        <v>0.15</v>
      </c>
      <c r="F243" s="307">
        <v>0.15</v>
      </c>
      <c r="G243" s="308">
        <v>0.14899999999999999</v>
      </c>
    </row>
    <row r="244" spans="1:7">
      <c r="A244" s="317" t="s">
        <v>311</v>
      </c>
      <c r="B244" s="306" t="s">
        <v>2460</v>
      </c>
      <c r="C244" s="307">
        <v>0.15</v>
      </c>
      <c r="D244" s="307">
        <v>0.15</v>
      </c>
      <c r="E244" s="307">
        <v>0.15</v>
      </c>
      <c r="F244" s="307">
        <v>0.15</v>
      </c>
      <c r="G244" s="308">
        <v>0.15</v>
      </c>
    </row>
    <row r="245" spans="1:7">
      <c r="A245" s="317" t="s">
        <v>311</v>
      </c>
      <c r="B245" s="306" t="s">
        <v>2461</v>
      </c>
      <c r="C245" s="307">
        <v>0.14199999999999999</v>
      </c>
      <c r="D245" s="307">
        <v>0.14199999999999999</v>
      </c>
      <c r="E245" s="307">
        <v>0.15</v>
      </c>
      <c r="F245" s="307">
        <v>0.15</v>
      </c>
      <c r="G245" s="308">
        <v>0.14499999999999999</v>
      </c>
    </row>
    <row r="246" spans="1:7">
      <c r="A246" s="317" t="s">
        <v>311</v>
      </c>
      <c r="B246" s="306" t="s">
        <v>2462</v>
      </c>
      <c r="C246" s="307">
        <v>0.14199999999999999</v>
      </c>
      <c r="D246" s="307">
        <v>0.14299999999999999</v>
      </c>
      <c r="E246" s="307">
        <v>0.15</v>
      </c>
      <c r="F246" s="307">
        <v>0.14199999999999999</v>
      </c>
      <c r="G246" s="308">
        <v>0.14399999999999999</v>
      </c>
    </row>
    <row r="247" spans="1:7">
      <c r="A247" s="317" t="s">
        <v>311</v>
      </c>
      <c r="B247" s="306" t="s">
        <v>2463</v>
      </c>
      <c r="C247" s="307">
        <v>0.14899999999999999</v>
      </c>
      <c r="D247" s="307">
        <v>0.14899999999999999</v>
      </c>
      <c r="E247" s="307">
        <v>0.15</v>
      </c>
      <c r="F247" s="307">
        <v>0.15</v>
      </c>
      <c r="G247" s="308">
        <v>0.15</v>
      </c>
    </row>
    <row r="248" spans="1:7">
      <c r="A248" s="317" t="s">
        <v>311</v>
      </c>
      <c r="B248" s="306" t="s">
        <v>2464</v>
      </c>
      <c r="C248" s="307">
        <v>0.14399999999999999</v>
      </c>
      <c r="D248" s="307">
        <v>0.14399999999999999</v>
      </c>
      <c r="E248" s="307">
        <v>0.14899999999999999</v>
      </c>
      <c r="F248" s="307">
        <v>0.14799999999999999</v>
      </c>
      <c r="G248" s="308">
        <v>0.14599999999999999</v>
      </c>
    </row>
    <row r="249" spans="1:7">
      <c r="A249" s="317" t="s">
        <v>311</v>
      </c>
      <c r="B249" s="306" t="s">
        <v>2465</v>
      </c>
      <c r="C249" s="307">
        <v>0.14000000000000001</v>
      </c>
      <c r="D249" s="307">
        <v>0.14000000000000001</v>
      </c>
      <c r="E249" s="307">
        <v>0.14699999999999999</v>
      </c>
      <c r="F249" s="307">
        <v>0.14899999999999999</v>
      </c>
      <c r="G249" s="308">
        <v>0.14199999999999999</v>
      </c>
    </row>
    <row r="250" spans="1:7">
      <c r="A250" s="317" t="s">
        <v>311</v>
      </c>
      <c r="B250" s="306" t="s">
        <v>2466</v>
      </c>
      <c r="C250" s="307">
        <v>0.14399999999999999</v>
      </c>
      <c r="D250" s="307">
        <v>0.14299999999999999</v>
      </c>
      <c r="E250" s="307">
        <v>0.14899999999999999</v>
      </c>
      <c r="F250" s="307">
        <v>0.15</v>
      </c>
      <c r="G250" s="308">
        <v>0.14599999999999999</v>
      </c>
    </row>
    <row r="251" spans="1:7">
      <c r="A251" s="317" t="s">
        <v>311</v>
      </c>
      <c r="B251" s="306" t="s">
        <v>2467</v>
      </c>
      <c r="C251" s="323"/>
      <c r="D251" s="318"/>
      <c r="E251" s="318"/>
      <c r="F251" s="307">
        <v>0.1</v>
      </c>
      <c r="G251" s="324"/>
    </row>
    <row r="252" spans="1:7">
      <c r="A252" s="317" t="s">
        <v>311</v>
      </c>
      <c r="B252" s="306" t="s">
        <v>2468</v>
      </c>
      <c r="C252" s="307">
        <v>0.14399999999999999</v>
      </c>
      <c r="D252" s="307">
        <v>0.14399999999999999</v>
      </c>
      <c r="E252" s="307">
        <v>0.15</v>
      </c>
      <c r="F252" s="307">
        <v>0.14899999999999999</v>
      </c>
      <c r="G252" s="308">
        <v>0.14599999999999999</v>
      </c>
    </row>
    <row r="253" spans="1:7">
      <c r="A253" s="317" t="s">
        <v>311</v>
      </c>
      <c r="B253" s="306" t="s">
        <v>2469</v>
      </c>
      <c r="C253" s="307">
        <v>0.14199999999999999</v>
      </c>
      <c r="D253" s="307">
        <v>0.14199999999999999</v>
      </c>
      <c r="E253" s="307">
        <v>0.14599999999999999</v>
      </c>
      <c r="F253" s="307">
        <v>0.14799999999999999</v>
      </c>
      <c r="G253" s="308">
        <v>0.14499999999999999</v>
      </c>
    </row>
    <row r="254" spans="1:7">
      <c r="A254" s="317" t="s">
        <v>311</v>
      </c>
      <c r="B254" s="306" t="s">
        <v>2470</v>
      </c>
      <c r="C254" s="307">
        <v>0.15</v>
      </c>
      <c r="D254" s="307">
        <v>0.15</v>
      </c>
      <c r="E254" s="307">
        <v>0.15</v>
      </c>
      <c r="F254" s="307">
        <v>0.15</v>
      </c>
      <c r="G254" s="308">
        <v>0.15</v>
      </c>
    </row>
    <row r="255" spans="1:7">
      <c r="A255" s="317" t="s">
        <v>311</v>
      </c>
      <c r="B255" s="306" t="s">
        <v>2471</v>
      </c>
      <c r="C255" s="307">
        <v>0.14299999999999999</v>
      </c>
      <c r="D255" s="307">
        <v>0.14299999999999999</v>
      </c>
      <c r="E255" s="307">
        <v>0.15</v>
      </c>
      <c r="F255" s="307">
        <v>0.15</v>
      </c>
      <c r="G255" s="308">
        <v>0.14499999999999999</v>
      </c>
    </row>
    <row r="256" spans="1:7">
      <c r="A256" s="317" t="s">
        <v>311</v>
      </c>
      <c r="B256" s="306" t="s">
        <v>2472</v>
      </c>
      <c r="C256" s="307">
        <v>0.15</v>
      </c>
      <c r="D256" s="307">
        <v>0.15</v>
      </c>
      <c r="E256" s="307">
        <v>0.15</v>
      </c>
      <c r="F256" s="307">
        <v>0.14599999999999999</v>
      </c>
      <c r="G256" s="308">
        <v>0.15</v>
      </c>
    </row>
    <row r="257" spans="1:7">
      <c r="A257" s="317" t="s">
        <v>311</v>
      </c>
      <c r="B257" s="306" t="s">
        <v>2473</v>
      </c>
      <c r="C257" s="307">
        <v>0.14199999999999999</v>
      </c>
      <c r="D257" s="307">
        <v>0.14299999999999999</v>
      </c>
      <c r="E257" s="307">
        <v>0.14799999999999999</v>
      </c>
      <c r="F257" s="307">
        <v>0.15</v>
      </c>
      <c r="G257" s="308">
        <v>0.14499999999999999</v>
      </c>
    </row>
    <row r="258" spans="1:7">
      <c r="A258" s="317" t="s">
        <v>311</v>
      </c>
      <c r="B258" s="306" t="s">
        <v>2474</v>
      </c>
      <c r="C258" s="307">
        <v>0.14299999999999999</v>
      </c>
      <c r="D258" s="307">
        <v>0.14299999999999999</v>
      </c>
      <c r="E258" s="307">
        <v>0.15</v>
      </c>
      <c r="F258" s="307">
        <v>0.14799999999999999</v>
      </c>
      <c r="G258" s="308">
        <v>0.14599999999999999</v>
      </c>
    </row>
    <row r="259" spans="1:7">
      <c r="A259" s="317" t="s">
        <v>311</v>
      </c>
      <c r="B259" s="306" t="s">
        <v>2475</v>
      </c>
      <c r="C259" s="307">
        <v>0.14399999999999999</v>
      </c>
      <c r="D259" s="307">
        <v>0.14399999999999999</v>
      </c>
      <c r="E259" s="307">
        <v>0.14899999999999999</v>
      </c>
      <c r="F259" s="307">
        <v>0.14699999999999999</v>
      </c>
      <c r="G259" s="308">
        <v>0.14599999999999999</v>
      </c>
    </row>
    <row r="260" spans="1:7">
      <c r="A260" s="317" t="s">
        <v>311</v>
      </c>
      <c r="B260" s="306" t="s">
        <v>2476</v>
      </c>
      <c r="C260" s="307">
        <v>0.109</v>
      </c>
      <c r="D260" s="307">
        <v>0.111</v>
      </c>
      <c r="E260" s="307">
        <v>0.13100000000000001</v>
      </c>
      <c r="F260" s="307">
        <v>0.126</v>
      </c>
      <c r="G260" s="308">
        <v>0.11899999999999999</v>
      </c>
    </row>
    <row r="261" spans="1:7">
      <c r="A261" s="317" t="s">
        <v>311</v>
      </c>
      <c r="B261" s="306" t="s">
        <v>2477</v>
      </c>
      <c r="C261" s="307">
        <v>0.1</v>
      </c>
      <c r="D261" s="307">
        <v>0.1</v>
      </c>
      <c r="E261" s="307">
        <v>0.11799999999999999</v>
      </c>
      <c r="F261" s="307">
        <v>0.108</v>
      </c>
      <c r="G261" s="308">
        <v>0.107</v>
      </c>
    </row>
    <row r="262" spans="1:7">
      <c r="A262" s="317" t="s">
        <v>311</v>
      </c>
      <c r="B262" s="306" t="s">
        <v>2478</v>
      </c>
      <c r="C262" s="307">
        <v>0.1</v>
      </c>
      <c r="D262" s="307">
        <v>0.1</v>
      </c>
      <c r="E262" s="307">
        <v>0.1</v>
      </c>
      <c r="F262" s="307">
        <v>0.14099999999999999</v>
      </c>
      <c r="G262" s="308">
        <v>0.1</v>
      </c>
    </row>
    <row r="263" spans="1:7">
      <c r="A263" s="317" t="s">
        <v>311</v>
      </c>
      <c r="B263" s="306" t="s">
        <v>2479</v>
      </c>
      <c r="C263" s="307">
        <v>0.14799999999999999</v>
      </c>
      <c r="D263" s="307">
        <v>0.14799999999999999</v>
      </c>
      <c r="E263" s="307">
        <v>0.15</v>
      </c>
      <c r="F263" s="307">
        <v>0.14699999999999999</v>
      </c>
      <c r="G263" s="308">
        <v>0.15</v>
      </c>
    </row>
    <row r="264" spans="1:7">
      <c r="A264" s="317" t="s">
        <v>311</v>
      </c>
      <c r="B264" s="306" t="s">
        <v>2480</v>
      </c>
      <c r="C264" s="307">
        <v>0.14299999999999999</v>
      </c>
      <c r="D264" s="307">
        <v>0.14299999999999999</v>
      </c>
      <c r="E264" s="307">
        <v>0.15</v>
      </c>
      <c r="F264" s="307">
        <v>0.14899999999999999</v>
      </c>
      <c r="G264" s="308">
        <v>0.14599999999999999</v>
      </c>
    </row>
    <row r="265" spans="1:7">
      <c r="A265" s="317" t="s">
        <v>311</v>
      </c>
      <c r="B265" s="306" t="s">
        <v>2481</v>
      </c>
      <c r="C265" s="318"/>
      <c r="D265" s="318"/>
      <c r="E265" s="318"/>
      <c r="F265" s="307">
        <v>0.05</v>
      </c>
      <c r="G265" s="324"/>
    </row>
    <row r="266" spans="1:7">
      <c r="A266" s="317" t="s">
        <v>311</v>
      </c>
      <c r="B266" s="306" t="s">
        <v>2482</v>
      </c>
      <c r="C266" s="318"/>
      <c r="D266" s="318"/>
      <c r="E266" s="318"/>
      <c r="F266" s="307">
        <v>0.05</v>
      </c>
      <c r="G266" s="324"/>
    </row>
    <row r="267" spans="1:7">
      <c r="A267" s="317" t="s">
        <v>311</v>
      </c>
      <c r="B267" s="306" t="s">
        <v>2483</v>
      </c>
      <c r="C267" s="318"/>
      <c r="D267" s="318"/>
      <c r="E267" s="318"/>
      <c r="F267" s="307">
        <v>0.05</v>
      </c>
      <c r="G267" s="324"/>
    </row>
    <row r="268" spans="1:7">
      <c r="A268" s="317" t="s">
        <v>311</v>
      </c>
      <c r="B268" s="306" t="s">
        <v>2484</v>
      </c>
      <c r="C268" s="318"/>
      <c r="D268" s="318"/>
      <c r="E268" s="318"/>
      <c r="F268" s="307">
        <v>0.05</v>
      </c>
      <c r="G268" s="324"/>
    </row>
    <row r="269" spans="1:7">
      <c r="A269" s="317" t="s">
        <v>311</v>
      </c>
      <c r="B269" s="306" t="s">
        <v>2485</v>
      </c>
      <c r="C269" s="318"/>
      <c r="D269" s="318"/>
      <c r="E269" s="318"/>
      <c r="F269" s="307">
        <v>0.05</v>
      </c>
      <c r="G269" s="324"/>
    </row>
    <row r="270" spans="1:7">
      <c r="A270" s="317" t="s">
        <v>311</v>
      </c>
      <c r="B270" s="306" t="s">
        <v>2486</v>
      </c>
      <c r="C270" s="318"/>
      <c r="D270" s="318"/>
      <c r="E270" s="318"/>
      <c r="F270" s="307">
        <v>0.05</v>
      </c>
      <c r="G270" s="324"/>
    </row>
    <row r="271" spans="1:7">
      <c r="A271" s="317" t="s">
        <v>311</v>
      </c>
      <c r="B271" s="306" t="s">
        <v>2487</v>
      </c>
      <c r="C271" s="318"/>
      <c r="D271" s="318"/>
      <c r="E271" s="318"/>
      <c r="F271" s="307">
        <v>0.05</v>
      </c>
      <c r="G271" s="324"/>
    </row>
    <row r="272" spans="1:7">
      <c r="A272" s="317" t="s">
        <v>311</v>
      </c>
      <c r="B272" s="306" t="s">
        <v>2488</v>
      </c>
      <c r="C272" s="318"/>
      <c r="D272" s="318"/>
      <c r="E272" s="318"/>
      <c r="F272" s="307">
        <v>0.05</v>
      </c>
      <c r="G272" s="324"/>
    </row>
    <row r="273" spans="1:7">
      <c r="A273" s="317" t="s">
        <v>311</v>
      </c>
      <c r="B273" s="306" t="s">
        <v>2489</v>
      </c>
      <c r="C273" s="318"/>
      <c r="D273" s="318"/>
      <c r="E273" s="318"/>
      <c r="F273" s="307">
        <v>0.05</v>
      </c>
      <c r="G273" s="324"/>
    </row>
    <row r="274" spans="1:7">
      <c r="A274" s="317" t="s">
        <v>311</v>
      </c>
      <c r="B274" s="306" t="s">
        <v>2490</v>
      </c>
      <c r="C274" s="318"/>
      <c r="D274" s="318"/>
      <c r="E274" s="318"/>
      <c r="F274" s="307">
        <v>0.05</v>
      </c>
      <c r="G274" s="324"/>
    </row>
    <row r="275" spans="1:7">
      <c r="A275" s="317" t="s">
        <v>311</v>
      </c>
      <c r="B275" s="306" t="s">
        <v>2491</v>
      </c>
      <c r="C275" s="318"/>
      <c r="D275" s="318"/>
      <c r="E275" s="318"/>
      <c r="F275" s="307">
        <v>0.05</v>
      </c>
      <c r="G275" s="324"/>
    </row>
    <row r="276" spans="1:7">
      <c r="A276" s="320" t="s">
        <v>311</v>
      </c>
      <c r="B276" s="310" t="s">
        <v>2492</v>
      </c>
      <c r="C276" s="312"/>
      <c r="D276" s="312"/>
      <c r="E276" s="312"/>
      <c r="F276" s="311">
        <v>0.05</v>
      </c>
      <c r="G276" s="325"/>
    </row>
    <row r="277" spans="1:7">
      <c r="A277" s="316" t="s">
        <v>318</v>
      </c>
      <c r="B277" s="302" t="s">
        <v>2493</v>
      </c>
      <c r="C277" s="303">
        <v>0.15</v>
      </c>
      <c r="D277" s="303">
        <v>0.15</v>
      </c>
      <c r="E277" s="303">
        <v>0.15</v>
      </c>
      <c r="F277" s="303">
        <v>0.15</v>
      </c>
      <c r="G277" s="304">
        <v>0.15</v>
      </c>
    </row>
    <row r="278" spans="1:7">
      <c r="A278" s="317" t="s">
        <v>318</v>
      </c>
      <c r="B278" s="306" t="s">
        <v>2494</v>
      </c>
      <c r="C278" s="307">
        <v>0.15</v>
      </c>
      <c r="D278" s="307">
        <v>0.15</v>
      </c>
      <c r="E278" s="307">
        <v>0.15</v>
      </c>
      <c r="F278" s="307">
        <v>0.15</v>
      </c>
      <c r="G278" s="308">
        <v>0.15</v>
      </c>
    </row>
    <row r="279" spans="1:7">
      <c r="A279" s="317" t="s">
        <v>318</v>
      </c>
      <c r="B279" s="306" t="s">
        <v>2495</v>
      </c>
      <c r="C279" s="307">
        <v>0.15</v>
      </c>
      <c r="D279" s="307">
        <v>0.15</v>
      </c>
      <c r="E279" s="307">
        <v>0.15</v>
      </c>
      <c r="F279" s="307">
        <v>0.15</v>
      </c>
      <c r="G279" s="308">
        <v>0.15</v>
      </c>
    </row>
    <row r="280" spans="1:7">
      <c r="A280" s="317" t="s">
        <v>318</v>
      </c>
      <c r="B280" s="306" t="s">
        <v>2496</v>
      </c>
      <c r="C280" s="307">
        <v>0.15</v>
      </c>
      <c r="D280" s="307">
        <v>0.15</v>
      </c>
      <c r="E280" s="307">
        <v>0.15</v>
      </c>
      <c r="F280" s="307">
        <v>0.15</v>
      </c>
      <c r="G280" s="308">
        <v>0.15</v>
      </c>
    </row>
    <row r="281" spans="1:7">
      <c r="A281" s="317" t="s">
        <v>318</v>
      </c>
      <c r="B281" s="306" t="s">
        <v>2497</v>
      </c>
      <c r="C281" s="307">
        <v>0.15</v>
      </c>
      <c r="D281" s="307">
        <v>0.15</v>
      </c>
      <c r="E281" s="307">
        <v>0.15</v>
      </c>
      <c r="F281" s="307">
        <v>0.15</v>
      </c>
      <c r="G281" s="308">
        <v>0.15</v>
      </c>
    </row>
    <row r="282" spans="1:7">
      <c r="A282" s="317" t="s">
        <v>318</v>
      </c>
      <c r="B282" s="306" t="s">
        <v>2498</v>
      </c>
      <c r="C282" s="307">
        <v>0.15</v>
      </c>
      <c r="D282" s="307">
        <v>0.15</v>
      </c>
      <c r="E282" s="307">
        <v>0.15</v>
      </c>
      <c r="F282" s="307">
        <v>0.14499999999999999</v>
      </c>
      <c r="G282" s="308">
        <v>0.15</v>
      </c>
    </row>
    <row r="283" spans="1:7">
      <c r="A283" s="317" t="s">
        <v>318</v>
      </c>
      <c r="B283" s="306" t="s">
        <v>2499</v>
      </c>
      <c r="C283" s="307">
        <v>0.15</v>
      </c>
      <c r="D283" s="307">
        <v>0.15</v>
      </c>
      <c r="E283" s="307">
        <v>0.15</v>
      </c>
      <c r="F283" s="307">
        <v>0.14199999999999999</v>
      </c>
      <c r="G283" s="308">
        <v>0.15</v>
      </c>
    </row>
    <row r="284" spans="1:7">
      <c r="A284" s="317" t="s">
        <v>318</v>
      </c>
      <c r="B284" s="306" t="s">
        <v>2500</v>
      </c>
      <c r="C284" s="307">
        <v>0.15</v>
      </c>
      <c r="D284" s="307">
        <v>0.15</v>
      </c>
      <c r="E284" s="307">
        <v>0.15</v>
      </c>
      <c r="F284" s="307">
        <v>0.15</v>
      </c>
      <c r="G284" s="308">
        <v>0.15</v>
      </c>
    </row>
    <row r="285" spans="1:7">
      <c r="A285" s="317" t="s">
        <v>318</v>
      </c>
      <c r="B285" s="306" t="s">
        <v>2501</v>
      </c>
      <c r="C285" s="307">
        <v>0.15</v>
      </c>
      <c r="D285" s="307">
        <v>0.15</v>
      </c>
      <c r="E285" s="307">
        <v>0.15</v>
      </c>
      <c r="F285" s="307">
        <v>0.15</v>
      </c>
      <c r="G285" s="308">
        <v>0.15</v>
      </c>
    </row>
    <row r="286" spans="1:7">
      <c r="A286" s="317" t="s">
        <v>318</v>
      </c>
      <c r="B286" s="306" t="s">
        <v>2502</v>
      </c>
      <c r="C286" s="307">
        <v>0.14499999999999999</v>
      </c>
      <c r="D286" s="307">
        <v>0.14499999999999999</v>
      </c>
      <c r="E286" s="307">
        <v>0.15</v>
      </c>
      <c r="F286" s="307">
        <v>0.14099999999999999</v>
      </c>
      <c r="G286" s="308">
        <v>0.14499999999999999</v>
      </c>
    </row>
    <row r="287" spans="1:7">
      <c r="A287" s="317" t="s">
        <v>318</v>
      </c>
      <c r="B287" s="306" t="s">
        <v>2503</v>
      </c>
      <c r="C287" s="307">
        <v>0.11</v>
      </c>
      <c r="D287" s="307">
        <v>0.111</v>
      </c>
      <c r="E287" s="307">
        <v>0.14099999999999999</v>
      </c>
      <c r="F287" s="307">
        <v>0.11</v>
      </c>
      <c r="G287" s="308">
        <v>0.12</v>
      </c>
    </row>
    <row r="288" spans="1:7">
      <c r="A288" s="317" t="s">
        <v>318</v>
      </c>
      <c r="B288" s="306" t="s">
        <v>2504</v>
      </c>
      <c r="C288" s="307">
        <v>0.14199999999999999</v>
      </c>
      <c r="D288" s="307">
        <v>0.14299999999999999</v>
      </c>
      <c r="E288" s="307">
        <v>0.15</v>
      </c>
      <c r="F288" s="307">
        <v>0.14199999999999999</v>
      </c>
      <c r="G288" s="308">
        <v>0.14399999999999999</v>
      </c>
    </row>
    <row r="289" spans="1:7">
      <c r="A289" s="317" t="s">
        <v>318</v>
      </c>
      <c r="B289" s="306" t="s">
        <v>2505</v>
      </c>
      <c r="C289" s="307">
        <v>0.14299999999999999</v>
      </c>
      <c r="D289" s="307">
        <v>0.14299999999999999</v>
      </c>
      <c r="E289" s="307">
        <v>0.14799999999999999</v>
      </c>
      <c r="F289" s="307">
        <v>0.14399999999999999</v>
      </c>
      <c r="G289" s="308">
        <v>0.14399999999999999</v>
      </c>
    </row>
    <row r="290" spans="1:7">
      <c r="A290" s="317" t="s">
        <v>318</v>
      </c>
      <c r="B290" s="306" t="s">
        <v>2506</v>
      </c>
      <c r="C290" s="307">
        <v>0.14799999999999999</v>
      </c>
      <c r="D290" s="307">
        <v>0.14899999999999999</v>
      </c>
      <c r="E290" s="307">
        <v>0.15</v>
      </c>
      <c r="F290" s="307">
        <v>0.127</v>
      </c>
      <c r="G290" s="308">
        <v>0.15</v>
      </c>
    </row>
    <row r="291" spans="1:7">
      <c r="A291" s="317" t="s">
        <v>318</v>
      </c>
      <c r="B291" s="306" t="s">
        <v>2507</v>
      </c>
      <c r="C291" s="307">
        <v>0.15</v>
      </c>
      <c r="D291" s="307">
        <v>0.15</v>
      </c>
      <c r="E291" s="307">
        <v>0.15</v>
      </c>
      <c r="F291" s="307">
        <v>0.14899999999999999</v>
      </c>
      <c r="G291" s="308">
        <v>0.15</v>
      </c>
    </row>
    <row r="292" spans="1:7">
      <c r="A292" s="317" t="s">
        <v>318</v>
      </c>
      <c r="B292" s="306" t="s">
        <v>2508</v>
      </c>
      <c r="C292" s="307">
        <v>0.15</v>
      </c>
      <c r="D292" s="307">
        <v>0.15</v>
      </c>
      <c r="E292" s="307">
        <v>0.15</v>
      </c>
      <c r="F292" s="307">
        <v>0.14399999999999999</v>
      </c>
      <c r="G292" s="308">
        <v>0.15</v>
      </c>
    </row>
    <row r="293" spans="1:7">
      <c r="A293" s="317" t="s">
        <v>318</v>
      </c>
      <c r="B293" s="306" t="s">
        <v>2509</v>
      </c>
      <c r="C293" s="307">
        <v>0.15</v>
      </c>
      <c r="D293" s="307">
        <v>0.15</v>
      </c>
      <c r="E293" s="307">
        <v>0.15</v>
      </c>
      <c r="F293" s="307">
        <v>0.14499999999999999</v>
      </c>
      <c r="G293" s="308">
        <v>0.15</v>
      </c>
    </row>
    <row r="294" spans="1:7">
      <c r="A294" s="317" t="s">
        <v>318</v>
      </c>
      <c r="B294" s="306" t="s">
        <v>2510</v>
      </c>
      <c r="C294" s="307">
        <v>0.15</v>
      </c>
      <c r="D294" s="307">
        <v>0.15</v>
      </c>
      <c r="E294" s="307">
        <v>0.15</v>
      </c>
      <c r="F294" s="307">
        <v>0.14899999999999999</v>
      </c>
      <c r="G294" s="308">
        <v>0.15</v>
      </c>
    </row>
    <row r="295" spans="1:7">
      <c r="A295" s="317" t="s">
        <v>318</v>
      </c>
      <c r="B295" s="306" t="s">
        <v>2511</v>
      </c>
      <c r="C295" s="307">
        <v>0.15</v>
      </c>
      <c r="D295" s="307">
        <v>0.15</v>
      </c>
      <c r="E295" s="307">
        <v>0.15</v>
      </c>
      <c r="F295" s="307">
        <v>0.14799999999999999</v>
      </c>
      <c r="G295" s="308">
        <v>0.15</v>
      </c>
    </row>
    <row r="296" spans="1:7">
      <c r="A296" s="317" t="s">
        <v>318</v>
      </c>
      <c r="B296" s="306" t="s">
        <v>2512</v>
      </c>
      <c r="C296" s="307">
        <v>0.15</v>
      </c>
      <c r="D296" s="307">
        <v>0.15</v>
      </c>
      <c r="E296" s="307">
        <v>0.15</v>
      </c>
      <c r="F296" s="307">
        <v>0.14399999999999999</v>
      </c>
      <c r="G296" s="308">
        <v>0.15</v>
      </c>
    </row>
    <row r="297" spans="1:7">
      <c r="A297" s="317" t="s">
        <v>318</v>
      </c>
      <c r="B297" s="306" t="s">
        <v>2513</v>
      </c>
      <c r="C297" s="307">
        <v>0.15</v>
      </c>
      <c r="D297" s="307">
        <v>0.15</v>
      </c>
      <c r="E297" s="307">
        <v>0.15</v>
      </c>
      <c r="F297" s="307">
        <v>0.14499999999999999</v>
      </c>
      <c r="G297" s="308">
        <v>0.15</v>
      </c>
    </row>
    <row r="298" spans="1:7">
      <c r="A298" s="317" t="s">
        <v>318</v>
      </c>
      <c r="B298" s="306" t="s">
        <v>2514</v>
      </c>
      <c r="C298" s="307">
        <v>0.15</v>
      </c>
      <c r="D298" s="307">
        <v>0.15</v>
      </c>
      <c r="E298" s="307">
        <v>0.15</v>
      </c>
      <c r="F298" s="307">
        <v>0.15</v>
      </c>
      <c r="G298" s="308">
        <v>0.15</v>
      </c>
    </row>
    <row r="299" spans="1:7">
      <c r="A299" s="317" t="s">
        <v>318</v>
      </c>
      <c r="B299" s="326" t="s">
        <v>2515</v>
      </c>
      <c r="C299" s="307">
        <v>0.15</v>
      </c>
      <c r="D299" s="307">
        <v>0.15</v>
      </c>
      <c r="E299" s="307">
        <v>0.15</v>
      </c>
      <c r="F299" s="307">
        <v>0.14499999999999999</v>
      </c>
      <c r="G299" s="308">
        <v>0.15</v>
      </c>
    </row>
    <row r="300" spans="1:7">
      <c r="A300" s="317" t="s">
        <v>318</v>
      </c>
      <c r="B300" s="326" t="s">
        <v>2516</v>
      </c>
      <c r="C300" s="307">
        <v>0.15</v>
      </c>
      <c r="D300" s="307">
        <v>0.15</v>
      </c>
      <c r="E300" s="307">
        <v>0.15</v>
      </c>
      <c r="F300" s="307">
        <v>0.14599999999999999</v>
      </c>
      <c r="G300" s="308">
        <v>0.15</v>
      </c>
    </row>
    <row r="301" spans="1:7">
      <c r="A301" s="317" t="s">
        <v>318</v>
      </c>
      <c r="B301" s="326" t="s">
        <v>2517</v>
      </c>
      <c r="C301" s="307">
        <v>0.126</v>
      </c>
      <c r="D301" s="307">
        <v>0.124</v>
      </c>
      <c r="E301" s="307">
        <v>0.14099999999999999</v>
      </c>
      <c r="F301" s="307">
        <v>0.14399999999999999</v>
      </c>
      <c r="G301" s="308">
        <v>0.13</v>
      </c>
    </row>
    <row r="302" spans="1:7">
      <c r="A302" s="317" t="s">
        <v>318</v>
      </c>
      <c r="B302" s="306" t="s">
        <v>2518</v>
      </c>
      <c r="C302" s="307">
        <v>0.15</v>
      </c>
      <c r="D302" s="307">
        <v>0.15</v>
      </c>
      <c r="E302" s="307">
        <v>0.15</v>
      </c>
      <c r="F302" s="307">
        <v>0.14699999999999999</v>
      </c>
      <c r="G302" s="308">
        <v>0.15</v>
      </c>
    </row>
    <row r="303" spans="1:7">
      <c r="A303" s="317" t="s">
        <v>318</v>
      </c>
      <c r="B303" s="306" t="s">
        <v>2519</v>
      </c>
      <c r="C303" s="307">
        <v>0.15</v>
      </c>
      <c r="D303" s="307">
        <v>0.15</v>
      </c>
      <c r="E303" s="307">
        <v>0.15</v>
      </c>
      <c r="F303" s="307">
        <v>0.14199999999999999</v>
      </c>
      <c r="G303" s="308">
        <v>0.15</v>
      </c>
    </row>
    <row r="304" spans="1:7">
      <c r="A304" s="317" t="s">
        <v>318</v>
      </c>
      <c r="B304" s="306" t="s">
        <v>2520</v>
      </c>
      <c r="C304" s="307">
        <v>0.15</v>
      </c>
      <c r="D304" s="307">
        <v>0.15</v>
      </c>
      <c r="E304" s="307">
        <v>0.15</v>
      </c>
      <c r="F304" s="307">
        <v>0.14499999999999999</v>
      </c>
      <c r="G304" s="308">
        <v>0.15</v>
      </c>
    </row>
    <row r="305" spans="1:7">
      <c r="A305" s="317" t="s">
        <v>318</v>
      </c>
      <c r="B305" s="306" t="s">
        <v>2521</v>
      </c>
      <c r="C305" s="307">
        <v>0.15</v>
      </c>
      <c r="D305" s="307">
        <v>0.15</v>
      </c>
      <c r="E305" s="307">
        <v>0.15</v>
      </c>
      <c r="F305" s="307">
        <v>0.111</v>
      </c>
      <c r="G305" s="308">
        <v>0.15</v>
      </c>
    </row>
    <row r="306" spans="1:7">
      <c r="A306" s="317" t="s">
        <v>318</v>
      </c>
      <c r="B306" s="306" t="s">
        <v>2522</v>
      </c>
      <c r="C306" s="307">
        <v>0.15</v>
      </c>
      <c r="D306" s="307">
        <v>0.15</v>
      </c>
      <c r="E306" s="307">
        <v>0.15</v>
      </c>
      <c r="F306" s="307">
        <v>0.126</v>
      </c>
      <c r="G306" s="308">
        <v>0.15</v>
      </c>
    </row>
    <row r="307" spans="1:7">
      <c r="A307" s="317" t="s">
        <v>318</v>
      </c>
      <c r="B307" s="306" t="s">
        <v>2523</v>
      </c>
      <c r="C307" s="307">
        <v>0.15</v>
      </c>
      <c r="D307" s="307">
        <v>0.15</v>
      </c>
      <c r="E307" s="307">
        <v>0.15</v>
      </c>
      <c r="F307" s="307">
        <v>0.12</v>
      </c>
      <c r="G307" s="308">
        <v>0.15</v>
      </c>
    </row>
    <row r="308" spans="1:7">
      <c r="A308" s="317" t="s">
        <v>318</v>
      </c>
      <c r="B308" s="306" t="s">
        <v>2524</v>
      </c>
      <c r="C308" s="307">
        <v>0.15</v>
      </c>
      <c r="D308" s="307">
        <v>0.15</v>
      </c>
      <c r="E308" s="307">
        <v>0.15</v>
      </c>
      <c r="F308" s="307">
        <v>0.13</v>
      </c>
      <c r="G308" s="308">
        <v>0.15</v>
      </c>
    </row>
    <row r="309" spans="1:7">
      <c r="A309" s="317" t="s">
        <v>318</v>
      </c>
      <c r="B309" s="306" t="s">
        <v>2525</v>
      </c>
      <c r="C309" s="307">
        <v>0.15</v>
      </c>
      <c r="D309" s="307">
        <v>0.15</v>
      </c>
      <c r="E309" s="307">
        <v>0.15</v>
      </c>
      <c r="F309" s="307">
        <v>0.14099999999999999</v>
      </c>
      <c r="G309" s="308">
        <v>0.15</v>
      </c>
    </row>
    <row r="310" spans="1:7">
      <c r="A310" s="317" t="s">
        <v>318</v>
      </c>
      <c r="B310" s="306" t="s">
        <v>2526</v>
      </c>
      <c r="C310" s="307">
        <v>0.15</v>
      </c>
      <c r="D310" s="307">
        <v>0.15</v>
      </c>
      <c r="E310" s="307">
        <v>0.15</v>
      </c>
      <c r="F310" s="307">
        <v>0.15</v>
      </c>
      <c r="G310" s="308">
        <v>0.15</v>
      </c>
    </row>
    <row r="311" spans="1:7">
      <c r="A311" s="317" t="s">
        <v>318</v>
      </c>
      <c r="B311" s="306" t="s">
        <v>2527</v>
      </c>
      <c r="C311" s="307">
        <v>0.13200000000000001</v>
      </c>
      <c r="D311" s="307">
        <v>0.13300000000000001</v>
      </c>
      <c r="E311" s="307">
        <v>0.14499999999999999</v>
      </c>
      <c r="F311" s="307">
        <v>0.14199999999999999</v>
      </c>
      <c r="G311" s="308">
        <v>0.14000000000000001</v>
      </c>
    </row>
    <row r="312" spans="1:7">
      <c r="A312" s="317" t="s">
        <v>318</v>
      </c>
      <c r="B312" s="306" t="s">
        <v>2528</v>
      </c>
      <c r="C312" s="307">
        <v>0.13800000000000001</v>
      </c>
      <c r="D312" s="307">
        <v>0.14000000000000001</v>
      </c>
      <c r="E312" s="307">
        <v>0.14599999999999999</v>
      </c>
      <c r="F312" s="307">
        <v>0.14899999999999999</v>
      </c>
      <c r="G312" s="308">
        <v>0.14199999999999999</v>
      </c>
    </row>
    <row r="313" spans="1:7">
      <c r="A313" s="317" t="s">
        <v>318</v>
      </c>
      <c r="B313" s="306" t="s">
        <v>2529</v>
      </c>
      <c r="C313" s="307">
        <v>0.125</v>
      </c>
      <c r="D313" s="307">
        <v>0.127</v>
      </c>
      <c r="E313" s="307">
        <v>0.14399999999999999</v>
      </c>
      <c r="F313" s="307">
        <v>0.115</v>
      </c>
      <c r="G313" s="308">
        <v>0.13600000000000001</v>
      </c>
    </row>
    <row r="314" spans="1:7">
      <c r="A314" s="317" t="s">
        <v>318</v>
      </c>
      <c r="B314" s="306" t="s">
        <v>2530</v>
      </c>
      <c r="C314" s="323"/>
      <c r="D314" s="323"/>
      <c r="E314" s="323"/>
      <c r="F314" s="307">
        <v>0.05</v>
      </c>
      <c r="G314" s="324"/>
    </row>
    <row r="315" spans="1:7">
      <c r="A315" s="317" t="s">
        <v>318</v>
      </c>
      <c r="B315" s="306" t="s">
        <v>2531</v>
      </c>
      <c r="C315" s="323"/>
      <c r="D315" s="323"/>
      <c r="E315" s="323"/>
      <c r="F315" s="307">
        <v>0.05</v>
      </c>
      <c r="G315" s="324"/>
    </row>
    <row r="316" spans="1:7">
      <c r="A316" s="317" t="s">
        <v>318</v>
      </c>
      <c r="B316" s="306" t="s">
        <v>2532</v>
      </c>
      <c r="C316" s="318"/>
      <c r="D316" s="318"/>
      <c r="E316" s="318"/>
      <c r="F316" s="307">
        <v>0.05</v>
      </c>
      <c r="G316" s="324"/>
    </row>
    <row r="317" spans="1:7">
      <c r="A317" s="317" t="s">
        <v>318</v>
      </c>
      <c r="B317" s="306" t="s">
        <v>2533</v>
      </c>
      <c r="C317" s="318"/>
      <c r="D317" s="318"/>
      <c r="E317" s="318"/>
      <c r="F317" s="307">
        <v>0.05</v>
      </c>
      <c r="G317" s="324"/>
    </row>
    <row r="318" spans="1:7">
      <c r="A318" s="317" t="s">
        <v>318</v>
      </c>
      <c r="B318" s="306" t="s">
        <v>2534</v>
      </c>
      <c r="C318" s="318"/>
      <c r="D318" s="318"/>
      <c r="E318" s="318"/>
      <c r="F318" s="307">
        <v>0.05</v>
      </c>
      <c r="G318" s="324"/>
    </row>
    <row r="319" spans="1:7">
      <c r="A319" s="317" t="s">
        <v>318</v>
      </c>
      <c r="B319" s="306" t="s">
        <v>2535</v>
      </c>
      <c r="C319" s="318"/>
      <c r="D319" s="318"/>
      <c r="E319" s="318"/>
      <c r="F319" s="307">
        <v>0.05</v>
      </c>
      <c r="G319" s="324"/>
    </row>
    <row r="320" spans="1:7">
      <c r="A320" s="317" t="s">
        <v>318</v>
      </c>
      <c r="B320" s="306" t="s">
        <v>2536</v>
      </c>
      <c r="C320" s="318"/>
      <c r="D320" s="318"/>
      <c r="E320" s="318"/>
      <c r="F320" s="307">
        <v>0.05</v>
      </c>
      <c r="G320" s="324"/>
    </row>
    <row r="321" spans="1:7">
      <c r="A321" s="317" t="s">
        <v>318</v>
      </c>
      <c r="B321" s="306" t="s">
        <v>2537</v>
      </c>
      <c r="C321" s="318"/>
      <c r="D321" s="318"/>
      <c r="E321" s="318"/>
      <c r="F321" s="307">
        <v>0.05</v>
      </c>
      <c r="G321" s="324"/>
    </row>
    <row r="322" spans="1:7">
      <c r="A322" s="317" t="s">
        <v>318</v>
      </c>
      <c r="B322" s="306" t="s">
        <v>2538</v>
      </c>
      <c r="C322" s="318"/>
      <c r="D322" s="318"/>
      <c r="E322" s="318"/>
      <c r="F322" s="307">
        <v>0.05</v>
      </c>
      <c r="G322" s="324"/>
    </row>
    <row r="323" spans="1:7">
      <c r="A323" s="317" t="s">
        <v>318</v>
      </c>
      <c r="B323" s="306" t="s">
        <v>2539</v>
      </c>
      <c r="C323" s="318"/>
      <c r="D323" s="318"/>
      <c r="E323" s="318"/>
      <c r="F323" s="307">
        <v>0.05</v>
      </c>
      <c r="G323" s="324"/>
    </row>
    <row r="324" spans="1:7">
      <c r="A324" s="317" t="s">
        <v>318</v>
      </c>
      <c r="B324" s="306" t="s">
        <v>2540</v>
      </c>
      <c r="C324" s="318"/>
      <c r="D324" s="318"/>
      <c r="E324" s="318"/>
      <c r="F324" s="307">
        <v>0.05</v>
      </c>
      <c r="G324" s="324"/>
    </row>
    <row r="325" spans="1:7">
      <c r="A325" s="317" t="s">
        <v>318</v>
      </c>
      <c r="B325" s="306" t="s">
        <v>2541</v>
      </c>
      <c r="C325" s="318"/>
      <c r="D325" s="318"/>
      <c r="E325" s="318"/>
      <c r="F325" s="307">
        <v>0.05</v>
      </c>
      <c r="G325" s="324"/>
    </row>
    <row r="326" spans="1:7">
      <c r="A326" s="320" t="s">
        <v>318</v>
      </c>
      <c r="B326" s="310" t="s">
        <v>2542</v>
      </c>
      <c r="C326" s="312"/>
      <c r="D326" s="312"/>
      <c r="E326" s="312"/>
      <c r="F326" s="311">
        <v>0.05</v>
      </c>
      <c r="G326" s="325"/>
    </row>
    <row r="327" spans="1:7">
      <c r="A327" s="316" t="s">
        <v>324</v>
      </c>
      <c r="B327" s="302" t="s">
        <v>2543</v>
      </c>
      <c r="C327" s="303">
        <v>0.15</v>
      </c>
      <c r="D327" s="303">
        <v>0.15</v>
      </c>
      <c r="E327" s="303">
        <v>0.15</v>
      </c>
      <c r="F327" s="303">
        <v>0.15</v>
      </c>
      <c r="G327" s="304">
        <v>0.15</v>
      </c>
    </row>
    <row r="328" spans="1:7">
      <c r="A328" s="317" t="s">
        <v>324</v>
      </c>
      <c r="B328" s="306" t="s">
        <v>2544</v>
      </c>
      <c r="C328" s="307">
        <v>0.15</v>
      </c>
      <c r="D328" s="307">
        <v>0.15</v>
      </c>
      <c r="E328" s="307">
        <v>0.15</v>
      </c>
      <c r="F328" s="307">
        <v>0.126</v>
      </c>
      <c r="G328" s="308">
        <v>0.15</v>
      </c>
    </row>
    <row r="329" spans="1:7">
      <c r="A329" s="317" t="s">
        <v>324</v>
      </c>
      <c r="B329" s="306" t="s">
        <v>2545</v>
      </c>
      <c r="C329" s="307">
        <v>0.15</v>
      </c>
      <c r="D329" s="307">
        <v>0.15</v>
      </c>
      <c r="E329" s="307">
        <v>0.15</v>
      </c>
      <c r="F329" s="307">
        <v>0.15</v>
      </c>
      <c r="G329" s="308">
        <v>0.15</v>
      </c>
    </row>
    <row r="330" spans="1:7">
      <c r="A330" s="317" t="s">
        <v>324</v>
      </c>
      <c r="B330" s="306" t="s">
        <v>2546</v>
      </c>
      <c r="C330" s="307">
        <v>0.15</v>
      </c>
      <c r="D330" s="307">
        <v>0.15</v>
      </c>
      <c r="E330" s="307">
        <v>0.15</v>
      </c>
      <c r="F330" s="307">
        <v>0.15</v>
      </c>
      <c r="G330" s="308">
        <v>0.15</v>
      </c>
    </row>
    <row r="331" spans="1:7">
      <c r="A331" s="317" t="s">
        <v>324</v>
      </c>
      <c r="B331" s="306" t="s">
        <v>2547</v>
      </c>
      <c r="C331" s="307">
        <v>0.15</v>
      </c>
      <c r="D331" s="307">
        <v>0.15</v>
      </c>
      <c r="E331" s="307">
        <v>0.15</v>
      </c>
      <c r="F331" s="307">
        <v>0.15</v>
      </c>
      <c r="G331" s="308">
        <v>0.15</v>
      </c>
    </row>
    <row r="332" spans="1:7">
      <c r="A332" s="317" t="s">
        <v>324</v>
      </c>
      <c r="B332" s="306" t="s">
        <v>2548</v>
      </c>
      <c r="C332" s="307">
        <v>0.15</v>
      </c>
      <c r="D332" s="307">
        <v>0.15</v>
      </c>
      <c r="E332" s="307">
        <v>0.15</v>
      </c>
      <c r="F332" s="307">
        <v>0.15</v>
      </c>
      <c r="G332" s="308">
        <v>0.15</v>
      </c>
    </row>
    <row r="333" spans="1:7">
      <c r="A333" s="317" t="s">
        <v>324</v>
      </c>
      <c r="B333" s="306" t="s">
        <v>2549</v>
      </c>
      <c r="C333" s="307">
        <v>0.14899999999999999</v>
      </c>
      <c r="D333" s="307">
        <v>0.14899999999999999</v>
      </c>
      <c r="E333" s="307">
        <v>0.15</v>
      </c>
      <c r="F333" s="307">
        <v>0.11600000000000001</v>
      </c>
      <c r="G333" s="308">
        <v>0.15</v>
      </c>
    </row>
    <row r="334" spans="1:7">
      <c r="A334" s="317" t="s">
        <v>324</v>
      </c>
      <c r="B334" s="306" t="s">
        <v>2550</v>
      </c>
      <c r="C334" s="307">
        <v>0.15</v>
      </c>
      <c r="D334" s="307">
        <v>0.15</v>
      </c>
      <c r="E334" s="307">
        <v>0.15</v>
      </c>
      <c r="F334" s="307">
        <v>0.13</v>
      </c>
      <c r="G334" s="308">
        <v>0.15</v>
      </c>
    </row>
    <row r="335" spans="1:7">
      <c r="A335" s="317" t="s">
        <v>324</v>
      </c>
      <c r="B335" s="306" t="s">
        <v>2551</v>
      </c>
      <c r="C335" s="307">
        <v>0.15</v>
      </c>
      <c r="D335" s="307">
        <v>0.15</v>
      </c>
      <c r="E335" s="307">
        <v>0.15</v>
      </c>
      <c r="F335" s="307">
        <v>0.14399999999999999</v>
      </c>
      <c r="G335" s="308">
        <v>0.15</v>
      </c>
    </row>
    <row r="336" spans="1:7">
      <c r="A336" s="317" t="s">
        <v>324</v>
      </c>
      <c r="B336" s="306" t="s">
        <v>2552</v>
      </c>
      <c r="C336" s="307">
        <v>0.15</v>
      </c>
      <c r="D336" s="307">
        <v>0.15</v>
      </c>
      <c r="E336" s="307">
        <v>0.15</v>
      </c>
      <c r="F336" s="307">
        <v>0.14199999999999999</v>
      </c>
      <c r="G336" s="308">
        <v>0.15</v>
      </c>
    </row>
    <row r="337" spans="1:7">
      <c r="A337" s="317" t="s">
        <v>324</v>
      </c>
      <c r="B337" s="306" t="s">
        <v>2553</v>
      </c>
      <c r="C337" s="307">
        <v>0.15</v>
      </c>
      <c r="D337" s="307">
        <v>0.15</v>
      </c>
      <c r="E337" s="307">
        <v>0.15</v>
      </c>
      <c r="F337" s="307">
        <v>0.14499999999999999</v>
      </c>
      <c r="G337" s="308">
        <v>0.15</v>
      </c>
    </row>
    <row r="338" spans="1:7">
      <c r="A338" s="317" t="s">
        <v>324</v>
      </c>
      <c r="B338" s="306" t="s">
        <v>2554</v>
      </c>
      <c r="C338" s="307">
        <v>0.15</v>
      </c>
      <c r="D338" s="307">
        <v>0.15</v>
      </c>
      <c r="E338" s="307">
        <v>0.15</v>
      </c>
      <c r="F338" s="307">
        <v>0.15</v>
      </c>
      <c r="G338" s="308">
        <v>0.15</v>
      </c>
    </row>
    <row r="339" spans="1:7">
      <c r="A339" s="317" t="s">
        <v>324</v>
      </c>
      <c r="B339" s="306" t="s">
        <v>2555</v>
      </c>
      <c r="C339" s="307">
        <v>0.15</v>
      </c>
      <c r="D339" s="307">
        <v>0.15</v>
      </c>
      <c r="E339" s="307">
        <v>0.15</v>
      </c>
      <c r="F339" s="307">
        <v>0.14699999999999999</v>
      </c>
      <c r="G339" s="308">
        <v>0.15</v>
      </c>
    </row>
    <row r="340" spans="1:7">
      <c r="A340" s="317" t="s">
        <v>324</v>
      </c>
      <c r="B340" s="306" t="s">
        <v>2556</v>
      </c>
      <c r="C340" s="307">
        <v>0.14599999999999999</v>
      </c>
      <c r="D340" s="307">
        <v>0.14599999999999999</v>
      </c>
      <c r="E340" s="307">
        <v>0.15</v>
      </c>
      <c r="F340" s="307">
        <v>0.14099999999999999</v>
      </c>
      <c r="G340" s="308">
        <v>0.14699999999999999</v>
      </c>
    </row>
    <row r="341" spans="1:7">
      <c r="A341" s="317" t="s">
        <v>324</v>
      </c>
      <c r="B341" s="306" t="s">
        <v>2557</v>
      </c>
      <c r="C341" s="307">
        <v>0.126</v>
      </c>
      <c r="D341" s="307">
        <v>0.124</v>
      </c>
      <c r="E341" s="307">
        <v>0.14099999999999999</v>
      </c>
      <c r="F341" s="307">
        <v>0.14399999999999999</v>
      </c>
      <c r="G341" s="308">
        <v>0.13</v>
      </c>
    </row>
    <row r="342" spans="1:7">
      <c r="A342" s="317" t="s">
        <v>324</v>
      </c>
      <c r="B342" s="306" t="s">
        <v>2558</v>
      </c>
      <c r="C342" s="307">
        <v>0.15</v>
      </c>
      <c r="D342" s="307">
        <v>0.15</v>
      </c>
      <c r="E342" s="307">
        <v>0.15</v>
      </c>
      <c r="F342" s="307">
        <v>0.14399999999999999</v>
      </c>
      <c r="G342" s="308">
        <v>0.15</v>
      </c>
    </row>
    <row r="343" spans="1:7">
      <c r="A343" s="317" t="s">
        <v>324</v>
      </c>
      <c r="B343" s="306" t="s">
        <v>2559</v>
      </c>
      <c r="C343" s="307">
        <v>0.15</v>
      </c>
      <c r="D343" s="307">
        <v>0.15</v>
      </c>
      <c r="E343" s="307">
        <v>0.15</v>
      </c>
      <c r="F343" s="307">
        <v>0.128</v>
      </c>
      <c r="G343" s="308">
        <v>0.15</v>
      </c>
    </row>
    <row r="344" spans="1:7">
      <c r="A344" s="317" t="s">
        <v>324</v>
      </c>
      <c r="B344" s="306" t="s">
        <v>2560</v>
      </c>
      <c r="C344" s="307">
        <v>0.15</v>
      </c>
      <c r="D344" s="307">
        <v>0.15</v>
      </c>
      <c r="E344" s="307">
        <v>0.15</v>
      </c>
      <c r="F344" s="307">
        <v>0.14799999999999999</v>
      </c>
      <c r="G344" s="308">
        <v>0.15</v>
      </c>
    </row>
    <row r="345" spans="1:7">
      <c r="A345" s="317" t="s">
        <v>324</v>
      </c>
      <c r="B345" s="306" t="s">
        <v>2561</v>
      </c>
      <c r="C345" s="307">
        <v>0.15</v>
      </c>
      <c r="D345" s="307">
        <v>0.15</v>
      </c>
      <c r="E345" s="307">
        <v>0.15</v>
      </c>
      <c r="F345" s="307">
        <v>0.13800000000000001</v>
      </c>
      <c r="G345" s="308">
        <v>0.15</v>
      </c>
    </row>
    <row r="346" spans="1:7">
      <c r="A346" s="317" t="s">
        <v>324</v>
      </c>
      <c r="B346" s="306" t="s">
        <v>2562</v>
      </c>
      <c r="C346" s="307">
        <v>0.15</v>
      </c>
      <c r="D346" s="307">
        <v>0.15</v>
      </c>
      <c r="E346" s="307">
        <v>0.15</v>
      </c>
      <c r="F346" s="307">
        <v>0.14399999999999999</v>
      </c>
      <c r="G346" s="308">
        <v>0.15</v>
      </c>
    </row>
    <row r="347" spans="1:7">
      <c r="A347" s="317" t="s">
        <v>324</v>
      </c>
      <c r="B347" s="306" t="s">
        <v>2563</v>
      </c>
      <c r="C347" s="307">
        <v>0.15</v>
      </c>
      <c r="D347" s="307">
        <v>0.15</v>
      </c>
      <c r="E347" s="307">
        <v>0.15</v>
      </c>
      <c r="F347" s="307">
        <v>0.14599999999999999</v>
      </c>
      <c r="G347" s="308">
        <v>0.15</v>
      </c>
    </row>
    <row r="348" spans="1:7">
      <c r="A348" s="317" t="s">
        <v>324</v>
      </c>
      <c r="B348" s="306" t="s">
        <v>2564</v>
      </c>
      <c r="C348" s="307">
        <v>0.15</v>
      </c>
      <c r="D348" s="307">
        <v>0.15</v>
      </c>
      <c r="E348" s="307">
        <v>0.15</v>
      </c>
      <c r="F348" s="307">
        <v>0.14399999999999999</v>
      </c>
      <c r="G348" s="308">
        <v>0.15</v>
      </c>
    </row>
    <row r="349" spans="1:7">
      <c r="A349" s="317" t="s">
        <v>324</v>
      </c>
      <c r="B349" s="306" t="s">
        <v>2565</v>
      </c>
      <c r="C349" s="307">
        <v>0.15</v>
      </c>
      <c r="D349" s="307">
        <v>0.15</v>
      </c>
      <c r="E349" s="307">
        <v>0.15</v>
      </c>
      <c r="F349" s="307">
        <v>0.15</v>
      </c>
      <c r="G349" s="308">
        <v>0.15</v>
      </c>
    </row>
    <row r="350" spans="1:7">
      <c r="A350" s="317" t="s">
        <v>324</v>
      </c>
      <c r="B350" s="306" t="s">
        <v>2566</v>
      </c>
      <c r="C350" s="307">
        <v>0.15</v>
      </c>
      <c r="D350" s="307">
        <v>0.15</v>
      </c>
      <c r="E350" s="307">
        <v>0.15</v>
      </c>
      <c r="F350" s="307">
        <v>0.14699999999999999</v>
      </c>
      <c r="G350" s="308">
        <v>0.15</v>
      </c>
    </row>
    <row r="351" spans="1:7">
      <c r="A351" s="317" t="s">
        <v>324</v>
      </c>
      <c r="B351" s="306" t="s">
        <v>2567</v>
      </c>
      <c r="C351" s="307">
        <v>0.15</v>
      </c>
      <c r="D351" s="307">
        <v>0.15</v>
      </c>
      <c r="E351" s="307">
        <v>0.15</v>
      </c>
      <c r="F351" s="307">
        <v>0.13</v>
      </c>
      <c r="G351" s="308">
        <v>0.15</v>
      </c>
    </row>
    <row r="352" spans="1:7">
      <c r="A352" s="317" t="s">
        <v>324</v>
      </c>
      <c r="B352" s="306" t="s">
        <v>2568</v>
      </c>
      <c r="C352" s="307">
        <v>0.15</v>
      </c>
      <c r="D352" s="307">
        <v>0.15</v>
      </c>
      <c r="E352" s="307">
        <v>0.15</v>
      </c>
      <c r="F352" s="307">
        <v>0.14599999999999999</v>
      </c>
      <c r="G352" s="308">
        <v>0.15</v>
      </c>
    </row>
    <row r="353" spans="1:7">
      <c r="A353" s="317" t="s">
        <v>324</v>
      </c>
      <c r="B353" s="306" t="s">
        <v>2569</v>
      </c>
      <c r="C353" s="307">
        <v>0.15</v>
      </c>
      <c r="D353" s="307">
        <v>0.15</v>
      </c>
      <c r="E353" s="307">
        <v>0.15</v>
      </c>
      <c r="F353" s="307">
        <v>0.14499999999999999</v>
      </c>
      <c r="G353" s="308">
        <v>0.15</v>
      </c>
    </row>
    <row r="354" spans="1:7">
      <c r="A354" s="317" t="s">
        <v>324</v>
      </c>
      <c r="B354" s="306" t="s">
        <v>2570</v>
      </c>
      <c r="C354" s="307">
        <v>0.15</v>
      </c>
      <c r="D354" s="307">
        <v>0.15</v>
      </c>
      <c r="E354" s="307">
        <v>0.15</v>
      </c>
      <c r="F354" s="307">
        <v>0.14099999999999999</v>
      </c>
      <c r="G354" s="308">
        <v>0.15</v>
      </c>
    </row>
    <row r="355" spans="1:7">
      <c r="A355" s="317" t="s">
        <v>324</v>
      </c>
      <c r="B355" s="306" t="s">
        <v>2571</v>
      </c>
      <c r="C355" s="307">
        <v>0.15</v>
      </c>
      <c r="D355" s="307">
        <v>0.15</v>
      </c>
      <c r="E355" s="307">
        <v>0.15</v>
      </c>
      <c r="F355" s="307">
        <v>0.15</v>
      </c>
      <c r="G355" s="308">
        <v>0.15</v>
      </c>
    </row>
    <row r="356" spans="1:7">
      <c r="A356" s="317" t="s">
        <v>324</v>
      </c>
      <c r="B356" s="306" t="s">
        <v>2572</v>
      </c>
      <c r="C356" s="307">
        <v>0.15</v>
      </c>
      <c r="D356" s="307">
        <v>0.15</v>
      </c>
      <c r="E356" s="307">
        <v>0.15</v>
      </c>
      <c r="F356" s="307">
        <v>0.15</v>
      </c>
      <c r="G356" s="308">
        <v>0.15</v>
      </c>
    </row>
    <row r="357" spans="1:7">
      <c r="A357" s="320" t="s">
        <v>324</v>
      </c>
      <c r="B357" s="310" t="s">
        <v>2573</v>
      </c>
      <c r="C357" s="311">
        <v>0.126</v>
      </c>
      <c r="D357" s="311">
        <v>0.127</v>
      </c>
      <c r="E357" s="311">
        <v>0.14299999999999999</v>
      </c>
      <c r="F357" s="311">
        <v>0.125</v>
      </c>
      <c r="G357" s="313">
        <v>0.129</v>
      </c>
    </row>
    <row r="358" spans="1:7">
      <c r="A358" s="316" t="s">
        <v>330</v>
      </c>
      <c r="B358" s="302" t="s">
        <v>2574</v>
      </c>
      <c r="C358" s="303">
        <v>0.15</v>
      </c>
      <c r="D358" s="303">
        <v>0.15</v>
      </c>
      <c r="E358" s="303">
        <v>0.15</v>
      </c>
      <c r="F358" s="303">
        <v>0.15</v>
      </c>
      <c r="G358" s="304">
        <v>0.15</v>
      </c>
    </row>
    <row r="359" spans="1:7">
      <c r="A359" s="317" t="s">
        <v>330</v>
      </c>
      <c r="B359" s="306" t="s">
        <v>2575</v>
      </c>
      <c r="C359" s="307">
        <v>0.1</v>
      </c>
      <c r="D359" s="307">
        <v>0.1</v>
      </c>
      <c r="E359" s="307">
        <v>0.1</v>
      </c>
      <c r="F359" s="307">
        <v>0.1</v>
      </c>
      <c r="G359" s="308">
        <v>0.1</v>
      </c>
    </row>
    <row r="360" spans="1:7">
      <c r="A360" s="317" t="s">
        <v>330</v>
      </c>
      <c r="B360" s="306" t="s">
        <v>2576</v>
      </c>
      <c r="C360" s="307">
        <v>0.15</v>
      </c>
      <c r="D360" s="307">
        <v>0.15</v>
      </c>
      <c r="E360" s="307">
        <v>0.15</v>
      </c>
      <c r="F360" s="307">
        <v>0.14899999999999999</v>
      </c>
      <c r="G360" s="308">
        <v>0.15</v>
      </c>
    </row>
    <row r="361" spans="1:7">
      <c r="A361" s="317" t="s">
        <v>330</v>
      </c>
      <c r="B361" s="306" t="s">
        <v>2577</v>
      </c>
      <c r="C361" s="307">
        <v>0.15</v>
      </c>
      <c r="D361" s="307">
        <v>0.15</v>
      </c>
      <c r="E361" s="307">
        <v>0.15</v>
      </c>
      <c r="F361" s="307">
        <v>0.115</v>
      </c>
      <c r="G361" s="308">
        <v>0.15</v>
      </c>
    </row>
    <row r="362" spans="1:7">
      <c r="A362" s="317" t="s">
        <v>330</v>
      </c>
      <c r="B362" s="306" t="s">
        <v>2578</v>
      </c>
      <c r="C362" s="307">
        <v>0.15</v>
      </c>
      <c r="D362" s="307">
        <v>0.15</v>
      </c>
      <c r="E362" s="307">
        <v>0.15</v>
      </c>
      <c r="F362" s="307">
        <v>0.106</v>
      </c>
      <c r="G362" s="308">
        <v>0.15</v>
      </c>
    </row>
    <row r="363" spans="1:7">
      <c r="A363" s="317" t="s">
        <v>330</v>
      </c>
      <c r="B363" s="306" t="s">
        <v>2579</v>
      </c>
      <c r="C363" s="307">
        <v>0.15</v>
      </c>
      <c r="D363" s="307">
        <v>0.15</v>
      </c>
      <c r="E363" s="307">
        <v>0.15</v>
      </c>
      <c r="F363" s="307">
        <v>0.14699999999999999</v>
      </c>
      <c r="G363" s="308">
        <v>0.15</v>
      </c>
    </row>
    <row r="364" spans="1:7">
      <c r="A364" s="317" t="s">
        <v>330</v>
      </c>
      <c r="B364" s="306" t="s">
        <v>2580</v>
      </c>
      <c r="C364" s="307">
        <v>0.15</v>
      </c>
      <c r="D364" s="307">
        <v>0.15</v>
      </c>
      <c r="E364" s="307">
        <v>0.15</v>
      </c>
      <c r="F364" s="307">
        <v>0.14799999999999999</v>
      </c>
      <c r="G364" s="308">
        <v>0.15</v>
      </c>
    </row>
    <row r="365" spans="1:7">
      <c r="A365" s="317" t="s">
        <v>330</v>
      </c>
      <c r="B365" s="306" t="s">
        <v>2581</v>
      </c>
      <c r="C365" s="307">
        <v>0.15</v>
      </c>
      <c r="D365" s="307">
        <v>0.15</v>
      </c>
      <c r="E365" s="307">
        <v>0.15</v>
      </c>
      <c r="F365" s="307">
        <v>0.15</v>
      </c>
      <c r="G365" s="308">
        <v>0.15</v>
      </c>
    </row>
    <row r="366" spans="1:7">
      <c r="A366" s="317" t="s">
        <v>330</v>
      </c>
      <c r="B366" s="306" t="s">
        <v>2582</v>
      </c>
      <c r="C366" s="307">
        <v>0.15</v>
      </c>
      <c r="D366" s="307">
        <v>0.15</v>
      </c>
      <c r="E366" s="307">
        <v>0.15</v>
      </c>
      <c r="F366" s="307">
        <v>0.15</v>
      </c>
      <c r="G366" s="308">
        <v>0.15</v>
      </c>
    </row>
    <row r="367" spans="1:7">
      <c r="A367" s="317" t="s">
        <v>330</v>
      </c>
      <c r="B367" s="306" t="s">
        <v>2583</v>
      </c>
      <c r="C367" s="307">
        <v>0.15</v>
      </c>
      <c r="D367" s="307">
        <v>0.15</v>
      </c>
      <c r="E367" s="307">
        <v>0.15</v>
      </c>
      <c r="F367" s="307">
        <v>0.14699999999999999</v>
      </c>
      <c r="G367" s="308">
        <v>0.15</v>
      </c>
    </row>
    <row r="368" spans="1:7">
      <c r="A368" s="317" t="s">
        <v>330</v>
      </c>
      <c r="B368" s="306" t="s">
        <v>2584</v>
      </c>
      <c r="C368" s="307">
        <v>0.15</v>
      </c>
      <c r="D368" s="307">
        <v>0.15</v>
      </c>
      <c r="E368" s="307">
        <v>0.15</v>
      </c>
      <c r="F368" s="307">
        <v>0.13600000000000001</v>
      </c>
      <c r="G368" s="308">
        <v>0.15</v>
      </c>
    </row>
    <row r="369" spans="1:7">
      <c r="A369" s="317" t="s">
        <v>330</v>
      </c>
      <c r="B369" s="306" t="s">
        <v>2585</v>
      </c>
      <c r="C369" s="307">
        <v>0.15</v>
      </c>
      <c r="D369" s="307">
        <v>0.15</v>
      </c>
      <c r="E369" s="307">
        <v>0.15</v>
      </c>
      <c r="F369" s="307">
        <v>0.14399999999999999</v>
      </c>
      <c r="G369" s="308">
        <v>0.15</v>
      </c>
    </row>
    <row r="370" spans="1:7">
      <c r="A370" s="317" t="s">
        <v>330</v>
      </c>
      <c r="B370" s="306" t="s">
        <v>2586</v>
      </c>
      <c r="C370" s="307">
        <v>0.15</v>
      </c>
      <c r="D370" s="307">
        <v>0.15</v>
      </c>
      <c r="E370" s="307">
        <v>0.15</v>
      </c>
      <c r="F370" s="307">
        <v>0.14599999999999999</v>
      </c>
      <c r="G370" s="308">
        <v>0.15</v>
      </c>
    </row>
    <row r="371" spans="1:7">
      <c r="A371" s="317" t="s">
        <v>330</v>
      </c>
      <c r="B371" s="306" t="s">
        <v>2587</v>
      </c>
      <c r="C371" s="307">
        <v>0.15</v>
      </c>
      <c r="D371" s="307">
        <v>0.15</v>
      </c>
      <c r="E371" s="307">
        <v>0.15</v>
      </c>
      <c r="F371" s="307">
        <v>0.12</v>
      </c>
      <c r="G371" s="308">
        <v>0.15</v>
      </c>
    </row>
    <row r="372" spans="1:7">
      <c r="A372" s="317" t="s">
        <v>330</v>
      </c>
      <c r="B372" s="306" t="s">
        <v>2588</v>
      </c>
      <c r="C372" s="307">
        <v>0.15</v>
      </c>
      <c r="D372" s="307">
        <v>0.15</v>
      </c>
      <c r="E372" s="307">
        <v>0.15</v>
      </c>
      <c r="F372" s="307">
        <v>0.14299999999999999</v>
      </c>
      <c r="G372" s="308">
        <v>0.15</v>
      </c>
    </row>
    <row r="373" spans="1:7">
      <c r="A373" s="317" t="s">
        <v>330</v>
      </c>
      <c r="B373" s="306" t="s">
        <v>2589</v>
      </c>
      <c r="C373" s="307">
        <v>0.15</v>
      </c>
      <c r="D373" s="307">
        <v>0.15</v>
      </c>
      <c r="E373" s="307">
        <v>0.15</v>
      </c>
      <c r="F373" s="307">
        <v>0.14599999999999999</v>
      </c>
      <c r="G373" s="308">
        <v>0.15</v>
      </c>
    </row>
    <row r="374" spans="1:7">
      <c r="A374" s="317" t="s">
        <v>330</v>
      </c>
      <c r="B374" s="306" t="s">
        <v>2590</v>
      </c>
      <c r="C374" s="307">
        <v>0.15</v>
      </c>
      <c r="D374" s="307">
        <v>0.15</v>
      </c>
      <c r="E374" s="307">
        <v>0.15</v>
      </c>
      <c r="F374" s="307">
        <v>0.14399999999999999</v>
      </c>
      <c r="G374" s="308">
        <v>0.15</v>
      </c>
    </row>
    <row r="375" spans="1:7">
      <c r="A375" s="317" t="s">
        <v>330</v>
      </c>
      <c r="B375" s="306" t="s">
        <v>2591</v>
      </c>
      <c r="C375" s="307">
        <v>0.15</v>
      </c>
      <c r="D375" s="307">
        <v>0.15</v>
      </c>
      <c r="E375" s="307">
        <v>0.15</v>
      </c>
      <c r="F375" s="307">
        <v>0.13</v>
      </c>
      <c r="G375" s="308">
        <v>0.15</v>
      </c>
    </row>
    <row r="376" spans="1:7">
      <c r="A376" s="317" t="s">
        <v>330</v>
      </c>
      <c r="B376" s="306" t="s">
        <v>2592</v>
      </c>
      <c r="C376" s="307">
        <v>0.15</v>
      </c>
      <c r="D376" s="307">
        <v>0.15</v>
      </c>
      <c r="E376" s="307">
        <v>0.15</v>
      </c>
      <c r="F376" s="307">
        <v>0.14199999999999999</v>
      </c>
      <c r="G376" s="308">
        <v>0.15</v>
      </c>
    </row>
    <row r="377" spans="1:7">
      <c r="A377" s="320" t="s">
        <v>330</v>
      </c>
      <c r="B377" s="310" t="s">
        <v>2593</v>
      </c>
      <c r="C377" s="311">
        <v>0.15</v>
      </c>
      <c r="D377" s="311">
        <v>0.15</v>
      </c>
      <c r="E377" s="311">
        <v>0.15</v>
      </c>
      <c r="F377" s="311">
        <v>0.14000000000000001</v>
      </c>
      <c r="G377" s="313">
        <v>0.15</v>
      </c>
    </row>
    <row r="378" spans="1:7">
      <c r="A378" s="316" t="s">
        <v>336</v>
      </c>
      <c r="B378" s="302" t="s">
        <v>2594</v>
      </c>
      <c r="C378" s="303">
        <v>0.15</v>
      </c>
      <c r="D378" s="303">
        <v>0.15</v>
      </c>
      <c r="E378" s="303">
        <v>0.15</v>
      </c>
      <c r="F378" s="303">
        <v>0.107</v>
      </c>
      <c r="G378" s="304">
        <v>0.15</v>
      </c>
    </row>
    <row r="379" spans="1:7">
      <c r="A379" s="317" t="s">
        <v>336</v>
      </c>
      <c r="B379" s="306" t="s">
        <v>2595</v>
      </c>
      <c r="C379" s="307">
        <v>0.15</v>
      </c>
      <c r="D379" s="307">
        <v>0.15</v>
      </c>
      <c r="E379" s="307">
        <v>0.15</v>
      </c>
      <c r="F379" s="307">
        <v>0.115</v>
      </c>
      <c r="G379" s="308">
        <v>0.14899999999999999</v>
      </c>
    </row>
    <row r="380" spans="1:7">
      <c r="A380" s="317" t="s">
        <v>336</v>
      </c>
      <c r="B380" s="306" t="s">
        <v>2596</v>
      </c>
      <c r="C380" s="307">
        <v>0.15</v>
      </c>
      <c r="D380" s="307">
        <v>0.15</v>
      </c>
      <c r="E380" s="307">
        <v>0.15</v>
      </c>
      <c r="F380" s="307">
        <v>0.1</v>
      </c>
      <c r="G380" s="308">
        <v>0.14799999999999999</v>
      </c>
    </row>
    <row r="381" spans="1:7">
      <c r="A381" s="317" t="s">
        <v>336</v>
      </c>
      <c r="B381" s="306" t="s">
        <v>2597</v>
      </c>
      <c r="C381" s="307">
        <v>0.15</v>
      </c>
      <c r="D381" s="307">
        <v>0.15</v>
      </c>
      <c r="E381" s="307">
        <v>0.15</v>
      </c>
      <c r="F381" s="307">
        <v>0.126</v>
      </c>
      <c r="G381" s="308">
        <v>0.15</v>
      </c>
    </row>
    <row r="382" spans="1:7">
      <c r="A382" s="317" t="s">
        <v>336</v>
      </c>
      <c r="B382" s="306" t="s">
        <v>2598</v>
      </c>
      <c r="C382" s="307">
        <v>0.15</v>
      </c>
      <c r="D382" s="307">
        <v>0.15</v>
      </c>
      <c r="E382" s="307">
        <v>0.15</v>
      </c>
      <c r="F382" s="307">
        <v>0.15</v>
      </c>
      <c r="G382" s="308">
        <v>0.15</v>
      </c>
    </row>
    <row r="383" spans="1:7">
      <c r="A383" s="317" t="s">
        <v>336</v>
      </c>
      <c r="B383" s="306" t="s">
        <v>2599</v>
      </c>
      <c r="C383" s="307">
        <v>0.15</v>
      </c>
      <c r="D383" s="307">
        <v>0.15</v>
      </c>
      <c r="E383" s="307">
        <v>0.15</v>
      </c>
      <c r="F383" s="307">
        <v>0.14699999999999999</v>
      </c>
      <c r="G383" s="308">
        <v>0.15</v>
      </c>
    </row>
    <row r="384" spans="1:7">
      <c r="A384" s="327" t="s">
        <v>336</v>
      </c>
      <c r="B384" s="328" t="s">
        <v>2600</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9"/>
  </cols>
  <sheetData>
    <row r="1" spans="1:6">
      <c r="A1" s="3487" t="s">
        <v>2601</v>
      </c>
      <c r="B1" s="3487"/>
      <c r="C1" s="3487"/>
      <c r="D1" s="3487"/>
      <c r="E1" s="3487"/>
      <c r="F1" s="3488"/>
    </row>
    <row r="2" spans="1:6">
      <c r="A2" s="290" t="s">
        <v>2602</v>
      </c>
    </row>
    <row r="3" spans="1:6">
      <c r="A3" s="290" t="s">
        <v>2603</v>
      </c>
      <c r="F3" s="291" t="s">
        <v>2604</v>
      </c>
    </row>
    <row r="4" spans="1:6">
      <c r="A4" s="292" t="s">
        <v>442</v>
      </c>
      <c r="B4" s="292" t="s">
        <v>229</v>
      </c>
      <c r="C4" s="292" t="s">
        <v>230</v>
      </c>
      <c r="D4" s="292" t="s">
        <v>2605</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45924</v>
      </c>
      <c r="B1" s="226" t="s">
        <v>2606</v>
      </c>
      <c r="C1" s="227"/>
      <c r="D1" s="227"/>
      <c r="E1" s="227"/>
      <c r="F1" s="227"/>
      <c r="G1" s="227"/>
      <c r="H1" s="227"/>
      <c r="I1" s="227"/>
      <c r="J1" s="245"/>
      <c r="K1" s="227" t="s">
        <v>2607</v>
      </c>
      <c r="L1" s="227"/>
      <c r="M1" s="227"/>
      <c r="N1" s="227"/>
      <c r="O1" s="227"/>
      <c r="P1" s="227"/>
      <c r="Q1" s="245"/>
      <c r="R1" s="3489" t="s">
        <v>2608</v>
      </c>
      <c r="S1" s="3490"/>
      <c r="T1" s="3490"/>
      <c r="U1" s="3490"/>
      <c r="V1" s="3490"/>
      <c r="W1" s="3490"/>
      <c r="X1" s="245"/>
      <c r="Y1" s="3489" t="s">
        <v>2609</v>
      </c>
      <c r="Z1" s="3490"/>
      <c r="AA1" s="3490"/>
      <c r="AB1" s="3490"/>
      <c r="AC1" s="3490"/>
      <c r="AD1" s="3490"/>
    </row>
    <row r="2" spans="1:44" s="103" customFormat="1">
      <c r="B2" s="228"/>
      <c r="C2" s="229"/>
      <c r="D2" s="112" t="s">
        <v>2610</v>
      </c>
      <c r="E2" s="113" t="s">
        <v>229</v>
      </c>
      <c r="F2" s="113" t="s">
        <v>230</v>
      </c>
      <c r="G2" s="113" t="s">
        <v>232</v>
      </c>
      <c r="H2" s="113" t="s">
        <v>233</v>
      </c>
      <c r="I2" s="113" t="s">
        <v>231</v>
      </c>
      <c r="J2" s="246"/>
      <c r="K2" s="112" t="s">
        <v>2610</v>
      </c>
      <c r="L2" s="113" t="s">
        <v>229</v>
      </c>
      <c r="M2" s="113" t="s">
        <v>230</v>
      </c>
      <c r="N2" s="113" t="s">
        <v>232</v>
      </c>
      <c r="O2" s="113" t="s">
        <v>233</v>
      </c>
      <c r="P2" s="113" t="s">
        <v>231</v>
      </c>
      <c r="Q2" s="246"/>
      <c r="R2" s="112" t="s">
        <v>2610</v>
      </c>
      <c r="S2" s="113" t="s">
        <v>229</v>
      </c>
      <c r="T2" s="113" t="s">
        <v>230</v>
      </c>
      <c r="U2" s="113" t="s">
        <v>232</v>
      </c>
      <c r="V2" s="113" t="s">
        <v>233</v>
      </c>
      <c r="W2" s="113" t="s">
        <v>231</v>
      </c>
      <c r="X2" s="246"/>
      <c r="Y2" s="112" t="s">
        <v>2610</v>
      </c>
      <c r="Z2" s="113" t="s">
        <v>229</v>
      </c>
      <c r="AA2" s="113" t="s">
        <v>230</v>
      </c>
      <c r="AB2" s="113" t="s">
        <v>232</v>
      </c>
      <c r="AC2" s="113" t="s">
        <v>233</v>
      </c>
      <c r="AD2" s="113" t="s">
        <v>231</v>
      </c>
      <c r="AF2" t="s">
        <v>2610</v>
      </c>
      <c r="AG2" t="s">
        <v>229</v>
      </c>
      <c r="AH2" t="s">
        <v>230</v>
      </c>
      <c r="AI2" t="s">
        <v>232</v>
      </c>
      <c r="AJ2" t="s">
        <v>233</v>
      </c>
      <c r="AK2" t="s">
        <v>231</v>
      </c>
      <c r="AM2" t="s">
        <v>2610</v>
      </c>
      <c r="AN2" t="s">
        <v>229</v>
      </c>
      <c r="AO2" t="s">
        <v>230</v>
      </c>
      <c r="AP2" t="s">
        <v>232</v>
      </c>
      <c r="AQ2" t="s">
        <v>233</v>
      </c>
      <c r="AR2" t="s">
        <v>231</v>
      </c>
    </row>
    <row r="3" spans="1:44" s="222" customFormat="1" ht="13.2">
      <c r="A3" s="230" t="s">
        <v>2611</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2612</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2613</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2614</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2615</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3.2">
      <c r="A9" s="122" t="s">
        <v>2616</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3.2">
      <c r="A10" s="122" t="s">
        <v>2617</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3.2">
      <c r="A11" s="237" t="s">
        <v>2618</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3.2">
      <c r="A12" s="237" t="s">
        <v>2619</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3.2">
      <c r="A13" s="237" t="s">
        <v>2620</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3.2">
      <c r="A14" s="237" t="s">
        <v>2621</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3.2">
      <c r="A15" s="237" t="s">
        <v>2622</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3.2">
      <c r="A16" s="237" t="s">
        <v>2623</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3.2">
      <c r="A17" s="237" t="s">
        <v>2624</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3.2">
      <c r="A18" s="237" t="s">
        <v>2625</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3.2">
      <c r="A19" s="237" t="s">
        <v>2626</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3.2">
      <c r="A20" s="237" t="s">
        <v>2627</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3.2">
      <c r="A21" s="237" t="s">
        <v>2628</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3.2">
      <c r="A22" s="237" t="s">
        <v>2629</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3.2">
      <c r="A23" s="237" t="s">
        <v>2630</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2631</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2632</v>
      </c>
    </row>
    <row r="27" spans="1:44">
      <c r="I27" t="s">
        <v>1574</v>
      </c>
    </row>
    <row r="29" spans="1:44" s="102" customFormat="1" ht="13.2">
      <c r="B29" s="226" t="s">
        <v>2633</v>
      </c>
      <c r="C29" s="227"/>
      <c r="D29" s="227"/>
      <c r="E29" s="227"/>
      <c r="F29" s="227"/>
      <c r="G29" s="227"/>
      <c r="H29" s="227"/>
      <c r="I29" s="227"/>
      <c r="J29" s="245"/>
      <c r="K29" s="227" t="s">
        <v>2607</v>
      </c>
      <c r="L29" s="227"/>
      <c r="M29" s="227"/>
      <c r="N29" s="227"/>
      <c r="O29" s="227"/>
      <c r="P29" s="227"/>
      <c r="Q29" s="245"/>
      <c r="R29" s="3489" t="s">
        <v>2608</v>
      </c>
      <c r="S29" s="3490"/>
      <c r="T29" s="3490"/>
      <c r="U29" s="3490"/>
      <c r="V29" s="3490"/>
      <c r="W29" s="3490"/>
      <c r="X29" s="245"/>
      <c r="Y29" s="3489" t="s">
        <v>2609</v>
      </c>
      <c r="Z29" s="3490"/>
      <c r="AA29" s="3490"/>
      <c r="AB29" s="3490"/>
      <c r="AC29" s="3490"/>
      <c r="AD29" s="3490"/>
    </row>
    <row r="30" spans="1:44" s="103" customFormat="1">
      <c r="B30" s="228"/>
      <c r="C30" s="229"/>
      <c r="D30" s="112" t="s">
        <v>2610</v>
      </c>
      <c r="E30" s="113" t="s">
        <v>229</v>
      </c>
      <c r="F30" s="113" t="s">
        <v>230</v>
      </c>
      <c r="G30" s="113" t="s">
        <v>232</v>
      </c>
      <c r="H30" s="113"/>
      <c r="I30" s="113" t="s">
        <v>231</v>
      </c>
      <c r="J30" s="246"/>
      <c r="K30" s="112" t="s">
        <v>2610</v>
      </c>
      <c r="L30" s="113" t="s">
        <v>229</v>
      </c>
      <c r="M30" s="113" t="s">
        <v>230</v>
      </c>
      <c r="N30" s="113" t="s">
        <v>232</v>
      </c>
      <c r="O30" s="113"/>
      <c r="P30" s="113" t="s">
        <v>231</v>
      </c>
      <c r="Q30" s="246"/>
      <c r="R30" s="112" t="s">
        <v>2610</v>
      </c>
      <c r="S30" s="113" t="s">
        <v>229</v>
      </c>
      <c r="T30" s="113" t="s">
        <v>230</v>
      </c>
      <c r="U30" s="113" t="s">
        <v>232</v>
      </c>
      <c r="V30" s="113"/>
      <c r="W30" s="113" t="s">
        <v>231</v>
      </c>
      <c r="X30" s="246"/>
      <c r="Y30" s="112" t="s">
        <v>2610</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2611</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2612</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3.2">
      <c r="A34" s="122" t="s">
        <v>2613</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2614</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2615</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3.2">
      <c r="A37" s="122" t="s">
        <v>2616</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3.2">
      <c r="A38" s="122" t="s">
        <v>2617</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3.2">
      <c r="A39" s="237" t="s">
        <v>2618</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3.2">
      <c r="A40" s="237" t="s">
        <v>2619</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3.2">
      <c r="A41" s="237" t="s">
        <v>2620</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3.2">
      <c r="A42" s="237" t="s">
        <v>2621</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3.2">
      <c r="A43" s="237" t="s">
        <v>2622</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3.2">
      <c r="A44" s="237" t="s">
        <v>2623</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3.2">
      <c r="A45" s="237" t="s">
        <v>2624</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3.2">
      <c r="A46" s="237" t="s">
        <v>2625</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3.2">
      <c r="A47" s="237" t="s">
        <v>2626</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3.2">
      <c r="A48" s="237" t="s">
        <v>2627</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3.2">
      <c r="A49" s="237" t="s">
        <v>2628</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3.2">
      <c r="A50" s="237" t="s">
        <v>2629</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3.2">
      <c r="A51" s="237" t="s">
        <v>2630</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2631</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2634</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3:G36"/>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499" t="s">
        <v>2635</v>
      </c>
      <c r="C1" s="3499"/>
      <c r="D1" s="3499"/>
      <c r="E1" s="3499"/>
      <c r="F1" s="3499"/>
      <c r="G1" s="3490" t="s">
        <v>2636</v>
      </c>
      <c r="H1" s="3490"/>
      <c r="I1" s="3490"/>
      <c r="J1" s="3490"/>
      <c r="K1" s="3490"/>
      <c r="L1" s="3490"/>
      <c r="N1" s="3490" t="s">
        <v>2607</v>
      </c>
      <c r="O1" s="3490"/>
      <c r="P1" s="3490"/>
      <c r="Q1" s="3490"/>
      <c r="S1" s="3490" t="s">
        <v>2637</v>
      </c>
      <c r="T1" s="3490"/>
      <c r="U1" s="3490"/>
      <c r="V1" s="3490"/>
      <c r="X1" s="3489" t="s">
        <v>2608</v>
      </c>
      <c r="Y1" s="3490"/>
      <c r="Z1" s="3490"/>
      <c r="AA1" s="3490"/>
      <c r="AB1" s="3490"/>
      <c r="AD1" s="3489" t="s">
        <v>2609</v>
      </c>
      <c r="AE1" s="3490"/>
      <c r="AF1" s="3490"/>
      <c r="AG1" s="3490"/>
      <c r="AH1" s="3490"/>
    </row>
    <row r="2" spans="1:34" s="103" customFormat="1" ht="14.4">
      <c r="B2" s="112" t="s">
        <v>471</v>
      </c>
      <c r="C2" s="112" t="s">
        <v>2638</v>
      </c>
      <c r="D2" s="113" t="s">
        <v>230</v>
      </c>
      <c r="E2" s="113" t="s">
        <v>232</v>
      </c>
      <c r="F2" s="112" t="s">
        <v>2639</v>
      </c>
      <c r="G2" s="114"/>
      <c r="I2" s="112" t="s">
        <v>471</v>
      </c>
      <c r="J2" s="113" t="s">
        <v>1935</v>
      </c>
      <c r="K2" s="113" t="s">
        <v>232</v>
      </c>
      <c r="L2" s="112" t="s">
        <v>2639</v>
      </c>
      <c r="N2" s="112" t="s">
        <v>471</v>
      </c>
      <c r="O2" s="113" t="s">
        <v>1935</v>
      </c>
      <c r="P2" s="113" t="s">
        <v>232</v>
      </c>
      <c r="Q2" s="112" t="s">
        <v>2639</v>
      </c>
      <c r="S2" s="112" t="s">
        <v>471</v>
      </c>
      <c r="T2" s="113" t="s">
        <v>1935</v>
      </c>
      <c r="U2" s="113" t="s">
        <v>232</v>
      </c>
      <c r="V2" s="112" t="s">
        <v>2639</v>
      </c>
      <c r="X2" s="112" t="s">
        <v>471</v>
      </c>
      <c r="Y2" s="112" t="s">
        <v>2638</v>
      </c>
      <c r="Z2" s="113" t="s">
        <v>230</v>
      </c>
      <c r="AA2" s="113" t="s">
        <v>232</v>
      </c>
      <c r="AB2" s="112" t="s">
        <v>2639</v>
      </c>
      <c r="AD2" s="112" t="s">
        <v>471</v>
      </c>
      <c r="AE2" s="112" t="s">
        <v>2638</v>
      </c>
      <c r="AF2" s="113" t="s">
        <v>230</v>
      </c>
      <c r="AG2" s="113" t="s">
        <v>232</v>
      </c>
      <c r="AH2" s="112" t="s">
        <v>2639</v>
      </c>
    </row>
    <row r="3" spans="1:34" s="104" customFormat="1" ht="14.4">
      <c r="A3" s="115" t="s">
        <v>2611</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2624</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2625</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2640</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2626</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2627</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2628</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2629</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2630</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2631</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2641</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2642</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2643</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2644</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2645</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2646</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2647</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2648</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2649</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2">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2650</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2"/>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2651</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2"/>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2652</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97"/>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2653</v>
      </c>
      <c r="B25" s="130">
        <v>439</v>
      </c>
      <c r="C25" s="130">
        <v>327</v>
      </c>
      <c r="D25" s="130">
        <f t="shared" si="217"/>
        <v>327</v>
      </c>
      <c r="E25" s="130">
        <v>627</v>
      </c>
      <c r="F25" s="131">
        <v>283</v>
      </c>
      <c r="G25" s="3498">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2654</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2"/>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2655</v>
      </c>
      <c r="B27" s="123">
        <f t="shared" si="232"/>
        <v>419.31181600000002</v>
      </c>
      <c r="C27" s="123">
        <f t="shared" si="233"/>
        <v>313.95436800000004</v>
      </c>
      <c r="D27" s="123">
        <f t="shared" si="234"/>
        <v>313.95436800000004</v>
      </c>
      <c r="E27" s="123">
        <f t="shared" si="235"/>
        <v>596.63028431999999</v>
      </c>
      <c r="F27" s="123">
        <f t="shared" si="236"/>
        <v>274.74220703999998</v>
      </c>
      <c r="G27" s="3492"/>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2656</v>
      </c>
      <c r="B28" s="123">
        <f t="shared" si="232"/>
        <v>405.524</v>
      </c>
      <c r="C28" s="123">
        <f t="shared" si="233"/>
        <v>307.79840000000002</v>
      </c>
      <c r="D28" s="123">
        <f t="shared" si="234"/>
        <v>307.79840000000002</v>
      </c>
      <c r="E28" s="123">
        <f t="shared" si="235"/>
        <v>574.67759999999998</v>
      </c>
      <c r="F28" s="123">
        <f t="shared" si="236"/>
        <v>270.20280000000002</v>
      </c>
      <c r="G28" s="3497"/>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2657</v>
      </c>
      <c r="B29" s="130">
        <v>392</v>
      </c>
      <c r="C29" s="130">
        <v>302</v>
      </c>
      <c r="D29" s="130">
        <f t="shared" si="234"/>
        <v>302</v>
      </c>
      <c r="E29" s="130">
        <v>553</v>
      </c>
      <c r="F29" s="131">
        <v>266</v>
      </c>
      <c r="G29" s="3498">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2658</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2"/>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2659</v>
      </c>
      <c r="B31" s="123">
        <f t="shared" si="245"/>
        <v>360.06949782209392</v>
      </c>
      <c r="C31" s="123">
        <f t="shared" si="245"/>
        <v>289.84672674747821</v>
      </c>
      <c r="D31" s="123">
        <f t="shared" si="246"/>
        <v>289.84672674747821</v>
      </c>
      <c r="E31" s="123">
        <f t="shared" si="247"/>
        <v>501.06543001181495</v>
      </c>
      <c r="F31" s="123">
        <f t="shared" si="247"/>
        <v>256.82882500744967</v>
      </c>
      <c r="G31" s="3492"/>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2660</v>
      </c>
      <c r="B32" s="123">
        <f t="shared" si="245"/>
        <v>346.720748986128</v>
      </c>
      <c r="C32" s="123">
        <f t="shared" si="245"/>
        <v>284.30282172386285</v>
      </c>
      <c r="D32" s="123">
        <f t="shared" si="246"/>
        <v>284.30282172386285</v>
      </c>
      <c r="E32" s="123">
        <f t="shared" si="247"/>
        <v>479.58023546306947</v>
      </c>
      <c r="F32" s="123">
        <f t="shared" si="247"/>
        <v>253.25788877571213</v>
      </c>
      <c r="G32" s="3493"/>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2661</v>
      </c>
      <c r="B33" s="130">
        <v>333</v>
      </c>
      <c r="C33" s="130">
        <v>277</v>
      </c>
      <c r="D33" s="130">
        <f t="shared" si="246"/>
        <v>277</v>
      </c>
      <c r="E33" s="130">
        <v>459</v>
      </c>
      <c r="F33" s="131">
        <v>249</v>
      </c>
      <c r="G33" s="3491">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2662</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2"/>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2663</v>
      </c>
      <c r="B35" s="123">
        <f t="shared" si="249"/>
        <v>322.34053690220776</v>
      </c>
      <c r="C35" s="123">
        <f t="shared" si="249"/>
        <v>271.46160770422546</v>
      </c>
      <c r="D35" s="123">
        <f t="shared" si="246"/>
        <v>271.46160770422546</v>
      </c>
      <c r="E35" s="123">
        <f t="shared" si="250"/>
        <v>442.69434542172456</v>
      </c>
      <c r="F35" s="123">
        <f t="shared" si="250"/>
        <v>241.34030753190925</v>
      </c>
      <c r="G35" s="3492"/>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2664</v>
      </c>
      <c r="B36" s="123">
        <f t="shared" si="249"/>
        <v>319.87748030386797</v>
      </c>
      <c r="C36" s="123">
        <f t="shared" si="249"/>
        <v>269.60135833173649</v>
      </c>
      <c r="D36" s="123">
        <f t="shared" si="246"/>
        <v>269.60135833173649</v>
      </c>
      <c r="E36" s="123">
        <f t="shared" si="250"/>
        <v>439.18089823583784</v>
      </c>
      <c r="F36" s="123">
        <f t="shared" si="250"/>
        <v>239.23503918706311</v>
      </c>
      <c r="G36" s="3493"/>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2665</v>
      </c>
      <c r="B37" s="135">
        <v>318</v>
      </c>
      <c r="C37" s="135">
        <v>268</v>
      </c>
      <c r="D37" s="135">
        <f t="shared" si="246"/>
        <v>268</v>
      </c>
      <c r="E37" s="135">
        <v>437</v>
      </c>
      <c r="F37" s="136">
        <v>237</v>
      </c>
      <c r="G37" s="3491">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2666</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2"/>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2667</v>
      </c>
      <c r="B39" s="123">
        <f t="shared" si="251"/>
        <v>314.72141172386546</v>
      </c>
      <c r="C39" s="123">
        <f t="shared" si="251"/>
        <v>263.03901319069001</v>
      </c>
      <c r="D39" s="123">
        <f t="shared" si="246"/>
        <v>263.03901319069001</v>
      </c>
      <c r="E39" s="123">
        <f t="shared" si="252"/>
        <v>433.65745506782821</v>
      </c>
      <c r="F39" s="123">
        <f t="shared" si="252"/>
        <v>233.23005080045735</v>
      </c>
      <c r="G39" s="3492"/>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2668</v>
      </c>
      <c r="B40" s="139">
        <f t="shared" si="251"/>
        <v>307.34512863658733</v>
      </c>
      <c r="C40" s="139">
        <f t="shared" si="251"/>
        <v>257.80556031626975</v>
      </c>
      <c r="D40" s="139">
        <f t="shared" si="246"/>
        <v>257.80556031626975</v>
      </c>
      <c r="E40" s="139">
        <f t="shared" si="252"/>
        <v>422.70928459677179</v>
      </c>
      <c r="F40" s="139">
        <f t="shared" si="252"/>
        <v>229.73803270336617</v>
      </c>
      <c r="G40" s="3493"/>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2669</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2670</v>
      </c>
      <c r="B41" s="130">
        <v>299</v>
      </c>
      <c r="C41" s="130">
        <v>252</v>
      </c>
      <c r="D41" s="130">
        <f t="shared" si="246"/>
        <v>252</v>
      </c>
      <c r="E41" s="130">
        <v>409</v>
      </c>
      <c r="F41" s="131">
        <v>227</v>
      </c>
      <c r="G41" s="3494">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2671</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5"/>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2672</v>
      </c>
      <c r="B43" s="123">
        <f t="shared" si="255"/>
        <v>288.2649053828776</v>
      </c>
      <c r="C43" s="123">
        <f t="shared" si="255"/>
        <v>243.64564425013293</v>
      </c>
      <c r="D43" s="123">
        <f t="shared" si="246"/>
        <v>243.64564425013293</v>
      </c>
      <c r="E43" s="123">
        <f t="shared" si="256"/>
        <v>393.31080825986544</v>
      </c>
      <c r="F43" s="123">
        <f t="shared" si="256"/>
        <v>223.07903790551154</v>
      </c>
      <c r="G43" s="3495"/>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2673</v>
      </c>
      <c r="B44" s="123">
        <f t="shared" si="255"/>
        <v>282.50186729015837</v>
      </c>
      <c r="C44" s="123">
        <f t="shared" si="255"/>
        <v>238.09796174155468</v>
      </c>
      <c r="D44" s="123">
        <f t="shared" si="246"/>
        <v>238.09796174155468</v>
      </c>
      <c r="E44" s="123">
        <f t="shared" si="256"/>
        <v>385.33438646014054</v>
      </c>
      <c r="F44" s="123">
        <f t="shared" si="256"/>
        <v>221.55034055567739</v>
      </c>
      <c r="G44" s="3496"/>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2674</v>
      </c>
      <c r="B45" s="142">
        <v>278</v>
      </c>
      <c r="C45" s="142">
        <v>234</v>
      </c>
      <c r="D45" s="142">
        <f t="shared" si="246"/>
        <v>234</v>
      </c>
      <c r="E45" s="142">
        <v>379</v>
      </c>
      <c r="F45" s="143">
        <v>220</v>
      </c>
      <c r="G45" s="3491">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2675</v>
      </c>
      <c r="B46" s="123">
        <f>B45/(1+N45)</f>
        <v>275.49301357645425</v>
      </c>
      <c r="C46" s="123">
        <f>C45/(1+O45)</f>
        <v>232.41954707985698</v>
      </c>
      <c r="D46" s="123">
        <f t="shared" si="246"/>
        <v>232.41954707985698</v>
      </c>
      <c r="E46" s="123">
        <f t="shared" ref="E46:F48" si="257">E45/(1+P45)</f>
        <v>375.32184591008121</v>
      </c>
      <c r="F46" s="123">
        <f t="shared" si="257"/>
        <v>218.03766105054513</v>
      </c>
      <c r="G46" s="3492"/>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2676</v>
      </c>
      <c r="B47" s="123">
        <f>B46/(1+N46)</f>
        <v>275.24529281292263</v>
      </c>
      <c r="C47" s="123">
        <f>C46/(1+O46)</f>
        <v>231.74747938962707</v>
      </c>
      <c r="D47" s="123">
        <f t="shared" si="246"/>
        <v>231.74747938962707</v>
      </c>
      <c r="E47" s="123">
        <f t="shared" si="257"/>
        <v>375.35938184826603</v>
      </c>
      <c r="F47" s="123">
        <f t="shared" si="257"/>
        <v>216.78033510692495</v>
      </c>
      <c r="G47" s="3492"/>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2677</v>
      </c>
      <c r="B48" s="123">
        <f>B47/(1+N47)</f>
        <v>275.19025476197027</v>
      </c>
      <c r="C48" s="144">
        <v>232</v>
      </c>
      <c r="D48" s="144">
        <f t="shared" si="246"/>
        <v>232</v>
      </c>
      <c r="E48" s="123">
        <f t="shared" si="257"/>
        <v>375.65990977608692</v>
      </c>
      <c r="F48" s="123">
        <f t="shared" si="257"/>
        <v>214.12518283971252</v>
      </c>
      <c r="G48" s="3493"/>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2678</v>
      </c>
      <c r="B49" s="130">
        <v>275</v>
      </c>
      <c r="C49" s="130">
        <v>232</v>
      </c>
      <c r="D49" s="130">
        <f t="shared" si="246"/>
        <v>232</v>
      </c>
      <c r="E49" s="130">
        <v>376</v>
      </c>
      <c r="F49" s="131">
        <v>213</v>
      </c>
      <c r="G49" s="3491">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2679</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2">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2680</v>
      </c>
      <c r="B51" s="123">
        <f t="shared" si="258"/>
        <v>275.19335084830601</v>
      </c>
      <c r="C51" s="123">
        <f t="shared" si="258"/>
        <v>230.18088050139744</v>
      </c>
      <c r="D51" s="123">
        <f t="shared" si="246"/>
        <v>230.18088050139744</v>
      </c>
      <c r="E51" s="123">
        <f t="shared" si="259"/>
        <v>377.58482925212331</v>
      </c>
      <c r="F51" s="123">
        <f t="shared" si="259"/>
        <v>210.90687997847917</v>
      </c>
      <c r="G51" s="3492">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2681</v>
      </c>
      <c r="B52" s="123">
        <f t="shared" si="258"/>
        <v>276.29854502841971</v>
      </c>
      <c r="C52" s="123">
        <f t="shared" si="258"/>
        <v>229.79023709833027</v>
      </c>
      <c r="D52" s="123">
        <f t="shared" si="246"/>
        <v>229.79023709833027</v>
      </c>
      <c r="E52" s="123">
        <f t="shared" si="259"/>
        <v>379.78759731655936</v>
      </c>
      <c r="F52" s="123">
        <f t="shared" si="259"/>
        <v>211.32953905659235</v>
      </c>
      <c r="G52" s="3493">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2682</v>
      </c>
      <c r="B53" s="130">
        <v>269</v>
      </c>
      <c r="C53" s="130">
        <v>221</v>
      </c>
      <c r="D53" s="130">
        <f t="shared" si="246"/>
        <v>221</v>
      </c>
      <c r="E53" s="130">
        <v>373</v>
      </c>
      <c r="F53" s="131">
        <v>196</v>
      </c>
      <c r="G53" s="3491">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2683</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2">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2684</v>
      </c>
      <c r="B55" s="123">
        <f t="shared" si="260"/>
        <v>242.95398227588385</v>
      </c>
      <c r="C55" s="123">
        <f t="shared" si="260"/>
        <v>199.59137053614126</v>
      </c>
      <c r="D55" s="123">
        <f t="shared" si="246"/>
        <v>199.59137053614126</v>
      </c>
      <c r="E55" s="123">
        <f t="shared" si="261"/>
        <v>335.92189522342125</v>
      </c>
      <c r="F55" s="123">
        <f t="shared" si="261"/>
        <v>183.10139991109489</v>
      </c>
      <c r="G55" s="3492">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2685</v>
      </c>
      <c r="B56" s="123">
        <f t="shared" si="260"/>
        <v>232.06990378821649</v>
      </c>
      <c r="C56" s="123">
        <f t="shared" si="260"/>
        <v>192.74878854286936</v>
      </c>
      <c r="D56" s="123">
        <f t="shared" si="246"/>
        <v>192.74878854286936</v>
      </c>
      <c r="E56" s="123">
        <f t="shared" si="261"/>
        <v>319.71247284992984</v>
      </c>
      <c r="F56" s="123">
        <f t="shared" si="261"/>
        <v>175.67053622862409</v>
      </c>
      <c r="G56" s="3493">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2686</v>
      </c>
      <c r="B57" s="130">
        <v>220</v>
      </c>
      <c r="C57" s="130">
        <v>187</v>
      </c>
      <c r="D57" s="130">
        <f t="shared" si="246"/>
        <v>187</v>
      </c>
      <c r="E57" s="130">
        <v>301</v>
      </c>
      <c r="F57" s="131">
        <v>168</v>
      </c>
      <c r="G57" s="3491">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2687</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2">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2688</v>
      </c>
      <c r="B59" s="123">
        <f t="shared" si="262"/>
        <v>210.630522469011</v>
      </c>
      <c r="C59" s="123">
        <f t="shared" si="262"/>
        <v>181.69567812247232</v>
      </c>
      <c r="D59" s="123">
        <f t="shared" si="246"/>
        <v>181.69567812247232</v>
      </c>
      <c r="E59" s="123">
        <f t="shared" si="263"/>
        <v>286.13517466736738</v>
      </c>
      <c r="F59" s="123">
        <f t="shared" si="263"/>
        <v>165.47535084591149</v>
      </c>
      <c r="G59" s="3492">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2689</v>
      </c>
      <c r="B60" s="123">
        <f t="shared" si="262"/>
        <v>208.83454537875372</v>
      </c>
      <c r="C60" s="123">
        <f t="shared" si="262"/>
        <v>183.77230517090351</v>
      </c>
      <c r="D60" s="123">
        <f t="shared" si="246"/>
        <v>183.77230517090351</v>
      </c>
      <c r="E60" s="123">
        <f t="shared" si="263"/>
        <v>281.10342338870947</v>
      </c>
      <c r="F60" s="123">
        <f t="shared" si="263"/>
        <v>168.97309388942256</v>
      </c>
      <c r="G60" s="3493">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2690</v>
      </c>
      <c r="B61" s="142">
        <v>214</v>
      </c>
      <c r="C61" s="142">
        <v>188</v>
      </c>
      <c r="D61" s="142">
        <f t="shared" si="246"/>
        <v>188</v>
      </c>
      <c r="E61" s="142">
        <v>289</v>
      </c>
      <c r="F61" s="143">
        <v>166</v>
      </c>
      <c r="G61" s="3491">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2691</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2">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2692</v>
      </c>
      <c r="B63" s="123">
        <f t="shared" si="264"/>
        <v>206.31694671589116</v>
      </c>
      <c r="C63" s="123">
        <f t="shared" si="264"/>
        <v>183.61041121036101</v>
      </c>
      <c r="D63" s="123">
        <f t="shared" si="246"/>
        <v>183.61041121036101</v>
      </c>
      <c r="E63" s="123">
        <f t="shared" si="265"/>
        <v>276.66850301795557</v>
      </c>
      <c r="F63" s="123">
        <f t="shared" si="265"/>
        <v>165.1360938278614</v>
      </c>
      <c r="G63" s="3492">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2693</v>
      </c>
      <c r="B64" s="145">
        <f t="shared" si="264"/>
        <v>196.62341248059772</v>
      </c>
      <c r="C64" s="145">
        <f t="shared" si="264"/>
        <v>170.99125648199012</v>
      </c>
      <c r="D64" s="145">
        <f t="shared" si="246"/>
        <v>170.99125648199012</v>
      </c>
      <c r="E64" s="145">
        <f t="shared" si="265"/>
        <v>266.07857570490052</v>
      </c>
      <c r="F64" s="145">
        <f t="shared" si="265"/>
        <v>154.53499328828505</v>
      </c>
      <c r="G64" s="3493">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2694</v>
      </c>
      <c r="B65" s="130">
        <v>188</v>
      </c>
      <c r="C65" s="130">
        <v>165</v>
      </c>
      <c r="D65" s="130">
        <f t="shared" si="246"/>
        <v>165</v>
      </c>
      <c r="E65" s="130">
        <v>254</v>
      </c>
      <c r="F65" s="131">
        <v>148</v>
      </c>
      <c r="G65" s="3491">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2695</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2">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2696</v>
      </c>
      <c r="B67" s="123">
        <f t="shared" si="268"/>
        <v>168.82017748715555</v>
      </c>
      <c r="C67" s="123">
        <f t="shared" si="268"/>
        <v>148.06267029972753</v>
      </c>
      <c r="D67" s="123">
        <f t="shared" si="246"/>
        <v>148.06267029972753</v>
      </c>
      <c r="E67" s="123">
        <f t="shared" si="269"/>
        <v>216.46288379323747</v>
      </c>
      <c r="F67" s="123">
        <f t="shared" si="269"/>
        <v>134.23529411764704</v>
      </c>
      <c r="G67" s="3492">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2697</v>
      </c>
      <c r="B68" s="123">
        <f t="shared" si="268"/>
        <v>163.84913591779542</v>
      </c>
      <c r="C68" s="123">
        <f t="shared" si="268"/>
        <v>145.0283378746594</v>
      </c>
      <c r="D68" s="123">
        <f t="shared" si="246"/>
        <v>145.0283378746594</v>
      </c>
      <c r="E68" s="123">
        <f t="shared" si="269"/>
        <v>204.95180722891567</v>
      </c>
      <c r="F68" s="123">
        <f t="shared" si="269"/>
        <v>125.95920303605313</v>
      </c>
      <c r="G68" s="3493">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2698</v>
      </c>
      <c r="B69" s="135">
        <v>159</v>
      </c>
      <c r="C69" s="135">
        <v>141</v>
      </c>
      <c r="D69" s="135">
        <f t="shared" si="246"/>
        <v>141</v>
      </c>
      <c r="E69" s="135">
        <v>195</v>
      </c>
      <c r="F69" s="136">
        <v>122</v>
      </c>
      <c r="G69" s="3491">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2699</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2">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2700</v>
      </c>
      <c r="B71" s="123">
        <f t="shared" si="272"/>
        <v>146.57412060301507</v>
      </c>
      <c r="C71" s="123">
        <f t="shared" si="272"/>
        <v>136.46831955922866</v>
      </c>
      <c r="D71" s="123">
        <f t="shared" si="246"/>
        <v>136.46831955922866</v>
      </c>
      <c r="E71" s="123">
        <f t="shared" si="273"/>
        <v>166.73864894795128</v>
      </c>
      <c r="F71" s="123">
        <f t="shared" si="273"/>
        <v>115.05882352941177</v>
      </c>
      <c r="G71" s="3492">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2701</v>
      </c>
      <c r="B72" s="123">
        <f t="shared" si="272"/>
        <v>144.04145728643215</v>
      </c>
      <c r="C72" s="123">
        <f t="shared" si="272"/>
        <v>136.12396694214877</v>
      </c>
      <c r="D72" s="123">
        <f t="shared" si="246"/>
        <v>136.12396694214877</v>
      </c>
      <c r="E72" s="123">
        <f t="shared" si="273"/>
        <v>158.32225913621264</v>
      </c>
      <c r="F72" s="123">
        <f t="shared" si="273"/>
        <v>114.04278074866311</v>
      </c>
      <c r="G72" s="3493">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2702</v>
      </c>
      <c r="B73" s="135">
        <v>138</v>
      </c>
      <c r="C73" s="135">
        <v>131</v>
      </c>
      <c r="D73" s="135">
        <f t="shared" si="246"/>
        <v>131</v>
      </c>
      <c r="E73" s="135">
        <v>155</v>
      </c>
      <c r="F73" s="136">
        <v>114</v>
      </c>
      <c r="G73" s="3491">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2703</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2">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2704</v>
      </c>
      <c r="B75" s="123">
        <f t="shared" si="276"/>
        <v>124.29032258064517</v>
      </c>
      <c r="C75" s="123">
        <f t="shared" si="276"/>
        <v>123.8968609865471</v>
      </c>
      <c r="D75" s="123">
        <f t="shared" si="246"/>
        <v>123.8968609865471</v>
      </c>
      <c r="E75" s="123">
        <f t="shared" si="277"/>
        <v>138.00507614213197</v>
      </c>
      <c r="F75" s="123">
        <f t="shared" si="277"/>
        <v>107.96106557377048</v>
      </c>
      <c r="G75" s="3492">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2705</v>
      </c>
      <c r="B76" s="123">
        <f t="shared" si="276"/>
        <v>122.57204301075269</v>
      </c>
      <c r="C76" s="123">
        <f t="shared" si="276"/>
        <v>123.4932735426009</v>
      </c>
      <c r="D76" s="123">
        <f t="shared" si="246"/>
        <v>123.4932735426009</v>
      </c>
      <c r="E76" s="123">
        <f t="shared" si="277"/>
        <v>129.82233502538071</v>
      </c>
      <c r="F76" s="123">
        <f t="shared" si="277"/>
        <v>107.39446721311475</v>
      </c>
      <c r="G76" s="3493">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2706</v>
      </c>
      <c r="B77" s="142">
        <v>121</v>
      </c>
      <c r="C77" s="142">
        <v>122</v>
      </c>
      <c r="D77" s="142">
        <f t="shared" si="246"/>
        <v>122</v>
      </c>
      <c r="E77" s="142">
        <v>124</v>
      </c>
      <c r="F77" s="143">
        <v>107</v>
      </c>
      <c r="G77" s="3491">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2707</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2">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2708</v>
      </c>
      <c r="B79" s="123">
        <f t="shared" si="280"/>
        <v>116.99099099099099</v>
      </c>
      <c r="C79" s="123">
        <f t="shared" si="280"/>
        <v>118.84848484848486</v>
      </c>
      <c r="D79" s="123">
        <f t="shared" si="246"/>
        <v>118.84848484848486</v>
      </c>
      <c r="E79" s="123">
        <f t="shared" si="281"/>
        <v>117.60960960960961</v>
      </c>
      <c r="F79" s="123">
        <f t="shared" si="281"/>
        <v>104</v>
      </c>
      <c r="G79" s="3492">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2709</v>
      </c>
      <c r="B80" s="145">
        <f t="shared" si="280"/>
        <v>112.48648648648648</v>
      </c>
      <c r="C80" s="145">
        <f t="shared" si="280"/>
        <v>115.21212121212122</v>
      </c>
      <c r="D80" s="145">
        <f t="shared" si="246"/>
        <v>115.21212121212122</v>
      </c>
      <c r="E80" s="145">
        <f t="shared" si="281"/>
        <v>110.4024024024024</v>
      </c>
      <c r="F80" s="145">
        <f t="shared" si="281"/>
        <v>104</v>
      </c>
      <c r="G80" s="3493">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2710</v>
      </c>
      <c r="B81" s="190">
        <v>111</v>
      </c>
      <c r="C81" s="190">
        <v>114</v>
      </c>
      <c r="D81" s="190">
        <f t="shared" si="246"/>
        <v>114</v>
      </c>
      <c r="E81" s="190">
        <v>108</v>
      </c>
      <c r="F81" s="191">
        <v>104</v>
      </c>
      <c r="G81" s="3491">
        <v>2003</v>
      </c>
      <c r="H81" s="189">
        <v>4</v>
      </c>
      <c r="I81" s="209"/>
      <c r="J81" s="209"/>
      <c r="K81" s="209"/>
      <c r="L81" s="209"/>
      <c r="N81" s="210"/>
      <c r="O81" s="209"/>
      <c r="P81" s="209"/>
      <c r="Q81" s="209"/>
      <c r="S81" s="210"/>
      <c r="T81" s="209"/>
      <c r="U81" s="209"/>
      <c r="V81" s="209"/>
      <c r="X81" s="215"/>
      <c r="Y81" s="215"/>
      <c r="Z81" s="215"/>
    </row>
    <row r="82" spans="1:26">
      <c r="A82" s="122" t="s">
        <v>2711</v>
      </c>
      <c r="B82" s="192">
        <f t="shared" ref="B82:C84" si="282">B83+(B$81-B$85)/4</f>
        <v>109.75</v>
      </c>
      <c r="C82" s="192">
        <f t="shared" si="282"/>
        <v>112.25</v>
      </c>
      <c r="D82" s="192">
        <f t="shared" si="246"/>
        <v>112.25</v>
      </c>
      <c r="E82" s="192">
        <f t="shared" ref="E82:F84" si="283">E83+(E$81-E$85)/4</f>
        <v>107.25</v>
      </c>
      <c r="F82" s="192">
        <f t="shared" si="283"/>
        <v>103.5</v>
      </c>
      <c r="G82" s="3492">
        <v>2003</v>
      </c>
      <c r="H82" s="134">
        <v>3</v>
      </c>
      <c r="I82" s="209"/>
      <c r="J82" s="209"/>
      <c r="K82" s="209"/>
      <c r="L82" s="209"/>
      <c r="X82" s="215"/>
      <c r="Y82" s="215"/>
      <c r="Z82" s="215"/>
    </row>
    <row r="83" spans="1:26">
      <c r="A83" s="122" t="s">
        <v>2712</v>
      </c>
      <c r="B83" s="192">
        <f t="shared" si="282"/>
        <v>108.5</v>
      </c>
      <c r="C83" s="192">
        <f t="shared" si="282"/>
        <v>110.5</v>
      </c>
      <c r="D83" s="192">
        <f t="shared" si="246"/>
        <v>110.5</v>
      </c>
      <c r="E83" s="192">
        <f t="shared" si="283"/>
        <v>106.5</v>
      </c>
      <c r="F83" s="192">
        <f t="shared" si="283"/>
        <v>103</v>
      </c>
      <c r="G83" s="3492">
        <v>2003</v>
      </c>
      <c r="H83" s="132">
        <v>2</v>
      </c>
      <c r="I83" s="209"/>
      <c r="J83" s="209"/>
      <c r="K83" s="209"/>
      <c r="L83" s="209"/>
      <c r="X83" s="215"/>
      <c r="Y83" s="215"/>
      <c r="Z83" s="215"/>
    </row>
    <row r="84" spans="1:26">
      <c r="A84" s="122" t="s">
        <v>2713</v>
      </c>
      <c r="B84" s="192">
        <f t="shared" si="282"/>
        <v>107.25</v>
      </c>
      <c r="C84" s="192">
        <f t="shared" si="282"/>
        <v>108.75</v>
      </c>
      <c r="D84" s="192">
        <f t="shared" si="246"/>
        <v>108.75</v>
      </c>
      <c r="E84" s="192">
        <f t="shared" si="283"/>
        <v>105.75</v>
      </c>
      <c r="F84" s="192">
        <f t="shared" si="283"/>
        <v>102.5</v>
      </c>
      <c r="G84" s="3493">
        <v>2003</v>
      </c>
      <c r="H84" s="193">
        <v>1</v>
      </c>
      <c r="I84" s="209"/>
      <c r="J84" s="209"/>
      <c r="K84" s="209"/>
      <c r="L84" s="209"/>
      <c r="S84" s="151"/>
      <c r="T84" s="152"/>
      <c r="U84" s="152"/>
      <c r="X84" s="215"/>
      <c r="Y84" s="215"/>
      <c r="Z84" s="215"/>
    </row>
    <row r="85" spans="1:26">
      <c r="A85" s="122" t="s">
        <v>2714</v>
      </c>
      <c r="B85" s="194">
        <v>106</v>
      </c>
      <c r="C85" s="194">
        <v>107</v>
      </c>
      <c r="D85" s="194">
        <f t="shared" si="246"/>
        <v>107</v>
      </c>
      <c r="E85" s="194">
        <v>105</v>
      </c>
      <c r="F85" s="195">
        <v>102</v>
      </c>
      <c r="G85" s="3491">
        <v>2002</v>
      </c>
      <c r="H85" s="133">
        <v>4</v>
      </c>
      <c r="I85" s="209"/>
      <c r="J85" s="209"/>
      <c r="K85" s="209"/>
      <c r="L85" s="209"/>
      <c r="N85" s="210"/>
      <c r="O85" s="209"/>
      <c r="P85" s="209"/>
      <c r="Q85" s="209"/>
      <c r="S85" s="210"/>
      <c r="T85" s="209"/>
      <c r="U85" s="209"/>
      <c r="V85" s="209"/>
      <c r="X85" s="215"/>
      <c r="Y85" s="215"/>
      <c r="Z85" s="215"/>
    </row>
    <row r="86" spans="1:26">
      <c r="A86" s="122" t="s">
        <v>2715</v>
      </c>
      <c r="B86" s="192">
        <f t="shared" ref="B86:C88" si="284">B87+(B$85-B$89)/4</f>
        <v>105</v>
      </c>
      <c r="C86" s="192">
        <f t="shared" si="284"/>
        <v>106</v>
      </c>
      <c r="D86" s="192">
        <f t="shared" si="246"/>
        <v>106</v>
      </c>
      <c r="E86" s="192">
        <f t="shared" ref="E86:F88" si="285">E87+(E$85-E$89)/4</f>
        <v>104.5</v>
      </c>
      <c r="F86" s="192">
        <f t="shared" si="285"/>
        <v>101.5</v>
      </c>
      <c r="G86" s="3492">
        <v>2002</v>
      </c>
      <c r="H86" s="134">
        <v>3</v>
      </c>
      <c r="I86" s="209"/>
      <c r="J86" s="209"/>
      <c r="K86" s="209"/>
      <c r="L86" s="209"/>
      <c r="X86" s="215"/>
      <c r="Y86" s="215"/>
      <c r="Z86" s="215"/>
    </row>
    <row r="87" spans="1:26">
      <c r="A87" s="122" t="s">
        <v>2716</v>
      </c>
      <c r="B87" s="192">
        <f t="shared" si="284"/>
        <v>104</v>
      </c>
      <c r="C87" s="192">
        <f t="shared" si="284"/>
        <v>105</v>
      </c>
      <c r="D87" s="192">
        <f t="shared" si="246"/>
        <v>105</v>
      </c>
      <c r="E87" s="192">
        <f t="shared" si="285"/>
        <v>104</v>
      </c>
      <c r="F87" s="192">
        <f t="shared" si="285"/>
        <v>101</v>
      </c>
      <c r="G87" s="3492">
        <v>2002</v>
      </c>
      <c r="H87" s="132">
        <v>2</v>
      </c>
      <c r="I87" s="209"/>
      <c r="J87" s="209"/>
      <c r="K87" s="209"/>
      <c r="L87" s="209"/>
      <c r="X87" s="215"/>
      <c r="Y87" s="215"/>
      <c r="Z87" s="215"/>
    </row>
    <row r="88" spans="1:26" s="107" customFormat="1">
      <c r="A88" s="138" t="s">
        <v>2717</v>
      </c>
      <c r="B88" s="180">
        <f t="shared" si="284"/>
        <v>103</v>
      </c>
      <c r="C88" s="180">
        <f t="shared" si="284"/>
        <v>104</v>
      </c>
      <c r="D88" s="180">
        <f t="shared" si="246"/>
        <v>104</v>
      </c>
      <c r="E88" s="180">
        <f t="shared" si="285"/>
        <v>103.5</v>
      </c>
      <c r="F88" s="180">
        <f t="shared" si="285"/>
        <v>100.5</v>
      </c>
      <c r="G88" s="3493">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2718</v>
      </c>
      <c r="G91" s="201"/>
      <c r="N91" s="201"/>
      <c r="S91" s="201"/>
    </row>
    <row r="92" spans="1:26" s="109" customFormat="1">
      <c r="A92" s="109" t="s">
        <v>2719</v>
      </c>
      <c r="G92" s="201"/>
      <c r="N92" s="201"/>
      <c r="S92" s="201"/>
    </row>
    <row r="93" spans="1:26" s="109" customFormat="1">
      <c r="A93" s="109" t="s">
        <v>2720</v>
      </c>
      <c r="G93" s="201"/>
      <c r="I93" s="213"/>
      <c r="J93" s="213"/>
      <c r="K93" s="213"/>
      <c r="L93" s="213"/>
      <c r="N93" s="214"/>
      <c r="O93" s="213"/>
      <c r="P93" s="213"/>
      <c r="Q93" s="213"/>
      <c r="S93" s="214"/>
      <c r="T93" s="213"/>
      <c r="U93" s="213"/>
      <c r="V93" s="213"/>
    </row>
    <row r="94" spans="1:26" s="109" customFormat="1">
      <c r="A94" s="109" t="s">
        <v>2721</v>
      </c>
      <c r="G94" s="201"/>
      <c r="N94" s="201"/>
      <c r="S94" s="201"/>
    </row>
    <row r="102" spans="7:22">
      <c r="G102" s="110"/>
      <c r="S102" s="218" t="s">
        <v>2722</v>
      </c>
      <c r="T102" s="134" t="s">
        <v>2723</v>
      </c>
      <c r="U102" s="134" t="s">
        <v>2724</v>
      </c>
      <c r="V102" s="134" t="s">
        <v>2725</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00" t="s">
        <v>2726</v>
      </c>
      <c r="B1" s="3500"/>
      <c r="C1" s="3500"/>
      <c r="D1" s="3500"/>
      <c r="E1" s="3500"/>
      <c r="F1" s="3500"/>
      <c r="G1" s="3501"/>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2727</v>
      </c>
      <c r="B2" s="74"/>
      <c r="C2" s="74"/>
      <c r="D2" s="74"/>
      <c r="E2" s="74"/>
      <c r="F2" s="74"/>
      <c r="G2" s="75" t="s">
        <v>2728</v>
      </c>
      <c r="I2" s="82" t="s">
        <v>2221</v>
      </c>
      <c r="J2" s="82" t="s">
        <v>2226</v>
      </c>
      <c r="K2" s="82" t="s">
        <v>2246</v>
      </c>
      <c r="L2" s="82" t="s">
        <v>2271</v>
      </c>
      <c r="M2" s="82" t="s">
        <v>2303</v>
      </c>
      <c r="N2" s="82" t="s">
        <v>2343</v>
      </c>
      <c r="O2" s="82" t="s">
        <v>2406</v>
      </c>
      <c r="P2" s="82" t="s">
        <v>2450</v>
      </c>
      <c r="Q2" s="82" t="s">
        <v>2493</v>
      </c>
      <c r="R2" s="82" t="s">
        <v>2543</v>
      </c>
      <c r="S2" s="82" t="s">
        <v>2574</v>
      </c>
      <c r="T2" s="82" t="s">
        <v>2594</v>
      </c>
    </row>
    <row r="3" spans="1:20" s="71" customFormat="1">
      <c r="A3" s="3502" t="s">
        <v>2219</v>
      </c>
      <c r="B3" s="76"/>
      <c r="C3" s="77" t="s">
        <v>229</v>
      </c>
      <c r="D3" s="77" t="s">
        <v>230</v>
      </c>
      <c r="E3" s="77" t="s">
        <v>232</v>
      </c>
      <c r="F3" s="77" t="s">
        <v>233</v>
      </c>
      <c r="G3" s="77" t="s">
        <v>231</v>
      </c>
      <c r="H3" s="78"/>
      <c r="I3" s="83" t="s">
        <v>2222</v>
      </c>
      <c r="J3" s="84" t="s">
        <v>2227</v>
      </c>
      <c r="K3" s="84" t="s">
        <v>2247</v>
      </c>
      <c r="L3" s="83" t="s">
        <v>2272</v>
      </c>
      <c r="M3" s="83" t="s">
        <v>2304</v>
      </c>
      <c r="N3" s="83" t="s">
        <v>2344</v>
      </c>
      <c r="O3" s="83" t="s">
        <v>2407</v>
      </c>
      <c r="P3" s="83" t="s">
        <v>2451</v>
      </c>
      <c r="Q3" s="83" t="s">
        <v>2494</v>
      </c>
      <c r="R3" s="83" t="s">
        <v>2544</v>
      </c>
      <c r="S3" s="83" t="s">
        <v>2575</v>
      </c>
      <c r="T3" s="83" t="s">
        <v>2595</v>
      </c>
    </row>
    <row r="4" spans="1:20" s="71" customFormat="1">
      <c r="A4" s="3503"/>
      <c r="B4" s="79" t="s">
        <v>2220</v>
      </c>
      <c r="C4" s="79" t="s">
        <v>2729</v>
      </c>
      <c r="D4" s="79" t="s">
        <v>2729</v>
      </c>
      <c r="E4" s="79" t="s">
        <v>2729</v>
      </c>
      <c r="F4" s="80" t="s">
        <v>2729</v>
      </c>
      <c r="G4" s="80" t="s">
        <v>2729</v>
      </c>
      <c r="H4" s="78"/>
      <c r="I4" s="84" t="s">
        <v>2223</v>
      </c>
      <c r="J4" s="84" t="s">
        <v>2228</v>
      </c>
      <c r="K4" s="84" t="s">
        <v>2248</v>
      </c>
      <c r="L4" s="83" t="s">
        <v>2273</v>
      </c>
      <c r="M4" s="83" t="s">
        <v>2305</v>
      </c>
      <c r="N4" s="83" t="s">
        <v>2345</v>
      </c>
      <c r="O4" s="83" t="s">
        <v>2408</v>
      </c>
      <c r="P4" s="83" t="s">
        <v>2452</v>
      </c>
      <c r="Q4" s="83" t="s">
        <v>2495</v>
      </c>
      <c r="R4" s="83" t="s">
        <v>2545</v>
      </c>
      <c r="S4" s="83" t="s">
        <v>2576</v>
      </c>
      <c r="T4" s="83" t="s">
        <v>2596</v>
      </c>
    </row>
    <row r="5" spans="1:20">
      <c r="A5" s="81" t="s">
        <v>235</v>
      </c>
      <c r="B5" s="82" t="s">
        <v>2221</v>
      </c>
      <c r="C5" s="82">
        <v>34550</v>
      </c>
      <c r="D5" s="82">
        <v>34470</v>
      </c>
      <c r="E5" s="82">
        <v>34330</v>
      </c>
      <c r="F5" s="82">
        <v>13400</v>
      </c>
      <c r="G5" s="82">
        <v>25450</v>
      </c>
      <c r="H5" s="78"/>
      <c r="I5" s="83" t="s">
        <v>2224</v>
      </c>
      <c r="J5" s="84" t="s">
        <v>2229</v>
      </c>
      <c r="K5" s="84" t="s">
        <v>2249</v>
      </c>
      <c r="L5" s="83" t="s">
        <v>2274</v>
      </c>
      <c r="M5" s="83" t="s">
        <v>2306</v>
      </c>
      <c r="N5" s="83" t="s">
        <v>2346</v>
      </c>
      <c r="O5" s="83" t="s">
        <v>2409</v>
      </c>
      <c r="P5" s="83" t="s">
        <v>2453</v>
      </c>
      <c r="Q5" s="83" t="s">
        <v>2496</v>
      </c>
      <c r="R5" s="83" t="s">
        <v>2546</v>
      </c>
      <c r="S5" s="83" t="s">
        <v>2577</v>
      </c>
      <c r="T5" s="83" t="s">
        <v>2597</v>
      </c>
    </row>
    <row r="6" spans="1:20">
      <c r="A6" s="83" t="s">
        <v>235</v>
      </c>
      <c r="B6" s="83" t="s">
        <v>2222</v>
      </c>
      <c r="C6" s="83">
        <v>36990</v>
      </c>
      <c r="D6" s="83">
        <v>36850</v>
      </c>
      <c r="E6" s="83">
        <v>36700</v>
      </c>
      <c r="F6" s="83">
        <v>14590</v>
      </c>
      <c r="G6" s="83">
        <v>27450</v>
      </c>
      <c r="H6" s="78"/>
      <c r="I6" s="86" t="s">
        <v>2225</v>
      </c>
      <c r="J6" s="84" t="s">
        <v>2230</v>
      </c>
      <c r="K6" s="84" t="s">
        <v>2250</v>
      </c>
      <c r="L6" s="83" t="s">
        <v>2275</v>
      </c>
      <c r="M6" s="83" t="s">
        <v>2307</v>
      </c>
      <c r="N6" s="83" t="s">
        <v>2347</v>
      </c>
      <c r="O6" s="83" t="s">
        <v>2410</v>
      </c>
      <c r="P6" s="83" t="s">
        <v>2454</v>
      </c>
      <c r="Q6" s="83" t="s">
        <v>2497</v>
      </c>
      <c r="R6" s="83" t="s">
        <v>2547</v>
      </c>
      <c r="S6" s="83" t="s">
        <v>2578</v>
      </c>
      <c r="T6" s="83" t="s">
        <v>2598</v>
      </c>
    </row>
    <row r="7" spans="1:20">
      <c r="A7" s="83" t="s">
        <v>235</v>
      </c>
      <c r="B7" s="84" t="s">
        <v>2223</v>
      </c>
      <c r="C7" s="83">
        <v>34850</v>
      </c>
      <c r="D7" s="83">
        <v>34690</v>
      </c>
      <c r="E7" s="83">
        <v>34550</v>
      </c>
      <c r="F7" s="83">
        <v>14360</v>
      </c>
      <c r="G7" s="83">
        <v>25620</v>
      </c>
      <c r="H7" s="78"/>
      <c r="J7" s="84" t="s">
        <v>2231</v>
      </c>
      <c r="K7" s="84" t="s">
        <v>2251</v>
      </c>
      <c r="L7" s="83" t="s">
        <v>2276</v>
      </c>
      <c r="M7" s="83" t="s">
        <v>2308</v>
      </c>
      <c r="N7" s="83" t="s">
        <v>2348</v>
      </c>
      <c r="O7" s="83" t="s">
        <v>2411</v>
      </c>
      <c r="P7" s="83" t="s">
        <v>2455</v>
      </c>
      <c r="Q7" s="83" t="s">
        <v>2498</v>
      </c>
      <c r="R7" s="83" t="s">
        <v>2548</v>
      </c>
      <c r="S7" s="83" t="s">
        <v>2579</v>
      </c>
      <c r="T7" s="83" t="s">
        <v>2599</v>
      </c>
    </row>
    <row r="8" spans="1:20">
      <c r="A8" s="83" t="s">
        <v>235</v>
      </c>
      <c r="B8" s="83" t="s">
        <v>2224</v>
      </c>
      <c r="C8" s="83">
        <v>32630</v>
      </c>
      <c r="D8" s="83">
        <v>32510</v>
      </c>
      <c r="E8" s="83">
        <v>32420</v>
      </c>
      <c r="F8" s="83">
        <v>13300</v>
      </c>
      <c r="G8" s="83">
        <v>24010</v>
      </c>
      <c r="H8" s="78"/>
      <c r="J8" s="84" t="s">
        <v>2232</v>
      </c>
      <c r="K8" s="84" t="s">
        <v>2252</v>
      </c>
      <c r="L8" s="83" t="s">
        <v>2277</v>
      </c>
      <c r="M8" s="83" t="s">
        <v>2309</v>
      </c>
      <c r="N8" s="83" t="s">
        <v>2349</v>
      </c>
      <c r="O8" s="83" t="s">
        <v>2412</v>
      </c>
      <c r="P8" s="83" t="s">
        <v>2456</v>
      </c>
      <c r="Q8" s="83" t="s">
        <v>2499</v>
      </c>
      <c r="R8" s="83" t="s">
        <v>2549</v>
      </c>
      <c r="S8" s="83" t="s">
        <v>2580</v>
      </c>
      <c r="T8" s="87" t="s">
        <v>2600</v>
      </c>
    </row>
    <row r="9" spans="1:20">
      <c r="A9" s="85" t="s">
        <v>235</v>
      </c>
      <c r="B9" s="86" t="s">
        <v>2225</v>
      </c>
      <c r="C9" s="87">
        <v>36370</v>
      </c>
      <c r="D9" s="87">
        <v>36210</v>
      </c>
      <c r="E9" s="87">
        <v>36050</v>
      </c>
      <c r="F9" s="87"/>
      <c r="G9" s="87">
        <v>26740</v>
      </c>
      <c r="H9" s="78"/>
      <c r="J9" s="84" t="s">
        <v>2233</v>
      </c>
      <c r="K9" s="84" t="s">
        <v>2253</v>
      </c>
      <c r="L9" s="83" t="s">
        <v>2278</v>
      </c>
      <c r="M9" s="83" t="s">
        <v>2310</v>
      </c>
      <c r="N9" s="83" t="s">
        <v>2350</v>
      </c>
      <c r="O9" s="83" t="s">
        <v>2413</v>
      </c>
      <c r="P9" s="83" t="s">
        <v>2457</v>
      </c>
      <c r="Q9" s="83" t="s">
        <v>2500</v>
      </c>
      <c r="R9" s="83" t="s">
        <v>2550</v>
      </c>
      <c r="S9" s="83" t="s">
        <v>2581</v>
      </c>
    </row>
    <row r="10" spans="1:20">
      <c r="A10" s="81" t="s">
        <v>251</v>
      </c>
      <c r="B10" s="82" t="s">
        <v>2226</v>
      </c>
      <c r="C10" s="83">
        <v>32350</v>
      </c>
      <c r="D10" s="83">
        <v>31430</v>
      </c>
      <c r="E10" s="83">
        <v>31320</v>
      </c>
      <c r="F10" s="83">
        <v>10850</v>
      </c>
      <c r="G10" s="83">
        <v>22860</v>
      </c>
      <c r="H10" s="78"/>
      <c r="J10" s="84" t="s">
        <v>2234</v>
      </c>
      <c r="K10" s="84" t="s">
        <v>2254</v>
      </c>
      <c r="L10" s="83" t="s">
        <v>2279</v>
      </c>
      <c r="M10" s="83" t="s">
        <v>2311</v>
      </c>
      <c r="N10" s="83" t="s">
        <v>2351</v>
      </c>
      <c r="O10" s="83" t="s">
        <v>2414</v>
      </c>
      <c r="P10" s="83" t="s">
        <v>2458</v>
      </c>
      <c r="Q10" s="83" t="s">
        <v>2501</v>
      </c>
      <c r="R10" s="83" t="s">
        <v>2551</v>
      </c>
      <c r="S10" s="83" t="s">
        <v>2582</v>
      </c>
    </row>
    <row r="11" spans="1:20">
      <c r="A11" s="83" t="s">
        <v>251</v>
      </c>
      <c r="B11" s="84" t="s">
        <v>2227</v>
      </c>
      <c r="C11" s="83">
        <v>31590</v>
      </c>
      <c r="D11" s="83">
        <v>29490</v>
      </c>
      <c r="E11" s="83">
        <v>28700</v>
      </c>
      <c r="F11" s="83">
        <v>10410</v>
      </c>
      <c r="G11" s="83">
        <v>21460</v>
      </c>
      <c r="H11" s="78"/>
      <c r="J11" s="84" t="s">
        <v>2235</v>
      </c>
      <c r="K11" s="84" t="s">
        <v>2255</v>
      </c>
      <c r="L11" s="83" t="s">
        <v>2280</v>
      </c>
      <c r="M11" s="83" t="s">
        <v>2312</v>
      </c>
      <c r="N11" s="83" t="s">
        <v>2352</v>
      </c>
      <c r="O11" s="83" t="s">
        <v>2415</v>
      </c>
      <c r="P11" s="83" t="s">
        <v>2459</v>
      </c>
      <c r="Q11" s="83" t="s">
        <v>2502</v>
      </c>
      <c r="R11" s="83" t="s">
        <v>2552</v>
      </c>
      <c r="S11" s="83" t="s">
        <v>2583</v>
      </c>
    </row>
    <row r="12" spans="1:20">
      <c r="A12" s="83" t="s">
        <v>251</v>
      </c>
      <c r="B12" s="84" t="s">
        <v>2228</v>
      </c>
      <c r="C12" s="83">
        <v>29640</v>
      </c>
      <c r="D12" s="83">
        <v>27550</v>
      </c>
      <c r="E12" s="83">
        <v>28010</v>
      </c>
      <c r="F12" s="83">
        <v>8730</v>
      </c>
      <c r="G12" s="83">
        <v>20050</v>
      </c>
      <c r="H12" s="78"/>
      <c r="J12" s="84" t="s">
        <v>2236</v>
      </c>
      <c r="K12" s="84" t="s">
        <v>2256</v>
      </c>
      <c r="L12" s="83" t="s">
        <v>2281</v>
      </c>
      <c r="M12" s="83" t="s">
        <v>2313</v>
      </c>
      <c r="N12" s="83" t="s">
        <v>2353</v>
      </c>
      <c r="O12" s="83" t="s">
        <v>2416</v>
      </c>
      <c r="P12" s="83" t="s">
        <v>2460</v>
      </c>
      <c r="Q12" s="83" t="s">
        <v>2503</v>
      </c>
      <c r="R12" s="83" t="s">
        <v>2553</v>
      </c>
      <c r="S12" s="83" t="s">
        <v>2584</v>
      </c>
    </row>
    <row r="13" spans="1:20">
      <c r="A13" s="83" t="s">
        <v>251</v>
      </c>
      <c r="B13" s="84" t="s">
        <v>2229</v>
      </c>
      <c r="C13" s="83">
        <v>29680</v>
      </c>
      <c r="D13" s="83">
        <v>27660</v>
      </c>
      <c r="E13" s="83">
        <v>28210</v>
      </c>
      <c r="F13" s="83">
        <v>9590</v>
      </c>
      <c r="G13" s="83">
        <v>20120</v>
      </c>
      <c r="H13" s="78"/>
      <c r="J13" s="84" t="s">
        <v>2237</v>
      </c>
      <c r="K13" s="84" t="s">
        <v>2257</v>
      </c>
      <c r="L13" s="83" t="s">
        <v>2282</v>
      </c>
      <c r="M13" s="83" t="s">
        <v>2314</v>
      </c>
      <c r="N13" s="83" t="s">
        <v>2354</v>
      </c>
      <c r="O13" s="83" t="s">
        <v>2417</v>
      </c>
      <c r="P13" s="83" t="s">
        <v>2461</v>
      </c>
      <c r="Q13" s="83" t="s">
        <v>2504</v>
      </c>
      <c r="R13" s="83" t="s">
        <v>2554</v>
      </c>
      <c r="S13" s="83" t="s">
        <v>2585</v>
      </c>
    </row>
    <row r="14" spans="1:20">
      <c r="A14" s="83" t="s">
        <v>251</v>
      </c>
      <c r="B14" s="84" t="s">
        <v>2230</v>
      </c>
      <c r="C14" s="83">
        <v>30520</v>
      </c>
      <c r="D14" s="83">
        <v>29510</v>
      </c>
      <c r="E14" s="83">
        <v>29400</v>
      </c>
      <c r="F14" s="83">
        <v>9630</v>
      </c>
      <c r="G14" s="83">
        <v>21480</v>
      </c>
      <c r="H14" s="78"/>
      <c r="J14" s="84" t="s">
        <v>2238</v>
      </c>
      <c r="K14" s="84" t="s">
        <v>2258</v>
      </c>
      <c r="L14" s="83" t="s">
        <v>2283</v>
      </c>
      <c r="M14" s="83" t="s">
        <v>2315</v>
      </c>
      <c r="N14" s="83" t="s">
        <v>2355</v>
      </c>
      <c r="O14" s="83" t="s">
        <v>2418</v>
      </c>
      <c r="P14" s="83" t="s">
        <v>2462</v>
      </c>
      <c r="Q14" s="83" t="s">
        <v>2505</v>
      </c>
      <c r="R14" s="83" t="s">
        <v>2555</v>
      </c>
      <c r="S14" s="83" t="s">
        <v>2586</v>
      </c>
    </row>
    <row r="15" spans="1:20">
      <c r="A15" s="83" t="s">
        <v>251</v>
      </c>
      <c r="B15" s="84" t="s">
        <v>2231</v>
      </c>
      <c r="C15" s="83">
        <v>29090</v>
      </c>
      <c r="D15" s="83">
        <v>27590</v>
      </c>
      <c r="E15" s="83">
        <v>28120</v>
      </c>
      <c r="F15" s="83">
        <v>9110</v>
      </c>
      <c r="G15" s="83">
        <v>20070</v>
      </c>
      <c r="H15" s="78"/>
      <c r="J15" s="84" t="s">
        <v>2239</v>
      </c>
      <c r="K15" s="84" t="s">
        <v>2259</v>
      </c>
      <c r="L15" s="83" t="s">
        <v>2284</v>
      </c>
      <c r="M15" s="83" t="s">
        <v>2316</v>
      </c>
      <c r="N15" s="83" t="s">
        <v>2356</v>
      </c>
      <c r="O15" s="83" t="s">
        <v>2419</v>
      </c>
      <c r="P15" s="83" t="s">
        <v>2463</v>
      </c>
      <c r="Q15" s="83" t="s">
        <v>2506</v>
      </c>
      <c r="R15" s="83" t="s">
        <v>2556</v>
      </c>
      <c r="S15" s="83" t="s">
        <v>2587</v>
      </c>
    </row>
    <row r="16" spans="1:20">
      <c r="A16" s="83" t="s">
        <v>251</v>
      </c>
      <c r="B16" s="84" t="s">
        <v>2232</v>
      </c>
      <c r="C16" s="83">
        <v>26790</v>
      </c>
      <c r="D16" s="83">
        <v>30370</v>
      </c>
      <c r="E16" s="83">
        <v>30240</v>
      </c>
      <c r="F16" s="83">
        <v>11590</v>
      </c>
      <c r="G16" s="83">
        <v>22090</v>
      </c>
      <c r="H16" s="78"/>
      <c r="J16" s="84" t="s">
        <v>2240</v>
      </c>
      <c r="K16" s="84" t="s">
        <v>2260</v>
      </c>
      <c r="L16" s="83" t="s">
        <v>2285</v>
      </c>
      <c r="M16" s="83" t="s">
        <v>2317</v>
      </c>
      <c r="N16" s="83" t="s">
        <v>2357</v>
      </c>
      <c r="O16" s="83" t="s">
        <v>2420</v>
      </c>
      <c r="P16" s="83" t="s">
        <v>2464</v>
      </c>
      <c r="Q16" s="83" t="s">
        <v>2507</v>
      </c>
      <c r="R16" s="83" t="s">
        <v>2557</v>
      </c>
      <c r="S16" s="83" t="s">
        <v>2588</v>
      </c>
    </row>
    <row r="17" spans="1:19" ht="14.25" customHeight="1">
      <c r="A17" s="83" t="s">
        <v>251</v>
      </c>
      <c r="B17" s="84" t="s">
        <v>2233</v>
      </c>
      <c r="C17" s="83">
        <v>29180</v>
      </c>
      <c r="D17" s="83">
        <v>27620</v>
      </c>
      <c r="E17" s="83">
        <v>28180</v>
      </c>
      <c r="F17" s="83">
        <v>10790</v>
      </c>
      <c r="G17" s="83">
        <v>20090</v>
      </c>
      <c r="H17" s="78"/>
      <c r="J17" s="84" t="s">
        <v>2241</v>
      </c>
      <c r="K17" s="84" t="s">
        <v>2261</v>
      </c>
      <c r="L17" s="83" t="s">
        <v>2286</v>
      </c>
      <c r="M17" s="83" t="s">
        <v>2318</v>
      </c>
      <c r="N17" s="83" t="s">
        <v>2358</v>
      </c>
      <c r="O17" s="83" t="s">
        <v>2421</v>
      </c>
      <c r="P17" s="83" t="s">
        <v>2465</v>
      </c>
      <c r="Q17" s="83" t="s">
        <v>2508</v>
      </c>
      <c r="R17" s="83" t="s">
        <v>2558</v>
      </c>
      <c r="S17" s="83" t="s">
        <v>2589</v>
      </c>
    </row>
    <row r="18" spans="1:19" ht="14.25" customHeight="1">
      <c r="A18" s="83" t="s">
        <v>251</v>
      </c>
      <c r="B18" s="84" t="s">
        <v>2234</v>
      </c>
      <c r="C18" s="83">
        <v>26840</v>
      </c>
      <c r="D18" s="83">
        <v>28930</v>
      </c>
      <c r="E18" s="83">
        <v>28820</v>
      </c>
      <c r="F18" s="83"/>
      <c r="G18" s="83">
        <v>21050</v>
      </c>
      <c r="H18" s="78"/>
      <c r="J18" s="84" t="s">
        <v>2242</v>
      </c>
      <c r="K18" s="84" t="s">
        <v>2262</v>
      </c>
      <c r="L18" s="83" t="s">
        <v>2287</v>
      </c>
      <c r="M18" s="83" t="s">
        <v>2319</v>
      </c>
      <c r="N18" s="83" t="s">
        <v>2359</v>
      </c>
      <c r="O18" s="83" t="s">
        <v>2422</v>
      </c>
      <c r="P18" s="83" t="s">
        <v>2466</v>
      </c>
      <c r="Q18" s="83" t="s">
        <v>2509</v>
      </c>
      <c r="R18" s="83" t="s">
        <v>2559</v>
      </c>
      <c r="S18" s="83" t="s">
        <v>2590</v>
      </c>
    </row>
    <row r="19" spans="1:19" ht="14.25" customHeight="1">
      <c r="A19" s="83" t="s">
        <v>251</v>
      </c>
      <c r="B19" s="84" t="s">
        <v>2235</v>
      </c>
      <c r="C19" s="83">
        <v>27750</v>
      </c>
      <c r="D19" s="83">
        <v>26680</v>
      </c>
      <c r="E19" s="83">
        <v>26590</v>
      </c>
      <c r="F19" s="83"/>
      <c r="G19" s="83">
        <v>19420</v>
      </c>
      <c r="H19" s="78"/>
      <c r="J19" s="84" t="s">
        <v>2243</v>
      </c>
      <c r="K19" s="84" t="s">
        <v>2263</v>
      </c>
      <c r="L19" s="83" t="s">
        <v>2288</v>
      </c>
      <c r="M19" s="83" t="s">
        <v>2320</v>
      </c>
      <c r="N19" s="83" t="s">
        <v>2360</v>
      </c>
      <c r="O19" s="83" t="s">
        <v>2423</v>
      </c>
      <c r="P19" s="83" t="s">
        <v>2467</v>
      </c>
      <c r="Q19" s="83" t="s">
        <v>2510</v>
      </c>
      <c r="R19" s="83" t="s">
        <v>2560</v>
      </c>
      <c r="S19" s="83" t="s">
        <v>2591</v>
      </c>
    </row>
    <row r="20" spans="1:19" ht="14.25" customHeight="1">
      <c r="A20" s="83" t="s">
        <v>251</v>
      </c>
      <c r="B20" s="84" t="s">
        <v>2236</v>
      </c>
      <c r="C20" s="83">
        <v>27050</v>
      </c>
      <c r="D20" s="83">
        <v>29010</v>
      </c>
      <c r="E20" s="83">
        <v>28910</v>
      </c>
      <c r="F20" s="83"/>
      <c r="G20" s="83">
        <v>21110</v>
      </c>
      <c r="J20" s="84" t="s">
        <v>2244</v>
      </c>
      <c r="K20" s="84" t="s">
        <v>2264</v>
      </c>
      <c r="L20" s="83" t="s">
        <v>2289</v>
      </c>
      <c r="M20" s="83" t="s">
        <v>2321</v>
      </c>
      <c r="N20" s="83" t="s">
        <v>2361</v>
      </c>
      <c r="O20" s="83" t="s">
        <v>2424</v>
      </c>
      <c r="P20" s="83" t="s">
        <v>2468</v>
      </c>
      <c r="Q20" s="83" t="s">
        <v>2511</v>
      </c>
      <c r="R20" s="83" t="s">
        <v>2561</v>
      </c>
      <c r="S20" s="83" t="s">
        <v>2592</v>
      </c>
    </row>
    <row r="21" spans="1:19" ht="14.25" customHeight="1">
      <c r="A21" s="83" t="s">
        <v>251</v>
      </c>
      <c r="B21" s="84" t="s">
        <v>2237</v>
      </c>
      <c r="C21" s="83">
        <v>32370</v>
      </c>
      <c r="D21" s="83">
        <v>26730</v>
      </c>
      <c r="E21" s="83">
        <v>26640</v>
      </c>
      <c r="F21" s="83"/>
      <c r="G21" s="83">
        <v>19440</v>
      </c>
      <c r="J21" s="87" t="s">
        <v>2245</v>
      </c>
      <c r="K21" s="84" t="s">
        <v>2265</v>
      </c>
      <c r="L21" s="83" t="s">
        <v>2290</v>
      </c>
      <c r="M21" s="83" t="s">
        <v>2322</v>
      </c>
      <c r="N21" s="83" t="s">
        <v>2362</v>
      </c>
      <c r="O21" s="83" t="s">
        <v>2425</v>
      </c>
      <c r="P21" s="83" t="s">
        <v>2469</v>
      </c>
      <c r="Q21" s="83" t="s">
        <v>2512</v>
      </c>
      <c r="R21" s="83" t="s">
        <v>2562</v>
      </c>
      <c r="S21" s="87" t="s">
        <v>2593</v>
      </c>
    </row>
    <row r="22" spans="1:19" ht="14.25" customHeight="1">
      <c r="A22" s="83" t="s">
        <v>251</v>
      </c>
      <c r="B22" s="84" t="s">
        <v>2238</v>
      </c>
      <c r="C22" s="83">
        <v>29830</v>
      </c>
      <c r="D22" s="83">
        <v>27600</v>
      </c>
      <c r="E22" s="83">
        <v>28150</v>
      </c>
      <c r="F22" s="83"/>
      <c r="G22" s="83">
        <v>20080</v>
      </c>
      <c r="K22" s="84" t="s">
        <v>2266</v>
      </c>
      <c r="L22" s="83" t="s">
        <v>2291</v>
      </c>
      <c r="M22" s="83" t="s">
        <v>2323</v>
      </c>
      <c r="N22" s="83" t="s">
        <v>2363</v>
      </c>
      <c r="O22" s="83" t="s">
        <v>2426</v>
      </c>
      <c r="P22" s="83" t="s">
        <v>2470</v>
      </c>
      <c r="Q22" s="83" t="s">
        <v>2513</v>
      </c>
      <c r="R22" s="83" t="s">
        <v>2563</v>
      </c>
    </row>
    <row r="23" spans="1:19" ht="14.25" customHeight="1">
      <c r="A23" s="83" t="s">
        <v>251</v>
      </c>
      <c r="B23" s="84" t="s">
        <v>2239</v>
      </c>
      <c r="C23" s="83">
        <v>27800</v>
      </c>
      <c r="D23" s="83">
        <v>26900</v>
      </c>
      <c r="E23" s="83">
        <v>27170</v>
      </c>
      <c r="F23" s="83"/>
      <c r="G23" s="83">
        <v>19570</v>
      </c>
      <c r="K23" s="84" t="s">
        <v>2267</v>
      </c>
      <c r="L23" s="83" t="s">
        <v>2292</v>
      </c>
      <c r="M23" s="83" t="s">
        <v>2324</v>
      </c>
      <c r="N23" s="83" t="s">
        <v>2364</v>
      </c>
      <c r="O23" s="83" t="s">
        <v>2427</v>
      </c>
      <c r="P23" s="83" t="s">
        <v>2471</v>
      </c>
      <c r="Q23" s="83" t="s">
        <v>2514</v>
      </c>
      <c r="R23" s="83" t="s">
        <v>2564</v>
      </c>
    </row>
    <row r="24" spans="1:19" ht="14.25" customHeight="1">
      <c r="A24" s="83" t="s">
        <v>251</v>
      </c>
      <c r="B24" s="84" t="s">
        <v>2240</v>
      </c>
      <c r="C24" s="83">
        <v>27930</v>
      </c>
      <c r="D24" s="83">
        <v>32260</v>
      </c>
      <c r="E24" s="83">
        <v>32120</v>
      </c>
      <c r="F24" s="83"/>
      <c r="G24" s="83">
        <v>23470</v>
      </c>
      <c r="K24" s="84" t="s">
        <v>2268</v>
      </c>
      <c r="L24" s="83" t="s">
        <v>2293</v>
      </c>
      <c r="M24" s="83" t="s">
        <v>2325</v>
      </c>
      <c r="N24" s="83" t="s">
        <v>2365</v>
      </c>
      <c r="O24" s="83" t="s">
        <v>2428</v>
      </c>
      <c r="P24" s="83" t="s">
        <v>2472</v>
      </c>
      <c r="Q24" s="97" t="s">
        <v>2515</v>
      </c>
      <c r="R24" s="83" t="s">
        <v>2565</v>
      </c>
    </row>
    <row r="25" spans="1:19" ht="14.25" customHeight="1">
      <c r="A25" s="83" t="s">
        <v>251</v>
      </c>
      <c r="B25" s="84" t="s">
        <v>2241</v>
      </c>
      <c r="C25" s="83">
        <v>32230</v>
      </c>
      <c r="D25" s="83">
        <v>29640</v>
      </c>
      <c r="E25" s="83">
        <v>29510</v>
      </c>
      <c r="F25" s="83"/>
      <c r="G25" s="83">
        <v>21560</v>
      </c>
      <c r="K25" s="84" t="s">
        <v>2269</v>
      </c>
      <c r="L25" s="83" t="s">
        <v>2294</v>
      </c>
      <c r="M25" s="83" t="s">
        <v>2326</v>
      </c>
      <c r="N25" s="83" t="s">
        <v>2366</v>
      </c>
      <c r="O25" s="83" t="s">
        <v>2429</v>
      </c>
      <c r="P25" s="83" t="s">
        <v>2473</v>
      </c>
      <c r="Q25" s="97" t="s">
        <v>2516</v>
      </c>
      <c r="R25" s="83" t="s">
        <v>2566</v>
      </c>
    </row>
    <row r="26" spans="1:19" ht="14.25" customHeight="1">
      <c r="A26" s="83" t="s">
        <v>251</v>
      </c>
      <c r="B26" s="84" t="s">
        <v>2242</v>
      </c>
      <c r="C26" s="83">
        <v>31690</v>
      </c>
      <c r="D26" s="83">
        <v>27650</v>
      </c>
      <c r="E26" s="83">
        <v>28200</v>
      </c>
      <c r="F26" s="83"/>
      <c r="G26" s="83">
        <v>20110</v>
      </c>
      <c r="K26" s="86" t="s">
        <v>2270</v>
      </c>
      <c r="L26" s="83" t="s">
        <v>2295</v>
      </c>
      <c r="M26" s="83" t="s">
        <v>2327</v>
      </c>
      <c r="N26" s="83" t="s">
        <v>2367</v>
      </c>
      <c r="O26" s="83" t="s">
        <v>2430</v>
      </c>
      <c r="P26" s="83" t="s">
        <v>2474</v>
      </c>
      <c r="Q26" s="97" t="s">
        <v>2517</v>
      </c>
      <c r="R26" s="83" t="s">
        <v>2567</v>
      </c>
    </row>
    <row r="27" spans="1:19" ht="14.25" customHeight="1">
      <c r="A27" s="83" t="s">
        <v>251</v>
      </c>
      <c r="B27" s="84" t="s">
        <v>2243</v>
      </c>
      <c r="C27" s="83">
        <v>29610</v>
      </c>
      <c r="D27" s="83">
        <v>27770</v>
      </c>
      <c r="E27" s="83">
        <v>28300</v>
      </c>
      <c r="F27" s="83"/>
      <c r="G27" s="83">
        <v>20210</v>
      </c>
      <c r="L27" s="83" t="s">
        <v>2296</v>
      </c>
      <c r="M27" s="83" t="s">
        <v>2328</v>
      </c>
      <c r="N27" s="83" t="s">
        <v>2368</v>
      </c>
      <c r="O27" s="83" t="s">
        <v>2431</v>
      </c>
      <c r="P27" s="83" t="s">
        <v>2475</v>
      </c>
      <c r="Q27" s="83" t="s">
        <v>2518</v>
      </c>
      <c r="R27" s="83" t="s">
        <v>2568</v>
      </c>
    </row>
    <row r="28" spans="1:19" ht="14.25" customHeight="1">
      <c r="A28" s="83" t="s">
        <v>251</v>
      </c>
      <c r="B28" s="84" t="s">
        <v>2244</v>
      </c>
      <c r="C28" s="83"/>
      <c r="D28" s="83">
        <v>31520</v>
      </c>
      <c r="E28" s="83">
        <v>31410</v>
      </c>
      <c r="F28" s="83"/>
      <c r="G28" s="83">
        <v>22940</v>
      </c>
      <c r="L28" s="83" t="s">
        <v>2297</v>
      </c>
      <c r="M28" s="83" t="s">
        <v>2329</v>
      </c>
      <c r="N28" s="83" t="s">
        <v>2369</v>
      </c>
      <c r="O28" s="83" t="s">
        <v>2432</v>
      </c>
      <c r="P28" s="83" t="s">
        <v>2476</v>
      </c>
      <c r="Q28" s="83" t="s">
        <v>2519</v>
      </c>
      <c r="R28" s="83" t="s">
        <v>2569</v>
      </c>
    </row>
    <row r="29" spans="1:19" ht="14.25" customHeight="1">
      <c r="A29" s="85" t="s">
        <v>251</v>
      </c>
      <c r="B29" s="88" t="s">
        <v>2245</v>
      </c>
      <c r="C29" s="89"/>
      <c r="D29" s="89">
        <v>29460</v>
      </c>
      <c r="E29" s="89">
        <v>28640</v>
      </c>
      <c r="F29" s="89"/>
      <c r="G29" s="89">
        <v>21430</v>
      </c>
      <c r="L29" s="83" t="s">
        <v>2298</v>
      </c>
      <c r="M29" s="83" t="s">
        <v>2330</v>
      </c>
      <c r="N29" s="83" t="s">
        <v>2370</v>
      </c>
      <c r="O29" s="83" t="s">
        <v>2433</v>
      </c>
      <c r="P29" s="83" t="s">
        <v>2477</v>
      </c>
      <c r="Q29" s="83" t="s">
        <v>2520</v>
      </c>
      <c r="R29" s="83" t="s">
        <v>2570</v>
      </c>
    </row>
    <row r="30" spans="1:19" ht="14.25" customHeight="1">
      <c r="A30" s="81" t="s">
        <v>264</v>
      </c>
      <c r="B30" s="82" t="s">
        <v>2246</v>
      </c>
      <c r="C30" s="82">
        <v>26890</v>
      </c>
      <c r="D30" s="82">
        <v>26770</v>
      </c>
      <c r="E30" s="82">
        <v>25700</v>
      </c>
      <c r="F30" s="82">
        <v>8180</v>
      </c>
      <c r="G30" s="90">
        <v>18740</v>
      </c>
      <c r="L30" s="83" t="s">
        <v>2299</v>
      </c>
      <c r="M30" s="83" t="s">
        <v>2331</v>
      </c>
      <c r="N30" s="83" t="s">
        <v>2371</v>
      </c>
      <c r="O30" s="83" t="s">
        <v>2434</v>
      </c>
      <c r="P30" s="83" t="s">
        <v>2478</v>
      </c>
      <c r="Q30" s="83" t="s">
        <v>2521</v>
      </c>
      <c r="R30" s="83" t="s">
        <v>2571</v>
      </c>
    </row>
    <row r="31" spans="1:19" ht="14.25" customHeight="1">
      <c r="A31" s="83" t="s">
        <v>264</v>
      </c>
      <c r="B31" s="84" t="s">
        <v>2247</v>
      </c>
      <c r="C31" s="83">
        <v>24550</v>
      </c>
      <c r="D31" s="83">
        <v>23990</v>
      </c>
      <c r="E31" s="83">
        <v>22930</v>
      </c>
      <c r="F31" s="83">
        <v>7470</v>
      </c>
      <c r="G31" s="91">
        <v>16790</v>
      </c>
      <c r="L31" s="83" t="s">
        <v>2300</v>
      </c>
      <c r="M31" s="83" t="s">
        <v>2332</v>
      </c>
      <c r="N31" s="83" t="s">
        <v>2372</v>
      </c>
      <c r="O31" s="83" t="s">
        <v>2435</v>
      </c>
      <c r="P31" s="83" t="s">
        <v>2479</v>
      </c>
      <c r="Q31" s="83" t="s">
        <v>2522</v>
      </c>
      <c r="R31" s="83" t="s">
        <v>2572</v>
      </c>
    </row>
    <row r="32" spans="1:19" ht="14.25" customHeight="1">
      <c r="A32" s="83" t="s">
        <v>264</v>
      </c>
      <c r="B32" s="84" t="s">
        <v>2248</v>
      </c>
      <c r="C32" s="83">
        <v>27210</v>
      </c>
      <c r="D32" s="83">
        <v>23240</v>
      </c>
      <c r="E32" s="83">
        <v>23260</v>
      </c>
      <c r="F32" s="83">
        <v>7130</v>
      </c>
      <c r="G32" s="91">
        <v>16270</v>
      </c>
      <c r="L32" s="83" t="s">
        <v>2301</v>
      </c>
      <c r="M32" s="83" t="s">
        <v>2333</v>
      </c>
      <c r="N32" s="83" t="s">
        <v>2373</v>
      </c>
      <c r="O32" s="83" t="s">
        <v>2436</v>
      </c>
      <c r="P32" s="83" t="s">
        <v>2480</v>
      </c>
      <c r="Q32" s="83" t="s">
        <v>2523</v>
      </c>
      <c r="R32" s="87" t="s">
        <v>2573</v>
      </c>
    </row>
    <row r="33" spans="1:17" ht="14.25" customHeight="1">
      <c r="A33" s="83" t="s">
        <v>264</v>
      </c>
      <c r="B33" s="84" t="s">
        <v>2249</v>
      </c>
      <c r="C33" s="83">
        <v>27300</v>
      </c>
      <c r="D33" s="83">
        <v>22980</v>
      </c>
      <c r="E33" s="83">
        <v>24260</v>
      </c>
      <c r="F33" s="83">
        <v>5860</v>
      </c>
      <c r="G33" s="91">
        <v>16090</v>
      </c>
      <c r="L33" s="87" t="s">
        <v>2302</v>
      </c>
      <c r="M33" s="83" t="s">
        <v>2334</v>
      </c>
      <c r="N33" s="83" t="s">
        <v>2374</v>
      </c>
      <c r="O33" s="83" t="s">
        <v>2437</v>
      </c>
      <c r="P33" s="83" t="s">
        <v>2481</v>
      </c>
      <c r="Q33" s="83" t="s">
        <v>2524</v>
      </c>
    </row>
    <row r="34" spans="1:17" ht="14.25" customHeight="1">
      <c r="A34" s="83" t="s">
        <v>264</v>
      </c>
      <c r="B34" s="84" t="s">
        <v>2250</v>
      </c>
      <c r="C34" s="83">
        <v>23090</v>
      </c>
      <c r="D34" s="83">
        <v>23390</v>
      </c>
      <c r="E34" s="83">
        <v>23510</v>
      </c>
      <c r="F34" s="83">
        <v>6700</v>
      </c>
      <c r="G34" s="91">
        <v>16370</v>
      </c>
      <c r="M34" s="83" t="s">
        <v>2335</v>
      </c>
      <c r="N34" s="83" t="s">
        <v>2375</v>
      </c>
      <c r="O34" s="83" t="s">
        <v>2438</v>
      </c>
      <c r="P34" s="83" t="s">
        <v>2482</v>
      </c>
      <c r="Q34" s="83" t="s">
        <v>2525</v>
      </c>
    </row>
    <row r="35" spans="1:17" ht="14.25" customHeight="1">
      <c r="A35" s="83" t="s">
        <v>264</v>
      </c>
      <c r="B35" s="84" t="s">
        <v>2251</v>
      </c>
      <c r="C35" s="83">
        <v>27270</v>
      </c>
      <c r="D35" s="83">
        <v>24270</v>
      </c>
      <c r="E35" s="83">
        <v>24950</v>
      </c>
      <c r="F35" s="83">
        <v>6600</v>
      </c>
      <c r="G35" s="91">
        <v>16990</v>
      </c>
      <c r="M35" s="83" t="s">
        <v>2336</v>
      </c>
      <c r="N35" s="83" t="s">
        <v>2376</v>
      </c>
      <c r="O35" s="83" t="s">
        <v>2439</v>
      </c>
      <c r="P35" s="83" t="s">
        <v>2483</v>
      </c>
      <c r="Q35" s="83" t="s">
        <v>2526</v>
      </c>
    </row>
    <row r="36" spans="1:17" ht="14.25" customHeight="1">
      <c r="A36" s="83" t="s">
        <v>264</v>
      </c>
      <c r="B36" s="84" t="s">
        <v>2252</v>
      </c>
      <c r="C36" s="83">
        <v>23490</v>
      </c>
      <c r="D36" s="83">
        <v>23020</v>
      </c>
      <c r="E36" s="83">
        <v>25230</v>
      </c>
      <c r="F36" s="83">
        <v>6780</v>
      </c>
      <c r="G36" s="91">
        <v>16120</v>
      </c>
      <c r="M36" s="83" t="s">
        <v>2337</v>
      </c>
      <c r="N36" s="83" t="s">
        <v>2377</v>
      </c>
      <c r="O36" s="83" t="s">
        <v>2440</v>
      </c>
      <c r="P36" s="83" t="s">
        <v>2484</v>
      </c>
      <c r="Q36" s="83" t="s">
        <v>2527</v>
      </c>
    </row>
    <row r="37" spans="1:17" ht="14.25" customHeight="1">
      <c r="A37" s="83" t="s">
        <v>264</v>
      </c>
      <c r="B37" s="84" t="s">
        <v>2253</v>
      </c>
      <c r="C37" s="83">
        <v>24380</v>
      </c>
      <c r="D37" s="83">
        <v>22240</v>
      </c>
      <c r="E37" s="83">
        <v>25980</v>
      </c>
      <c r="F37" s="83">
        <v>8160</v>
      </c>
      <c r="G37" s="91">
        <v>15570</v>
      </c>
      <c r="M37" s="83" t="s">
        <v>2338</v>
      </c>
      <c r="N37" s="83" t="s">
        <v>2378</v>
      </c>
      <c r="O37" s="83" t="s">
        <v>2441</v>
      </c>
      <c r="P37" s="83" t="s">
        <v>2485</v>
      </c>
      <c r="Q37" s="83" t="s">
        <v>2528</v>
      </c>
    </row>
    <row r="38" spans="1:17" ht="14.25" customHeight="1">
      <c r="A38" s="83" t="s">
        <v>264</v>
      </c>
      <c r="B38" s="84" t="s">
        <v>2254</v>
      </c>
      <c r="C38" s="83">
        <v>23120</v>
      </c>
      <c r="D38" s="83">
        <v>24630</v>
      </c>
      <c r="E38" s="83">
        <v>25030</v>
      </c>
      <c r="F38" s="83">
        <v>7710</v>
      </c>
      <c r="G38" s="91">
        <v>17240</v>
      </c>
      <c r="M38" s="83" t="s">
        <v>2339</v>
      </c>
      <c r="N38" s="83" t="s">
        <v>2379</v>
      </c>
      <c r="O38" s="83" t="s">
        <v>2442</v>
      </c>
      <c r="P38" s="83" t="s">
        <v>2486</v>
      </c>
      <c r="Q38" s="83" t="s">
        <v>2529</v>
      </c>
    </row>
    <row r="39" spans="1:17" ht="14.25" customHeight="1">
      <c r="A39" s="83" t="s">
        <v>264</v>
      </c>
      <c r="B39" s="84" t="s">
        <v>2255</v>
      </c>
      <c r="C39" s="83">
        <v>22330</v>
      </c>
      <c r="D39" s="83">
        <v>21140</v>
      </c>
      <c r="E39" s="83">
        <v>23970</v>
      </c>
      <c r="F39" s="83">
        <v>7940</v>
      </c>
      <c r="G39" s="91">
        <v>14790</v>
      </c>
      <c r="M39" s="83" t="s">
        <v>2340</v>
      </c>
      <c r="N39" s="83" t="s">
        <v>2380</v>
      </c>
      <c r="O39" s="83" t="s">
        <v>2730</v>
      </c>
      <c r="P39" s="83" t="s">
        <v>2487</v>
      </c>
      <c r="Q39" s="83" t="s">
        <v>2530</v>
      </c>
    </row>
    <row r="40" spans="1:17" ht="14.25" customHeight="1">
      <c r="A40" s="83" t="s">
        <v>264</v>
      </c>
      <c r="B40" s="84" t="s">
        <v>2256</v>
      </c>
      <c r="C40" s="83">
        <v>24740</v>
      </c>
      <c r="D40" s="83">
        <v>24690</v>
      </c>
      <c r="E40" s="83">
        <v>22610</v>
      </c>
      <c r="F40" s="83"/>
      <c r="G40" s="91">
        <v>17280</v>
      </c>
      <c r="M40" s="83" t="s">
        <v>2341</v>
      </c>
      <c r="N40" s="83" t="s">
        <v>2381</v>
      </c>
      <c r="O40" s="83" t="s">
        <v>2731</v>
      </c>
      <c r="P40" s="83" t="s">
        <v>2488</v>
      </c>
      <c r="Q40" s="83" t="s">
        <v>2531</v>
      </c>
    </row>
    <row r="41" spans="1:17" ht="14.25" customHeight="1">
      <c r="A41" s="83" t="s">
        <v>264</v>
      </c>
      <c r="B41" s="84" t="s">
        <v>2257</v>
      </c>
      <c r="C41" s="83">
        <v>21220</v>
      </c>
      <c r="D41" s="83">
        <v>21120</v>
      </c>
      <c r="E41" s="83">
        <v>22590</v>
      </c>
      <c r="F41" s="83"/>
      <c r="G41" s="91">
        <v>14780</v>
      </c>
      <c r="M41" s="87" t="s">
        <v>2342</v>
      </c>
      <c r="N41" s="83" t="s">
        <v>2382</v>
      </c>
      <c r="O41" s="83" t="s">
        <v>2732</v>
      </c>
      <c r="P41" s="83" t="s">
        <v>2489</v>
      </c>
      <c r="Q41" s="83" t="s">
        <v>2532</v>
      </c>
    </row>
    <row r="42" spans="1:17" ht="14.25" customHeight="1">
      <c r="A42" s="83" t="s">
        <v>264</v>
      </c>
      <c r="B42" s="84" t="s">
        <v>2258</v>
      </c>
      <c r="C42" s="83">
        <v>24800</v>
      </c>
      <c r="D42" s="83">
        <v>22280</v>
      </c>
      <c r="E42" s="83">
        <v>24350</v>
      </c>
      <c r="F42" s="83"/>
      <c r="G42" s="91">
        <v>15590</v>
      </c>
      <c r="N42" s="83" t="s">
        <v>2383</v>
      </c>
      <c r="O42" s="83" t="s">
        <v>2446</v>
      </c>
      <c r="P42" s="83" t="s">
        <v>2490</v>
      </c>
      <c r="Q42" s="83" t="s">
        <v>2533</v>
      </c>
    </row>
    <row r="43" spans="1:17" ht="14.25" customHeight="1">
      <c r="A43" s="83" t="s">
        <v>264</v>
      </c>
      <c r="B43" s="84" t="s">
        <v>2259</v>
      </c>
      <c r="C43" s="83">
        <v>21210</v>
      </c>
      <c r="D43" s="83">
        <v>21160</v>
      </c>
      <c r="E43" s="83">
        <v>22650</v>
      </c>
      <c r="F43" s="83"/>
      <c r="G43" s="91">
        <v>14800</v>
      </c>
      <c r="N43" s="83" t="s">
        <v>2384</v>
      </c>
      <c r="O43" s="83" t="s">
        <v>2447</v>
      </c>
      <c r="P43" s="83" t="s">
        <v>2491</v>
      </c>
      <c r="Q43" s="83" t="s">
        <v>2534</v>
      </c>
    </row>
    <row r="44" spans="1:17" ht="14.25" customHeight="1">
      <c r="A44" s="83" t="s">
        <v>264</v>
      </c>
      <c r="B44" s="84" t="s">
        <v>2260</v>
      </c>
      <c r="C44" s="83">
        <v>22370</v>
      </c>
      <c r="D44" s="83">
        <v>23140</v>
      </c>
      <c r="E44" s="83">
        <v>25090</v>
      </c>
      <c r="F44" s="83"/>
      <c r="G44" s="91">
        <v>16190</v>
      </c>
      <c r="N44" s="83" t="s">
        <v>2385</v>
      </c>
      <c r="O44" s="83" t="s">
        <v>2733</v>
      </c>
      <c r="P44" s="87" t="s">
        <v>2492</v>
      </c>
      <c r="Q44" s="83" t="s">
        <v>2535</v>
      </c>
    </row>
    <row r="45" spans="1:17" ht="14.25" customHeight="1">
      <c r="A45" s="83" t="s">
        <v>264</v>
      </c>
      <c r="B45" s="84" t="s">
        <v>2261</v>
      </c>
      <c r="C45" s="83">
        <v>21240</v>
      </c>
      <c r="D45" s="83">
        <v>27050</v>
      </c>
      <c r="E45" s="83">
        <v>28000</v>
      </c>
      <c r="F45" s="83"/>
      <c r="G45" s="91">
        <v>18940</v>
      </c>
      <c r="N45" s="83" t="s">
        <v>2386</v>
      </c>
      <c r="O45" s="87" t="s">
        <v>2449</v>
      </c>
      <c r="Q45" s="83" t="s">
        <v>2536</v>
      </c>
    </row>
    <row r="46" spans="1:17" ht="14.25" customHeight="1">
      <c r="A46" s="83" t="s">
        <v>264</v>
      </c>
      <c r="B46" s="84" t="s">
        <v>2262</v>
      </c>
      <c r="C46" s="83">
        <v>23240</v>
      </c>
      <c r="D46" s="83">
        <v>23000</v>
      </c>
      <c r="E46" s="83">
        <v>24980</v>
      </c>
      <c r="F46" s="83"/>
      <c r="G46" s="91">
        <v>16100</v>
      </c>
      <c r="N46" s="83" t="s">
        <v>2387</v>
      </c>
      <c r="Q46" s="83" t="s">
        <v>2537</v>
      </c>
    </row>
    <row r="47" spans="1:17" ht="14.25" customHeight="1">
      <c r="A47" s="83" t="s">
        <v>264</v>
      </c>
      <c r="B47" s="84" t="s">
        <v>2263</v>
      </c>
      <c r="C47" s="83">
        <v>27150</v>
      </c>
      <c r="D47" s="83">
        <v>23310</v>
      </c>
      <c r="E47" s="83">
        <v>25150</v>
      </c>
      <c r="F47" s="83"/>
      <c r="G47" s="91">
        <v>16310</v>
      </c>
      <c r="N47" s="83" t="s">
        <v>2388</v>
      </c>
      <c r="Q47" s="83" t="s">
        <v>2538</v>
      </c>
    </row>
    <row r="48" spans="1:17" ht="14.25" customHeight="1">
      <c r="A48" s="83" t="s">
        <v>264</v>
      </c>
      <c r="B48" s="84" t="s">
        <v>2264</v>
      </c>
      <c r="C48" s="83">
        <v>23100</v>
      </c>
      <c r="D48" s="83">
        <v>21110</v>
      </c>
      <c r="E48" s="83">
        <v>23080</v>
      </c>
      <c r="F48" s="83"/>
      <c r="G48" s="91">
        <v>14780</v>
      </c>
      <c r="N48" s="83" t="s">
        <v>2389</v>
      </c>
      <c r="Q48" s="83" t="s">
        <v>2539</v>
      </c>
    </row>
    <row r="49" spans="1:17" ht="14.25" customHeight="1">
      <c r="A49" s="83" t="s">
        <v>264</v>
      </c>
      <c r="B49" s="84" t="s">
        <v>2265</v>
      </c>
      <c r="C49" s="83">
        <v>23400</v>
      </c>
      <c r="D49" s="83">
        <v>22920</v>
      </c>
      <c r="E49" s="83">
        <v>24900</v>
      </c>
      <c r="F49" s="83"/>
      <c r="G49" s="91">
        <v>16040</v>
      </c>
      <c r="N49" s="83" t="s">
        <v>2390</v>
      </c>
      <c r="Q49" s="83" t="s">
        <v>2540</v>
      </c>
    </row>
    <row r="50" spans="1:17" ht="14.25" customHeight="1">
      <c r="A50" s="83" t="s">
        <v>264</v>
      </c>
      <c r="B50" s="84" t="s">
        <v>2266</v>
      </c>
      <c r="C50" s="83">
        <v>21200</v>
      </c>
      <c r="D50" s="83">
        <v>26540</v>
      </c>
      <c r="E50" s="83">
        <v>23200</v>
      </c>
      <c r="F50" s="83"/>
      <c r="G50" s="91">
        <v>18580</v>
      </c>
      <c r="N50" s="83" t="s">
        <v>2391</v>
      </c>
      <c r="Q50" s="84" t="s">
        <v>2541</v>
      </c>
    </row>
    <row r="51" spans="1:17" ht="14.25" customHeight="1">
      <c r="A51" s="83" t="s">
        <v>264</v>
      </c>
      <c r="B51" s="84" t="s">
        <v>2267</v>
      </c>
      <c r="C51" s="83">
        <v>23000</v>
      </c>
      <c r="D51" s="83">
        <v>23460</v>
      </c>
      <c r="E51" s="83">
        <v>25290</v>
      </c>
      <c r="F51" s="83"/>
      <c r="G51" s="91">
        <v>16420</v>
      </c>
      <c r="N51" s="83" t="s">
        <v>2392</v>
      </c>
      <c r="Q51" s="87" t="s">
        <v>2542</v>
      </c>
    </row>
    <row r="52" spans="1:17" ht="14.25" customHeight="1">
      <c r="A52" s="83" t="s">
        <v>264</v>
      </c>
      <c r="B52" s="84" t="s">
        <v>2268</v>
      </c>
      <c r="C52" s="83">
        <v>26660</v>
      </c>
      <c r="D52" s="83">
        <v>22350</v>
      </c>
      <c r="E52" s="83">
        <v>22920</v>
      </c>
      <c r="F52" s="83"/>
      <c r="G52" s="91">
        <v>15640</v>
      </c>
      <c r="N52" s="83" t="s">
        <v>2393</v>
      </c>
    </row>
    <row r="53" spans="1:17" ht="14.25" customHeight="1">
      <c r="A53" s="83" t="s">
        <v>264</v>
      </c>
      <c r="B53" s="84" t="s">
        <v>2269</v>
      </c>
      <c r="C53" s="83">
        <v>23580</v>
      </c>
      <c r="D53" s="83"/>
      <c r="E53" s="83">
        <v>24280</v>
      </c>
      <c r="F53" s="83"/>
      <c r="G53" s="91"/>
      <c r="N53" s="83" t="s">
        <v>2394</v>
      </c>
    </row>
    <row r="54" spans="1:17" ht="14.25" customHeight="1">
      <c r="A54" s="92" t="s">
        <v>264</v>
      </c>
      <c r="B54" s="86" t="s">
        <v>2270</v>
      </c>
      <c r="C54" s="87">
        <v>22460</v>
      </c>
      <c r="D54" s="87"/>
      <c r="E54" s="87"/>
      <c r="F54" s="87"/>
      <c r="G54" s="93"/>
      <c r="N54" s="83" t="s">
        <v>2395</v>
      </c>
    </row>
    <row r="55" spans="1:17" ht="14.25" customHeight="1">
      <c r="A55" s="81" t="s">
        <v>275</v>
      </c>
      <c r="B55" s="82" t="s">
        <v>2271</v>
      </c>
      <c r="C55" s="83">
        <v>21970</v>
      </c>
      <c r="D55" s="83">
        <v>20370</v>
      </c>
      <c r="E55" s="83">
        <v>20180</v>
      </c>
      <c r="F55" s="83">
        <v>5730</v>
      </c>
      <c r="G55" s="83">
        <v>13820</v>
      </c>
      <c r="N55" s="83" t="s">
        <v>2396</v>
      </c>
    </row>
    <row r="56" spans="1:17" ht="14.25" customHeight="1">
      <c r="A56" s="83" t="s">
        <v>275</v>
      </c>
      <c r="B56" s="83" t="s">
        <v>2272</v>
      </c>
      <c r="C56" s="83">
        <v>20470</v>
      </c>
      <c r="D56" s="83">
        <v>20700</v>
      </c>
      <c r="E56" s="83">
        <v>20380</v>
      </c>
      <c r="F56" s="83">
        <v>4760</v>
      </c>
      <c r="G56" s="83">
        <v>14050</v>
      </c>
      <c r="N56" s="83" t="s">
        <v>2397</v>
      </c>
    </row>
    <row r="57" spans="1:17" ht="14.25" customHeight="1">
      <c r="A57" s="83" t="s">
        <v>275</v>
      </c>
      <c r="B57" s="83" t="s">
        <v>2273</v>
      </c>
      <c r="C57" s="83">
        <v>20790</v>
      </c>
      <c r="D57" s="83">
        <v>21370</v>
      </c>
      <c r="E57" s="83">
        <v>20890</v>
      </c>
      <c r="F57" s="83">
        <v>4910</v>
      </c>
      <c r="G57" s="83">
        <v>14510</v>
      </c>
      <c r="N57" s="83" t="s">
        <v>2398</v>
      </c>
    </row>
    <row r="58" spans="1:17" ht="14.25" customHeight="1">
      <c r="A58" s="83" t="s">
        <v>275</v>
      </c>
      <c r="B58" s="83" t="s">
        <v>2274</v>
      </c>
      <c r="C58" s="83">
        <v>21460</v>
      </c>
      <c r="D58" s="83">
        <v>20920</v>
      </c>
      <c r="E58" s="83">
        <v>23410</v>
      </c>
      <c r="F58" s="83">
        <v>5100</v>
      </c>
      <c r="G58" s="83">
        <v>14200</v>
      </c>
      <c r="N58" s="83" t="s">
        <v>2399</v>
      </c>
    </row>
    <row r="59" spans="1:17" ht="14.25" customHeight="1">
      <c r="A59" s="83" t="s">
        <v>275</v>
      </c>
      <c r="B59" s="83" t="s">
        <v>2275</v>
      </c>
      <c r="C59" s="83">
        <v>21000</v>
      </c>
      <c r="D59" s="83">
        <v>21550</v>
      </c>
      <c r="E59" s="83">
        <v>21150</v>
      </c>
      <c r="F59" s="83">
        <v>5250</v>
      </c>
      <c r="G59" s="83">
        <v>14630</v>
      </c>
      <c r="N59" s="83" t="s">
        <v>2400</v>
      </c>
    </row>
    <row r="60" spans="1:17" ht="14.25" customHeight="1">
      <c r="A60" s="83" t="s">
        <v>275</v>
      </c>
      <c r="B60" s="83" t="s">
        <v>2276</v>
      </c>
      <c r="C60" s="83">
        <v>21640</v>
      </c>
      <c r="D60" s="83">
        <v>21260</v>
      </c>
      <c r="E60" s="83">
        <v>24040</v>
      </c>
      <c r="F60" s="83">
        <v>4470</v>
      </c>
      <c r="G60" s="83">
        <v>14430</v>
      </c>
      <c r="N60" s="83" t="s">
        <v>2401</v>
      </c>
    </row>
    <row r="61" spans="1:17" ht="14.25" customHeight="1">
      <c r="A61" s="83" t="s">
        <v>275</v>
      </c>
      <c r="B61" s="83" t="s">
        <v>2277</v>
      </c>
      <c r="C61" s="83">
        <v>21330</v>
      </c>
      <c r="D61" s="83">
        <v>18640</v>
      </c>
      <c r="E61" s="83">
        <v>21190</v>
      </c>
      <c r="F61" s="83">
        <v>4180</v>
      </c>
      <c r="G61" s="83">
        <v>12650</v>
      </c>
      <c r="N61" s="83" t="s">
        <v>2402</v>
      </c>
    </row>
    <row r="62" spans="1:17" ht="14.25" customHeight="1">
      <c r="A62" s="83" t="s">
        <v>275</v>
      </c>
      <c r="B62" s="83" t="s">
        <v>2278</v>
      </c>
      <c r="C62" s="83">
        <v>18710</v>
      </c>
      <c r="D62" s="83">
        <v>19400</v>
      </c>
      <c r="E62" s="83">
        <v>23750</v>
      </c>
      <c r="F62" s="83">
        <v>4860</v>
      </c>
      <c r="G62" s="83">
        <v>13170</v>
      </c>
      <c r="N62" s="83" t="s">
        <v>2403</v>
      </c>
    </row>
    <row r="63" spans="1:17" ht="14.25" customHeight="1">
      <c r="A63" s="83" t="s">
        <v>275</v>
      </c>
      <c r="B63" s="83" t="s">
        <v>2279</v>
      </c>
      <c r="C63" s="83">
        <v>19480</v>
      </c>
      <c r="D63" s="83">
        <v>16830</v>
      </c>
      <c r="E63" s="83">
        <v>21590</v>
      </c>
      <c r="F63" s="83">
        <v>4560</v>
      </c>
      <c r="G63" s="83">
        <v>11420</v>
      </c>
      <c r="N63" s="83" t="s">
        <v>2404</v>
      </c>
    </row>
    <row r="64" spans="1:17" ht="14.25" customHeight="1">
      <c r="A64" s="83" t="s">
        <v>275</v>
      </c>
      <c r="B64" s="83" t="s">
        <v>2280</v>
      </c>
      <c r="C64" s="83">
        <v>16920</v>
      </c>
      <c r="D64" s="83">
        <v>19190</v>
      </c>
      <c r="E64" s="83">
        <v>22200</v>
      </c>
      <c r="F64" s="83">
        <v>4390</v>
      </c>
      <c r="G64" s="83">
        <v>13030</v>
      </c>
      <c r="N64" s="87" t="s">
        <v>2405</v>
      </c>
    </row>
    <row r="65" spans="1:7" s="72" customFormat="1" ht="14.25" customHeight="1">
      <c r="A65" s="83" t="s">
        <v>275</v>
      </c>
      <c r="B65" s="83" t="s">
        <v>2281</v>
      </c>
      <c r="C65" s="83">
        <v>19290</v>
      </c>
      <c r="D65" s="83">
        <v>17020</v>
      </c>
      <c r="E65" s="83">
        <v>19880</v>
      </c>
      <c r="F65" s="83">
        <v>4070</v>
      </c>
      <c r="G65" s="83">
        <v>11550</v>
      </c>
    </row>
    <row r="66" spans="1:7" s="72" customFormat="1" ht="14.25" customHeight="1">
      <c r="A66" s="83" t="s">
        <v>275</v>
      </c>
      <c r="B66" s="83" t="s">
        <v>2282</v>
      </c>
      <c r="C66" s="83">
        <v>17090</v>
      </c>
      <c r="D66" s="83">
        <v>18340</v>
      </c>
      <c r="E66" s="83">
        <v>21830</v>
      </c>
      <c r="F66" s="83">
        <v>4690</v>
      </c>
      <c r="G66" s="83">
        <v>12450</v>
      </c>
    </row>
    <row r="67" spans="1:7" s="72" customFormat="1" ht="14.25" customHeight="1">
      <c r="A67" s="83" t="s">
        <v>275</v>
      </c>
      <c r="B67" s="83" t="s">
        <v>2283</v>
      </c>
      <c r="C67" s="83">
        <v>18420</v>
      </c>
      <c r="D67" s="83">
        <v>16360</v>
      </c>
      <c r="E67" s="83">
        <v>20020</v>
      </c>
      <c r="F67" s="83">
        <v>5150</v>
      </c>
      <c r="G67" s="83">
        <v>11110</v>
      </c>
    </row>
    <row r="68" spans="1:7" s="72" customFormat="1" ht="14.25" customHeight="1">
      <c r="A68" s="83" t="s">
        <v>275</v>
      </c>
      <c r="B68" s="83" t="s">
        <v>2284</v>
      </c>
      <c r="C68" s="83">
        <v>16450</v>
      </c>
      <c r="D68" s="83">
        <v>18430</v>
      </c>
      <c r="E68" s="83">
        <v>21010</v>
      </c>
      <c r="F68" s="83">
        <v>4720</v>
      </c>
      <c r="G68" s="83">
        <v>12510</v>
      </c>
    </row>
    <row r="69" spans="1:7" s="72" customFormat="1" ht="14.25" customHeight="1">
      <c r="A69" s="83" t="s">
        <v>275</v>
      </c>
      <c r="B69" s="83" t="s">
        <v>2285</v>
      </c>
      <c r="C69" s="83">
        <v>18510</v>
      </c>
      <c r="D69" s="83">
        <v>16300</v>
      </c>
      <c r="E69" s="83">
        <v>18830</v>
      </c>
      <c r="F69" s="83">
        <v>5400</v>
      </c>
      <c r="G69" s="83">
        <v>11070</v>
      </c>
    </row>
    <row r="70" spans="1:7" s="72" customFormat="1" ht="14.25" customHeight="1">
      <c r="A70" s="83" t="s">
        <v>275</v>
      </c>
      <c r="B70" s="83" t="s">
        <v>2286</v>
      </c>
      <c r="C70" s="83">
        <v>16370</v>
      </c>
      <c r="D70" s="83">
        <v>18620</v>
      </c>
      <c r="E70" s="83">
        <v>21100</v>
      </c>
      <c r="F70" s="83">
        <v>5700</v>
      </c>
      <c r="G70" s="83">
        <v>12640</v>
      </c>
    </row>
    <row r="71" spans="1:7" s="72" customFormat="1" ht="14.25" customHeight="1">
      <c r="A71" s="83" t="s">
        <v>275</v>
      </c>
      <c r="B71" s="83" t="s">
        <v>2287</v>
      </c>
      <c r="C71" s="83">
        <v>18700</v>
      </c>
      <c r="D71" s="83">
        <v>16290</v>
      </c>
      <c r="E71" s="83">
        <v>18760</v>
      </c>
      <c r="F71" s="83">
        <v>4780</v>
      </c>
      <c r="G71" s="83">
        <v>11050</v>
      </c>
    </row>
    <row r="72" spans="1:7" s="72" customFormat="1" ht="14.25" customHeight="1">
      <c r="A72" s="83" t="s">
        <v>275</v>
      </c>
      <c r="B72" s="83" t="s">
        <v>2288</v>
      </c>
      <c r="C72" s="83">
        <v>16340</v>
      </c>
      <c r="D72" s="83">
        <v>17520</v>
      </c>
      <c r="E72" s="83">
        <v>21170</v>
      </c>
      <c r="F72" s="83"/>
      <c r="G72" s="83">
        <v>11900</v>
      </c>
    </row>
    <row r="73" spans="1:7" s="72" customFormat="1" ht="14.25" customHeight="1">
      <c r="A73" s="83" t="s">
        <v>275</v>
      </c>
      <c r="B73" s="83" t="s">
        <v>2289</v>
      </c>
      <c r="C73" s="83">
        <v>17610</v>
      </c>
      <c r="D73" s="83">
        <v>18520</v>
      </c>
      <c r="E73" s="83">
        <v>18720</v>
      </c>
      <c r="F73" s="83"/>
      <c r="G73" s="83">
        <v>12570</v>
      </c>
    </row>
    <row r="74" spans="1:7" s="72" customFormat="1" ht="14.25" customHeight="1">
      <c r="A74" s="83" t="s">
        <v>275</v>
      </c>
      <c r="B74" s="83" t="s">
        <v>2290</v>
      </c>
      <c r="C74" s="83">
        <v>18600</v>
      </c>
      <c r="D74" s="83">
        <v>16480</v>
      </c>
      <c r="E74" s="83">
        <v>20100</v>
      </c>
      <c r="F74" s="83"/>
      <c r="G74" s="83">
        <v>11190</v>
      </c>
    </row>
    <row r="75" spans="1:7" s="72" customFormat="1" ht="14.25" customHeight="1">
      <c r="A75" s="83" t="s">
        <v>275</v>
      </c>
      <c r="B75" s="83" t="s">
        <v>2291</v>
      </c>
      <c r="C75" s="83">
        <v>16570</v>
      </c>
      <c r="D75" s="83">
        <v>17530</v>
      </c>
      <c r="E75" s="83">
        <v>21030</v>
      </c>
      <c r="F75" s="83"/>
      <c r="G75" s="83">
        <v>11900</v>
      </c>
    </row>
    <row r="76" spans="1:7" s="72" customFormat="1" ht="14.25" customHeight="1">
      <c r="A76" s="83" t="s">
        <v>275</v>
      </c>
      <c r="B76" s="83" t="s">
        <v>2292</v>
      </c>
      <c r="C76" s="83">
        <v>17610</v>
      </c>
      <c r="D76" s="83">
        <v>20800</v>
      </c>
      <c r="E76" s="83">
        <v>18920</v>
      </c>
      <c r="F76" s="83"/>
      <c r="G76" s="83">
        <v>14120</v>
      </c>
    </row>
    <row r="77" spans="1:7" s="72" customFormat="1" ht="14.25" customHeight="1">
      <c r="A77" s="83" t="s">
        <v>275</v>
      </c>
      <c r="B77" s="83" t="s">
        <v>2293</v>
      </c>
      <c r="C77" s="83">
        <v>20890</v>
      </c>
      <c r="D77" s="83">
        <v>19740</v>
      </c>
      <c r="E77" s="83">
        <v>20110</v>
      </c>
      <c r="F77" s="83"/>
      <c r="G77" s="83">
        <v>13400</v>
      </c>
    </row>
    <row r="78" spans="1:7" s="72" customFormat="1" ht="14.25" customHeight="1">
      <c r="A78" s="83" t="s">
        <v>275</v>
      </c>
      <c r="B78" s="83" t="s">
        <v>2294</v>
      </c>
      <c r="C78" s="83">
        <v>19820</v>
      </c>
      <c r="D78" s="83">
        <v>19780</v>
      </c>
      <c r="E78" s="83">
        <v>18560</v>
      </c>
      <c r="F78" s="83"/>
      <c r="G78" s="83">
        <v>13430</v>
      </c>
    </row>
    <row r="79" spans="1:7" s="72" customFormat="1" ht="14.25" customHeight="1">
      <c r="A79" s="83" t="s">
        <v>275</v>
      </c>
      <c r="B79" s="83" t="s">
        <v>2295</v>
      </c>
      <c r="C79" s="83">
        <v>21660</v>
      </c>
      <c r="D79" s="83">
        <v>18000</v>
      </c>
      <c r="E79" s="83">
        <v>22570</v>
      </c>
      <c r="F79" s="83"/>
      <c r="G79" s="83">
        <v>12220</v>
      </c>
    </row>
    <row r="80" spans="1:7" s="72" customFormat="1" ht="14.25" customHeight="1">
      <c r="A80" s="83" t="s">
        <v>275</v>
      </c>
      <c r="B80" s="83" t="s">
        <v>2296</v>
      </c>
      <c r="C80" s="83">
        <v>19850</v>
      </c>
      <c r="D80" s="83"/>
      <c r="E80" s="83">
        <v>21700</v>
      </c>
      <c r="F80" s="83"/>
      <c r="G80" s="83"/>
    </row>
    <row r="81" spans="1:7" s="72" customFormat="1" ht="14.25" customHeight="1">
      <c r="A81" s="83" t="s">
        <v>275</v>
      </c>
      <c r="B81" s="83" t="s">
        <v>2297</v>
      </c>
      <c r="C81" s="83">
        <v>18080</v>
      </c>
      <c r="D81" s="83"/>
      <c r="E81" s="83">
        <v>20900</v>
      </c>
      <c r="F81" s="83"/>
      <c r="G81" s="83"/>
    </row>
    <row r="82" spans="1:7" s="72" customFormat="1" ht="14.25" customHeight="1">
      <c r="A82" s="83" t="s">
        <v>275</v>
      </c>
      <c r="B82" s="83" t="s">
        <v>2298</v>
      </c>
      <c r="C82" s="83"/>
      <c r="D82" s="83"/>
      <c r="E82" s="83">
        <v>20840</v>
      </c>
      <c r="F82" s="83"/>
      <c r="G82" s="83"/>
    </row>
    <row r="83" spans="1:7" s="72" customFormat="1" ht="14.25" customHeight="1">
      <c r="A83" s="83" t="s">
        <v>275</v>
      </c>
      <c r="B83" s="83" t="s">
        <v>2299</v>
      </c>
      <c r="C83" s="83"/>
      <c r="D83" s="83"/>
      <c r="E83" s="83"/>
      <c r="F83" s="83">
        <v>4770</v>
      </c>
      <c r="G83" s="83"/>
    </row>
    <row r="84" spans="1:7" s="72" customFormat="1" ht="14.25" customHeight="1">
      <c r="A84" s="83" t="s">
        <v>275</v>
      </c>
      <c r="B84" s="83" t="s">
        <v>2300</v>
      </c>
      <c r="C84" s="83"/>
      <c r="D84" s="83"/>
      <c r="E84" s="83"/>
      <c r="F84" s="83">
        <v>4600</v>
      </c>
      <c r="G84" s="83"/>
    </row>
    <row r="85" spans="1:7" s="72" customFormat="1" ht="14.25" customHeight="1">
      <c r="A85" s="83" t="s">
        <v>275</v>
      </c>
      <c r="B85" s="83" t="s">
        <v>2301</v>
      </c>
      <c r="C85" s="83"/>
      <c r="D85" s="83"/>
      <c r="E85" s="83"/>
      <c r="F85" s="83">
        <v>4680</v>
      </c>
      <c r="G85" s="83"/>
    </row>
    <row r="86" spans="1:7" s="72" customFormat="1" ht="14.25" customHeight="1">
      <c r="A86" s="85" t="s">
        <v>275</v>
      </c>
      <c r="B86" s="88" t="s">
        <v>2302</v>
      </c>
      <c r="C86" s="89">
        <v>16610</v>
      </c>
      <c r="D86" s="89">
        <v>16540</v>
      </c>
      <c r="E86" s="89">
        <v>18850</v>
      </c>
      <c r="F86" s="89"/>
      <c r="G86" s="89">
        <v>11220</v>
      </c>
    </row>
    <row r="87" spans="1:7" s="72" customFormat="1" ht="14.25" customHeight="1">
      <c r="A87" s="81" t="s">
        <v>286</v>
      </c>
      <c r="B87" s="82" t="s">
        <v>2303</v>
      </c>
      <c r="C87" s="82">
        <v>15240</v>
      </c>
      <c r="D87" s="82">
        <v>15170</v>
      </c>
      <c r="E87" s="82">
        <v>18260</v>
      </c>
      <c r="F87" s="82">
        <v>3830</v>
      </c>
      <c r="G87" s="90">
        <v>10020</v>
      </c>
    </row>
    <row r="88" spans="1:7" s="72" customFormat="1" ht="14.25" customHeight="1">
      <c r="A88" s="83" t="s">
        <v>286</v>
      </c>
      <c r="B88" s="83" t="s">
        <v>2304</v>
      </c>
      <c r="C88" s="83">
        <v>17310</v>
      </c>
      <c r="D88" s="83">
        <v>17220</v>
      </c>
      <c r="E88" s="83">
        <v>18610</v>
      </c>
      <c r="F88" s="83">
        <v>3990</v>
      </c>
      <c r="G88" s="91">
        <v>11380</v>
      </c>
    </row>
    <row r="89" spans="1:7" s="72" customFormat="1" ht="14.25" customHeight="1">
      <c r="A89" s="83" t="s">
        <v>286</v>
      </c>
      <c r="B89" s="83" t="s">
        <v>2305</v>
      </c>
      <c r="C89" s="83">
        <v>15600</v>
      </c>
      <c r="D89" s="83">
        <v>15550</v>
      </c>
      <c r="E89" s="83">
        <v>19200</v>
      </c>
      <c r="F89" s="83">
        <v>4110</v>
      </c>
      <c r="G89" s="91">
        <v>10270</v>
      </c>
    </row>
    <row r="90" spans="1:7" s="72" customFormat="1" ht="14.25" customHeight="1">
      <c r="A90" s="83" t="s">
        <v>286</v>
      </c>
      <c r="B90" s="83" t="s">
        <v>2306</v>
      </c>
      <c r="C90" s="83">
        <v>17330</v>
      </c>
      <c r="D90" s="83">
        <v>17240</v>
      </c>
      <c r="E90" s="83">
        <v>18570</v>
      </c>
      <c r="F90" s="83">
        <v>4070</v>
      </c>
      <c r="G90" s="91">
        <v>11390</v>
      </c>
    </row>
    <row r="91" spans="1:7" s="72" customFormat="1" ht="14.25" customHeight="1">
      <c r="A91" s="83" t="s">
        <v>286</v>
      </c>
      <c r="B91" s="83" t="s">
        <v>2307</v>
      </c>
      <c r="C91" s="83">
        <v>16330</v>
      </c>
      <c r="D91" s="83">
        <v>16260</v>
      </c>
      <c r="E91" s="83">
        <v>16800</v>
      </c>
      <c r="F91" s="83">
        <v>3410</v>
      </c>
      <c r="G91" s="91">
        <v>10740</v>
      </c>
    </row>
    <row r="92" spans="1:7" s="72" customFormat="1" ht="14.25" customHeight="1">
      <c r="A92" s="83" t="s">
        <v>286</v>
      </c>
      <c r="B92" s="83" t="s">
        <v>2308</v>
      </c>
      <c r="C92" s="83">
        <v>15570</v>
      </c>
      <c r="D92" s="83">
        <v>15500</v>
      </c>
      <c r="E92" s="83">
        <v>17360</v>
      </c>
      <c r="F92" s="83">
        <v>3510</v>
      </c>
      <c r="G92" s="91">
        <v>10240</v>
      </c>
    </row>
    <row r="93" spans="1:7" s="72" customFormat="1" ht="14.25" customHeight="1">
      <c r="A93" s="83" t="s">
        <v>286</v>
      </c>
      <c r="B93" s="83" t="s">
        <v>2309</v>
      </c>
      <c r="C93" s="83">
        <v>14000</v>
      </c>
      <c r="D93" s="83">
        <v>13930</v>
      </c>
      <c r="E93" s="83">
        <v>18200</v>
      </c>
      <c r="F93" s="83">
        <v>3640</v>
      </c>
      <c r="G93" s="91">
        <v>9210</v>
      </c>
    </row>
    <row r="94" spans="1:7" s="72" customFormat="1" ht="14.25" customHeight="1">
      <c r="A94" s="83" t="s">
        <v>286</v>
      </c>
      <c r="B94" s="83" t="s">
        <v>2310</v>
      </c>
      <c r="C94" s="83">
        <v>14530</v>
      </c>
      <c r="D94" s="83">
        <v>14470</v>
      </c>
      <c r="E94" s="83">
        <v>18240</v>
      </c>
      <c r="F94" s="83">
        <v>3180</v>
      </c>
      <c r="G94" s="91">
        <v>9560</v>
      </c>
    </row>
    <row r="95" spans="1:7" s="72" customFormat="1" ht="14.25" customHeight="1">
      <c r="A95" s="83" t="s">
        <v>286</v>
      </c>
      <c r="B95" s="83" t="s">
        <v>2311</v>
      </c>
      <c r="C95" s="83">
        <v>17330</v>
      </c>
      <c r="D95" s="83">
        <v>17260</v>
      </c>
      <c r="E95" s="83">
        <v>18420</v>
      </c>
      <c r="F95" s="83">
        <v>3060</v>
      </c>
      <c r="G95" s="91">
        <v>11410</v>
      </c>
    </row>
    <row r="96" spans="1:7" s="72" customFormat="1" ht="14.25" customHeight="1">
      <c r="A96" s="83" t="s">
        <v>286</v>
      </c>
      <c r="B96" s="83" t="s">
        <v>2312</v>
      </c>
      <c r="C96" s="83">
        <v>15030</v>
      </c>
      <c r="D96" s="83">
        <v>14970</v>
      </c>
      <c r="E96" s="83">
        <v>17580</v>
      </c>
      <c r="F96" s="83">
        <v>2970</v>
      </c>
      <c r="G96" s="91">
        <v>9890</v>
      </c>
    </row>
    <row r="97" spans="1:7" s="72" customFormat="1" ht="14.25" customHeight="1">
      <c r="A97" s="83" t="s">
        <v>286</v>
      </c>
      <c r="B97" s="83" t="s">
        <v>2313</v>
      </c>
      <c r="C97" s="83">
        <v>17400</v>
      </c>
      <c r="D97" s="83">
        <v>17330</v>
      </c>
      <c r="E97" s="83">
        <v>16430</v>
      </c>
      <c r="F97" s="83">
        <v>2950</v>
      </c>
      <c r="G97" s="91">
        <v>11450</v>
      </c>
    </row>
    <row r="98" spans="1:7" s="72" customFormat="1" ht="14.25" customHeight="1">
      <c r="A98" s="83" t="s">
        <v>286</v>
      </c>
      <c r="B98" s="83" t="s">
        <v>2314</v>
      </c>
      <c r="C98" s="83">
        <v>15200</v>
      </c>
      <c r="D98" s="83">
        <v>15120</v>
      </c>
      <c r="E98" s="83">
        <v>17550</v>
      </c>
      <c r="F98" s="83">
        <v>3080</v>
      </c>
      <c r="G98" s="91">
        <v>9990</v>
      </c>
    </row>
    <row r="99" spans="1:7" s="72" customFormat="1" ht="14.25" customHeight="1">
      <c r="A99" s="83" t="s">
        <v>286</v>
      </c>
      <c r="B99" s="83" t="s">
        <v>2315</v>
      </c>
      <c r="C99" s="83">
        <v>17520</v>
      </c>
      <c r="D99" s="83">
        <v>17430</v>
      </c>
      <c r="E99" s="83">
        <v>16350</v>
      </c>
      <c r="F99" s="83">
        <v>3260</v>
      </c>
      <c r="G99" s="91">
        <v>11510</v>
      </c>
    </row>
    <row r="100" spans="1:7" s="72" customFormat="1" ht="14.25" customHeight="1">
      <c r="A100" s="83" t="s">
        <v>286</v>
      </c>
      <c r="B100" s="83" t="s">
        <v>2316</v>
      </c>
      <c r="C100" s="83">
        <v>15340</v>
      </c>
      <c r="D100" s="83">
        <v>15260</v>
      </c>
      <c r="E100" s="83">
        <v>15930</v>
      </c>
      <c r="F100" s="83">
        <v>2740</v>
      </c>
      <c r="G100" s="91">
        <v>10080</v>
      </c>
    </row>
    <row r="101" spans="1:7" s="72" customFormat="1" ht="14.25" customHeight="1">
      <c r="A101" s="83" t="s">
        <v>286</v>
      </c>
      <c r="B101" s="83" t="s">
        <v>2317</v>
      </c>
      <c r="C101" s="83">
        <v>14620</v>
      </c>
      <c r="D101" s="83">
        <v>14560</v>
      </c>
      <c r="E101" s="83">
        <v>15570</v>
      </c>
      <c r="F101" s="83">
        <v>3500</v>
      </c>
      <c r="G101" s="91">
        <v>9630</v>
      </c>
    </row>
    <row r="102" spans="1:7" s="72" customFormat="1" ht="14.25" customHeight="1">
      <c r="A102" s="83" t="s">
        <v>286</v>
      </c>
      <c r="B102" s="83" t="s">
        <v>2318</v>
      </c>
      <c r="C102" s="83">
        <v>13680</v>
      </c>
      <c r="D102" s="83">
        <v>13610</v>
      </c>
      <c r="E102" s="83">
        <v>15690</v>
      </c>
      <c r="F102" s="83">
        <v>2870</v>
      </c>
      <c r="G102" s="91">
        <v>8990</v>
      </c>
    </row>
    <row r="103" spans="1:7" s="72" customFormat="1" ht="14.25" customHeight="1">
      <c r="A103" s="83" t="s">
        <v>286</v>
      </c>
      <c r="B103" s="83" t="s">
        <v>2319</v>
      </c>
      <c r="C103" s="83">
        <v>14620</v>
      </c>
      <c r="D103" s="83">
        <v>14540</v>
      </c>
      <c r="E103" s="83">
        <v>15240</v>
      </c>
      <c r="F103" s="83">
        <v>2840</v>
      </c>
      <c r="G103" s="91">
        <v>9610</v>
      </c>
    </row>
    <row r="104" spans="1:7" s="72" customFormat="1" ht="14.25" customHeight="1">
      <c r="A104" s="83" t="s">
        <v>286</v>
      </c>
      <c r="B104" s="83" t="s">
        <v>2320</v>
      </c>
      <c r="C104" s="83">
        <v>13610</v>
      </c>
      <c r="D104" s="83">
        <v>13540</v>
      </c>
      <c r="E104" s="83">
        <v>15750</v>
      </c>
      <c r="F104" s="83">
        <v>2770</v>
      </c>
      <c r="G104" s="91">
        <v>8940</v>
      </c>
    </row>
    <row r="105" spans="1:7" s="72" customFormat="1" ht="14.25" customHeight="1">
      <c r="A105" s="83" t="s">
        <v>286</v>
      </c>
      <c r="B105" s="83" t="s">
        <v>2321</v>
      </c>
      <c r="C105" s="83">
        <v>13310</v>
      </c>
      <c r="D105" s="83">
        <v>13240</v>
      </c>
      <c r="E105" s="83">
        <v>16280</v>
      </c>
      <c r="F105" s="83">
        <v>3210</v>
      </c>
      <c r="G105" s="91">
        <v>8750</v>
      </c>
    </row>
    <row r="106" spans="1:7" s="72" customFormat="1" ht="14.25" customHeight="1">
      <c r="A106" s="83" t="s">
        <v>286</v>
      </c>
      <c r="B106" s="83" t="s">
        <v>2322</v>
      </c>
      <c r="C106" s="83">
        <v>13010</v>
      </c>
      <c r="D106" s="83">
        <v>12930</v>
      </c>
      <c r="E106" s="83">
        <v>14960</v>
      </c>
      <c r="F106" s="83">
        <v>3530</v>
      </c>
      <c r="G106" s="91">
        <v>8550</v>
      </c>
    </row>
    <row r="107" spans="1:7" s="72" customFormat="1" ht="14.25" customHeight="1">
      <c r="A107" s="83" t="s">
        <v>286</v>
      </c>
      <c r="B107" s="83" t="s">
        <v>2323</v>
      </c>
      <c r="C107" s="83">
        <v>13070</v>
      </c>
      <c r="D107" s="83">
        <v>13000</v>
      </c>
      <c r="E107" s="83">
        <v>15910</v>
      </c>
      <c r="F107" s="83">
        <v>3990</v>
      </c>
      <c r="G107" s="91">
        <v>8580</v>
      </c>
    </row>
    <row r="108" spans="1:7" s="72" customFormat="1" ht="14.25" customHeight="1">
      <c r="A108" s="83" t="s">
        <v>286</v>
      </c>
      <c r="B108" s="83" t="s">
        <v>2324</v>
      </c>
      <c r="C108" s="83">
        <v>12640</v>
      </c>
      <c r="D108" s="83">
        <v>12580</v>
      </c>
      <c r="E108" s="83">
        <v>15730</v>
      </c>
      <c r="F108" s="83"/>
      <c r="G108" s="91">
        <v>8310</v>
      </c>
    </row>
    <row r="109" spans="1:7" s="72" customFormat="1" ht="14.25" customHeight="1">
      <c r="A109" s="83" t="s">
        <v>286</v>
      </c>
      <c r="B109" s="83" t="s">
        <v>2325</v>
      </c>
      <c r="C109" s="83">
        <v>13130</v>
      </c>
      <c r="D109" s="83">
        <v>13070</v>
      </c>
      <c r="E109" s="83">
        <v>15000</v>
      </c>
      <c r="F109" s="83"/>
      <c r="G109" s="91">
        <v>8630</v>
      </c>
    </row>
    <row r="110" spans="1:7" s="72" customFormat="1" ht="14.25" customHeight="1">
      <c r="A110" s="83" t="s">
        <v>286</v>
      </c>
      <c r="B110" s="83" t="s">
        <v>2326</v>
      </c>
      <c r="C110" s="83">
        <v>13560</v>
      </c>
      <c r="D110" s="83">
        <v>13490</v>
      </c>
      <c r="E110" s="83">
        <v>16300</v>
      </c>
      <c r="F110" s="83"/>
      <c r="G110" s="91">
        <v>8920</v>
      </c>
    </row>
    <row r="111" spans="1:7" s="72" customFormat="1" ht="14.25" customHeight="1">
      <c r="A111" s="83" t="s">
        <v>286</v>
      </c>
      <c r="B111" s="83" t="s">
        <v>2327</v>
      </c>
      <c r="C111" s="83">
        <v>12440</v>
      </c>
      <c r="D111" s="83">
        <v>12380</v>
      </c>
      <c r="E111" s="83">
        <v>17850</v>
      </c>
      <c r="F111" s="83"/>
      <c r="G111" s="91">
        <v>8180</v>
      </c>
    </row>
    <row r="112" spans="1:7" s="72" customFormat="1" ht="14.25" customHeight="1">
      <c r="A112" s="83" t="s">
        <v>286</v>
      </c>
      <c r="B112" s="83" t="s">
        <v>2328</v>
      </c>
      <c r="C112" s="83">
        <v>13260</v>
      </c>
      <c r="D112" s="83">
        <v>13180</v>
      </c>
      <c r="E112" s="83">
        <v>19740</v>
      </c>
      <c r="F112" s="83"/>
      <c r="G112" s="91">
        <v>8710</v>
      </c>
    </row>
    <row r="113" spans="1:7" s="72" customFormat="1" ht="14.25" customHeight="1">
      <c r="A113" s="83" t="s">
        <v>286</v>
      </c>
      <c r="B113" s="83" t="s">
        <v>2329</v>
      </c>
      <c r="C113" s="83">
        <v>15520</v>
      </c>
      <c r="D113" s="83">
        <v>15450</v>
      </c>
      <c r="E113" s="83"/>
      <c r="F113" s="83"/>
      <c r="G113" s="91">
        <v>10210</v>
      </c>
    </row>
    <row r="114" spans="1:7" s="72" customFormat="1" ht="14.25" customHeight="1">
      <c r="A114" s="83" t="s">
        <v>286</v>
      </c>
      <c r="B114" s="83" t="s">
        <v>2330</v>
      </c>
      <c r="C114" s="83">
        <v>13110</v>
      </c>
      <c r="D114" s="83">
        <v>13050</v>
      </c>
      <c r="E114" s="83"/>
      <c r="F114" s="83"/>
      <c r="G114" s="91">
        <v>8620</v>
      </c>
    </row>
    <row r="115" spans="1:7" s="72" customFormat="1" ht="14.25" customHeight="1">
      <c r="A115" s="83" t="s">
        <v>286</v>
      </c>
      <c r="B115" s="83" t="s">
        <v>2331</v>
      </c>
      <c r="C115" s="83">
        <v>12460</v>
      </c>
      <c r="D115" s="83">
        <v>12390</v>
      </c>
      <c r="E115" s="83"/>
      <c r="F115" s="83"/>
      <c r="G115" s="91">
        <v>8190</v>
      </c>
    </row>
    <row r="116" spans="1:7" s="72" customFormat="1" ht="14.25" customHeight="1">
      <c r="A116" s="83" t="s">
        <v>286</v>
      </c>
      <c r="B116" s="83" t="s">
        <v>2332</v>
      </c>
      <c r="C116" s="83">
        <v>13580</v>
      </c>
      <c r="D116" s="83">
        <v>13520</v>
      </c>
      <c r="E116" s="83"/>
      <c r="F116" s="83"/>
      <c r="G116" s="91">
        <v>8930</v>
      </c>
    </row>
    <row r="117" spans="1:7" s="72" customFormat="1" ht="14.25" customHeight="1">
      <c r="A117" s="83" t="s">
        <v>286</v>
      </c>
      <c r="B117" s="83" t="s">
        <v>2333</v>
      </c>
      <c r="C117" s="83">
        <v>17120</v>
      </c>
      <c r="D117" s="83">
        <v>17040</v>
      </c>
      <c r="E117" s="83"/>
      <c r="F117" s="83"/>
      <c r="G117" s="91">
        <v>11260</v>
      </c>
    </row>
    <row r="118" spans="1:7" s="72" customFormat="1" ht="14.25" customHeight="1">
      <c r="A118" s="83" t="s">
        <v>286</v>
      </c>
      <c r="B118" s="83" t="s">
        <v>2334</v>
      </c>
      <c r="C118" s="83">
        <v>14860</v>
      </c>
      <c r="D118" s="83">
        <v>14790</v>
      </c>
      <c r="E118" s="83"/>
      <c r="F118" s="83"/>
      <c r="G118" s="91">
        <v>9780</v>
      </c>
    </row>
    <row r="119" spans="1:7" s="72" customFormat="1" ht="14.25" customHeight="1">
      <c r="A119" s="83" t="s">
        <v>286</v>
      </c>
      <c r="B119" s="83" t="s">
        <v>2335</v>
      </c>
      <c r="C119" s="83">
        <v>16470</v>
      </c>
      <c r="D119" s="83">
        <v>16400</v>
      </c>
      <c r="E119" s="83"/>
      <c r="F119" s="83"/>
      <c r="G119" s="91">
        <v>10840</v>
      </c>
    </row>
    <row r="120" spans="1:7" s="72" customFormat="1" ht="14.25" customHeight="1">
      <c r="A120" s="83" t="s">
        <v>286</v>
      </c>
      <c r="B120" s="83" t="s">
        <v>2336</v>
      </c>
      <c r="C120" s="83"/>
      <c r="D120" s="83"/>
      <c r="E120" s="83"/>
      <c r="F120" s="83">
        <v>4160</v>
      </c>
      <c r="G120" s="91"/>
    </row>
    <row r="121" spans="1:7" s="72" customFormat="1" ht="14.25" customHeight="1">
      <c r="A121" s="83" t="s">
        <v>286</v>
      </c>
      <c r="B121" s="83" t="s">
        <v>2337</v>
      </c>
      <c r="C121" s="83"/>
      <c r="D121" s="83"/>
      <c r="E121" s="83"/>
      <c r="F121" s="83">
        <v>3880</v>
      </c>
      <c r="G121" s="91"/>
    </row>
    <row r="122" spans="1:7" s="72" customFormat="1" ht="14.25" customHeight="1">
      <c r="A122" s="83" t="s">
        <v>286</v>
      </c>
      <c r="B122" s="83" t="s">
        <v>2338</v>
      </c>
      <c r="C122" s="83">
        <v>13750</v>
      </c>
      <c r="D122" s="83">
        <v>13680</v>
      </c>
      <c r="E122" s="83">
        <v>16460</v>
      </c>
      <c r="F122" s="83">
        <v>2880</v>
      </c>
      <c r="G122" s="91">
        <v>9040</v>
      </c>
    </row>
    <row r="123" spans="1:7" s="72" customFormat="1" ht="14.25" customHeight="1">
      <c r="A123" s="83" t="s">
        <v>286</v>
      </c>
      <c r="B123" s="83" t="s">
        <v>2339</v>
      </c>
      <c r="C123" s="83">
        <v>13590</v>
      </c>
      <c r="D123" s="83">
        <v>13520</v>
      </c>
      <c r="E123" s="83">
        <v>16290</v>
      </c>
      <c r="F123" s="83">
        <v>2790</v>
      </c>
      <c r="G123" s="91">
        <v>8930</v>
      </c>
    </row>
    <row r="124" spans="1:7" s="72" customFormat="1" ht="14.25" customHeight="1">
      <c r="A124" s="83" t="s">
        <v>286</v>
      </c>
      <c r="B124" s="83" t="s">
        <v>2340</v>
      </c>
      <c r="C124" s="83">
        <v>13400</v>
      </c>
      <c r="D124" s="83">
        <v>13320</v>
      </c>
      <c r="E124" s="83">
        <v>16100</v>
      </c>
      <c r="F124" s="83">
        <v>2320</v>
      </c>
      <c r="G124" s="91">
        <v>8800</v>
      </c>
    </row>
    <row r="125" spans="1:7" s="72" customFormat="1" ht="14.25" customHeight="1">
      <c r="A125" s="83" t="s">
        <v>286</v>
      </c>
      <c r="B125" s="83" t="s">
        <v>2341</v>
      </c>
      <c r="C125" s="83">
        <v>12860</v>
      </c>
      <c r="D125" s="83">
        <v>12790</v>
      </c>
      <c r="E125" s="83">
        <v>15370</v>
      </c>
      <c r="F125" s="83">
        <v>2280</v>
      </c>
      <c r="G125" s="91">
        <v>8450</v>
      </c>
    </row>
    <row r="126" spans="1:7" s="72" customFormat="1" ht="14.25" customHeight="1">
      <c r="A126" s="92" t="s">
        <v>286</v>
      </c>
      <c r="B126" s="87" t="s">
        <v>2342</v>
      </c>
      <c r="C126" s="87">
        <v>12960</v>
      </c>
      <c r="D126" s="87">
        <v>12890</v>
      </c>
      <c r="E126" s="87">
        <v>15530</v>
      </c>
      <c r="F126" s="87">
        <v>2910</v>
      </c>
      <c r="G126" s="93">
        <v>8520</v>
      </c>
    </row>
    <row r="127" spans="1:7" s="72" customFormat="1" ht="14.25" customHeight="1">
      <c r="A127" s="81" t="s">
        <v>295</v>
      </c>
      <c r="B127" s="82" t="s">
        <v>2343</v>
      </c>
      <c r="C127" s="83">
        <v>12280</v>
      </c>
      <c r="D127" s="83">
        <v>12250</v>
      </c>
      <c r="E127" s="83">
        <v>15130</v>
      </c>
      <c r="F127" s="83">
        <v>2710</v>
      </c>
      <c r="G127" s="83">
        <v>7870</v>
      </c>
    </row>
    <row r="128" spans="1:7" s="72" customFormat="1" ht="14.25" customHeight="1">
      <c r="A128" s="83" t="s">
        <v>295</v>
      </c>
      <c r="B128" s="83" t="s">
        <v>2344</v>
      </c>
      <c r="C128" s="83">
        <v>13180</v>
      </c>
      <c r="D128" s="83">
        <v>13150</v>
      </c>
      <c r="E128" s="83">
        <v>16190</v>
      </c>
      <c r="F128" s="83">
        <v>2820</v>
      </c>
      <c r="G128" s="83">
        <v>8460</v>
      </c>
    </row>
    <row r="129" spans="1:7" s="72" customFormat="1" ht="14.25" customHeight="1">
      <c r="A129" s="83" t="s">
        <v>295</v>
      </c>
      <c r="B129" s="83" t="s">
        <v>2345</v>
      </c>
      <c r="C129" s="83">
        <v>10950</v>
      </c>
      <c r="D129" s="83">
        <v>10920</v>
      </c>
      <c r="E129" s="83">
        <v>13820</v>
      </c>
      <c r="F129" s="83">
        <v>2500</v>
      </c>
      <c r="G129" s="83">
        <v>7020</v>
      </c>
    </row>
    <row r="130" spans="1:7" s="72" customFormat="1" ht="14.25" customHeight="1">
      <c r="A130" s="83" t="s">
        <v>295</v>
      </c>
      <c r="B130" s="83" t="s">
        <v>2346</v>
      </c>
      <c r="C130" s="83">
        <v>10910</v>
      </c>
      <c r="D130" s="83">
        <v>10860</v>
      </c>
      <c r="E130" s="83">
        <v>13730</v>
      </c>
      <c r="F130" s="83">
        <v>2760</v>
      </c>
      <c r="G130" s="83">
        <v>6990</v>
      </c>
    </row>
    <row r="131" spans="1:7" s="72" customFormat="1" ht="14.25" customHeight="1">
      <c r="A131" s="83" t="s">
        <v>295</v>
      </c>
      <c r="B131" s="83" t="s">
        <v>2347</v>
      </c>
      <c r="C131" s="83">
        <v>12910</v>
      </c>
      <c r="D131" s="83">
        <v>12870</v>
      </c>
      <c r="E131" s="83">
        <v>15720</v>
      </c>
      <c r="F131" s="83">
        <v>2750</v>
      </c>
      <c r="G131" s="83">
        <v>8280</v>
      </c>
    </row>
    <row r="132" spans="1:7" s="72" customFormat="1" ht="14.25" customHeight="1">
      <c r="A132" s="83" t="s">
        <v>295</v>
      </c>
      <c r="B132" s="83" t="s">
        <v>2348</v>
      </c>
      <c r="C132" s="83">
        <v>11910</v>
      </c>
      <c r="D132" s="83">
        <v>11860</v>
      </c>
      <c r="E132" s="83">
        <v>14730</v>
      </c>
      <c r="F132" s="83">
        <v>2360</v>
      </c>
      <c r="G132" s="83">
        <v>7630</v>
      </c>
    </row>
    <row r="133" spans="1:7" s="72" customFormat="1" ht="14.25" customHeight="1">
      <c r="A133" s="83" t="s">
        <v>295</v>
      </c>
      <c r="B133" s="83" t="s">
        <v>2349</v>
      </c>
      <c r="C133" s="83">
        <v>12270</v>
      </c>
      <c r="D133" s="83">
        <v>12210</v>
      </c>
      <c r="E133" s="83">
        <v>15010</v>
      </c>
      <c r="F133" s="83">
        <v>2580</v>
      </c>
      <c r="G133" s="83">
        <v>7860</v>
      </c>
    </row>
    <row r="134" spans="1:7" s="72" customFormat="1" ht="14.25" customHeight="1">
      <c r="A134" s="83" t="s">
        <v>295</v>
      </c>
      <c r="B134" s="83" t="s">
        <v>2350</v>
      </c>
      <c r="C134" s="83">
        <v>10800</v>
      </c>
      <c r="D134" s="83">
        <v>10780</v>
      </c>
      <c r="E134" s="83">
        <v>13640</v>
      </c>
      <c r="F134" s="83">
        <v>2110</v>
      </c>
      <c r="G134" s="83">
        <v>6930</v>
      </c>
    </row>
    <row r="135" spans="1:7" s="72" customFormat="1" ht="14.25" customHeight="1">
      <c r="A135" s="83" t="s">
        <v>295</v>
      </c>
      <c r="B135" s="83" t="s">
        <v>2351</v>
      </c>
      <c r="C135" s="83">
        <v>10430</v>
      </c>
      <c r="D135" s="83">
        <v>10390</v>
      </c>
      <c r="E135" s="83">
        <v>13140</v>
      </c>
      <c r="F135" s="83">
        <v>2240</v>
      </c>
      <c r="G135" s="83">
        <v>6680</v>
      </c>
    </row>
    <row r="136" spans="1:7" s="72" customFormat="1" ht="14.25" customHeight="1">
      <c r="A136" s="83" t="s">
        <v>295</v>
      </c>
      <c r="B136" s="83" t="s">
        <v>2352</v>
      </c>
      <c r="C136" s="83">
        <v>11930</v>
      </c>
      <c r="D136" s="83">
        <v>11880</v>
      </c>
      <c r="E136" s="83">
        <v>14770</v>
      </c>
      <c r="F136" s="83">
        <v>1970</v>
      </c>
      <c r="G136" s="83">
        <v>7640</v>
      </c>
    </row>
    <row r="137" spans="1:7" s="72" customFormat="1" ht="14.25" customHeight="1">
      <c r="A137" s="83" t="s">
        <v>295</v>
      </c>
      <c r="B137" s="83" t="s">
        <v>2353</v>
      </c>
      <c r="C137" s="83">
        <v>10470</v>
      </c>
      <c r="D137" s="83">
        <v>10430</v>
      </c>
      <c r="E137" s="83">
        <v>13190</v>
      </c>
      <c r="F137" s="83">
        <v>1990</v>
      </c>
      <c r="G137" s="83">
        <v>6710</v>
      </c>
    </row>
    <row r="138" spans="1:7" s="72" customFormat="1" ht="14.25" customHeight="1">
      <c r="A138" s="83" t="s">
        <v>295</v>
      </c>
      <c r="B138" s="83" t="s">
        <v>2354</v>
      </c>
      <c r="C138" s="83">
        <v>10410</v>
      </c>
      <c r="D138" s="83">
        <v>10380</v>
      </c>
      <c r="E138" s="83">
        <v>13130</v>
      </c>
      <c r="F138" s="83">
        <v>2030</v>
      </c>
      <c r="G138" s="83">
        <v>6680</v>
      </c>
    </row>
    <row r="139" spans="1:7" s="72" customFormat="1" ht="14.25" customHeight="1">
      <c r="A139" s="83" t="s">
        <v>295</v>
      </c>
      <c r="B139" s="83" t="s">
        <v>2355</v>
      </c>
      <c r="C139" s="83">
        <v>9460</v>
      </c>
      <c r="D139" s="83">
        <v>9410</v>
      </c>
      <c r="E139" s="83">
        <v>12050</v>
      </c>
      <c r="F139" s="83">
        <v>2140</v>
      </c>
      <c r="G139" s="83">
        <v>6050</v>
      </c>
    </row>
    <row r="140" spans="1:7" s="72" customFormat="1" ht="14.25" customHeight="1">
      <c r="A140" s="83" t="s">
        <v>295</v>
      </c>
      <c r="B140" s="83" t="s">
        <v>2356</v>
      </c>
      <c r="C140" s="83">
        <v>11030</v>
      </c>
      <c r="D140" s="83">
        <v>10980</v>
      </c>
      <c r="E140" s="83">
        <v>13880</v>
      </c>
      <c r="F140" s="83">
        <v>2210</v>
      </c>
      <c r="G140" s="83">
        <v>7060</v>
      </c>
    </row>
    <row r="141" spans="1:7" s="72" customFormat="1" ht="14.25" customHeight="1">
      <c r="A141" s="83" t="s">
        <v>295</v>
      </c>
      <c r="B141" s="83" t="s">
        <v>2357</v>
      </c>
      <c r="C141" s="83">
        <v>11200</v>
      </c>
      <c r="D141" s="83">
        <v>11150</v>
      </c>
      <c r="E141" s="83">
        <v>14100</v>
      </c>
      <c r="F141" s="83">
        <v>2470</v>
      </c>
      <c r="G141" s="83">
        <v>7170</v>
      </c>
    </row>
    <row r="142" spans="1:7" s="72" customFormat="1" ht="14.25" customHeight="1">
      <c r="A142" s="83" t="s">
        <v>295</v>
      </c>
      <c r="B142" s="83" t="s">
        <v>2358</v>
      </c>
      <c r="C142" s="83">
        <v>10780</v>
      </c>
      <c r="D142" s="83">
        <v>10730</v>
      </c>
      <c r="E142" s="83">
        <v>13540</v>
      </c>
      <c r="F142" s="83">
        <v>2280</v>
      </c>
      <c r="G142" s="83">
        <v>6900</v>
      </c>
    </row>
    <row r="143" spans="1:7" s="72" customFormat="1" ht="14.25" customHeight="1">
      <c r="A143" s="83" t="s">
        <v>295</v>
      </c>
      <c r="B143" s="83" t="s">
        <v>2359</v>
      </c>
      <c r="C143" s="83">
        <v>11550</v>
      </c>
      <c r="D143" s="83">
        <v>11490</v>
      </c>
      <c r="E143" s="83">
        <v>14480</v>
      </c>
      <c r="F143" s="83">
        <v>2070</v>
      </c>
      <c r="G143" s="83">
        <v>7390</v>
      </c>
    </row>
    <row r="144" spans="1:7" s="72" customFormat="1" ht="14.25" customHeight="1">
      <c r="A144" s="83" t="s">
        <v>295</v>
      </c>
      <c r="B144" s="83" t="s">
        <v>2360</v>
      </c>
      <c r="C144" s="83">
        <v>10720</v>
      </c>
      <c r="D144" s="83">
        <v>10680</v>
      </c>
      <c r="E144" s="83">
        <v>13480</v>
      </c>
      <c r="F144" s="83">
        <v>2440</v>
      </c>
      <c r="G144" s="83">
        <v>6870</v>
      </c>
    </row>
    <row r="145" spans="1:7" s="72" customFormat="1" ht="14.25" customHeight="1">
      <c r="A145" s="83" t="s">
        <v>295</v>
      </c>
      <c r="B145" s="83" t="s">
        <v>2361</v>
      </c>
      <c r="C145" s="83">
        <v>10340</v>
      </c>
      <c r="D145" s="83">
        <v>10290</v>
      </c>
      <c r="E145" s="83">
        <v>12880</v>
      </c>
      <c r="F145" s="83">
        <v>2650</v>
      </c>
      <c r="G145" s="83">
        <v>6620</v>
      </c>
    </row>
    <row r="146" spans="1:7" s="72" customFormat="1" ht="14.25" customHeight="1">
      <c r="A146" s="83" t="s">
        <v>295</v>
      </c>
      <c r="B146" s="83" t="s">
        <v>2362</v>
      </c>
      <c r="C146" s="83">
        <v>11890</v>
      </c>
      <c r="D146" s="83">
        <v>11830</v>
      </c>
      <c r="E146" s="83">
        <v>14670</v>
      </c>
      <c r="F146" s="83"/>
      <c r="G146" s="83">
        <v>7610</v>
      </c>
    </row>
    <row r="147" spans="1:7" s="72" customFormat="1" ht="14.25" customHeight="1">
      <c r="A147" s="83" t="s">
        <v>295</v>
      </c>
      <c r="B147" s="83" t="s">
        <v>2363</v>
      </c>
      <c r="C147" s="83">
        <v>12650</v>
      </c>
      <c r="D147" s="83">
        <v>12600</v>
      </c>
      <c r="E147" s="83">
        <v>15440</v>
      </c>
      <c r="F147" s="83"/>
      <c r="G147" s="83">
        <v>8110</v>
      </c>
    </row>
    <row r="148" spans="1:7" s="72" customFormat="1" ht="14.25" customHeight="1">
      <c r="A148" s="83" t="s">
        <v>295</v>
      </c>
      <c r="B148" s="83" t="s">
        <v>2364</v>
      </c>
      <c r="C148" s="83">
        <v>10370</v>
      </c>
      <c r="D148" s="83">
        <v>10310</v>
      </c>
      <c r="E148" s="83">
        <v>12970</v>
      </c>
      <c r="F148" s="83"/>
      <c r="G148" s="83">
        <v>6630</v>
      </c>
    </row>
    <row r="149" spans="1:7" s="72" customFormat="1" ht="14.25" customHeight="1">
      <c r="A149" s="83" t="s">
        <v>295</v>
      </c>
      <c r="B149" s="83" t="s">
        <v>2365</v>
      </c>
      <c r="C149" s="83">
        <v>11600</v>
      </c>
      <c r="D149" s="83">
        <v>11560</v>
      </c>
      <c r="E149" s="83">
        <v>14540</v>
      </c>
      <c r="F149" s="83">
        <v>2390</v>
      </c>
      <c r="G149" s="83">
        <v>7430</v>
      </c>
    </row>
    <row r="150" spans="1:7" s="72" customFormat="1" ht="14.25" customHeight="1">
      <c r="A150" s="83" t="s">
        <v>295</v>
      </c>
      <c r="B150" s="83" t="s">
        <v>2366</v>
      </c>
      <c r="C150" s="83">
        <v>9950</v>
      </c>
      <c r="D150" s="83">
        <v>9890</v>
      </c>
      <c r="E150" s="83">
        <v>12590</v>
      </c>
      <c r="F150" s="83">
        <v>1970</v>
      </c>
      <c r="G150" s="83">
        <v>6360</v>
      </c>
    </row>
    <row r="151" spans="1:7" s="72" customFormat="1" ht="14.25" customHeight="1">
      <c r="A151" s="83" t="s">
        <v>295</v>
      </c>
      <c r="B151" s="83" t="s">
        <v>2367</v>
      </c>
      <c r="C151" s="83">
        <v>10700</v>
      </c>
      <c r="D151" s="83">
        <v>10650</v>
      </c>
      <c r="E151" s="83">
        <v>13420</v>
      </c>
      <c r="F151" s="83">
        <v>2020</v>
      </c>
      <c r="G151" s="83">
        <v>6850</v>
      </c>
    </row>
    <row r="152" spans="1:7" s="72" customFormat="1" ht="14.25" customHeight="1">
      <c r="A152" s="83" t="s">
        <v>295</v>
      </c>
      <c r="B152" s="83" t="s">
        <v>2368</v>
      </c>
      <c r="C152" s="83">
        <v>10310</v>
      </c>
      <c r="D152" s="83">
        <v>10260</v>
      </c>
      <c r="E152" s="83">
        <v>12820</v>
      </c>
      <c r="F152" s="83">
        <v>1980</v>
      </c>
      <c r="G152" s="83">
        <v>6600</v>
      </c>
    </row>
    <row r="153" spans="1:7" s="72" customFormat="1" ht="14.25" customHeight="1">
      <c r="A153" s="83" t="s">
        <v>295</v>
      </c>
      <c r="B153" s="83" t="s">
        <v>2369</v>
      </c>
      <c r="C153" s="83">
        <v>10880</v>
      </c>
      <c r="D153" s="83">
        <v>10820</v>
      </c>
      <c r="E153" s="83">
        <v>13660</v>
      </c>
      <c r="F153" s="83">
        <v>2260</v>
      </c>
      <c r="G153" s="83">
        <v>6970</v>
      </c>
    </row>
    <row r="154" spans="1:7" s="72" customFormat="1" ht="14.25" customHeight="1">
      <c r="A154" s="83" t="s">
        <v>295</v>
      </c>
      <c r="B154" s="83" t="s">
        <v>2370</v>
      </c>
      <c r="C154" s="83">
        <v>11220</v>
      </c>
      <c r="D154" s="83">
        <v>11160</v>
      </c>
      <c r="E154" s="83">
        <v>14130</v>
      </c>
      <c r="F154" s="83">
        <v>2230</v>
      </c>
      <c r="G154" s="83">
        <v>7180</v>
      </c>
    </row>
    <row r="155" spans="1:7" s="72" customFormat="1" ht="14.25" customHeight="1">
      <c r="A155" s="83" t="s">
        <v>295</v>
      </c>
      <c r="B155" s="83" t="s">
        <v>2371</v>
      </c>
      <c r="C155" s="83">
        <v>10430</v>
      </c>
      <c r="D155" s="83">
        <v>10380</v>
      </c>
      <c r="E155" s="83">
        <v>13140</v>
      </c>
      <c r="F155" s="83">
        <v>2080</v>
      </c>
      <c r="G155" s="83">
        <v>6650</v>
      </c>
    </row>
    <row r="156" spans="1:7" s="72" customFormat="1" ht="14.25" customHeight="1">
      <c r="A156" s="83" t="s">
        <v>295</v>
      </c>
      <c r="B156" s="83" t="s">
        <v>2372</v>
      </c>
      <c r="C156" s="83">
        <v>10440</v>
      </c>
      <c r="D156" s="83">
        <v>10400</v>
      </c>
      <c r="E156" s="83">
        <v>13150</v>
      </c>
      <c r="F156" s="83">
        <v>2490</v>
      </c>
      <c r="G156" s="83">
        <v>6690</v>
      </c>
    </row>
    <row r="157" spans="1:7" s="72" customFormat="1" ht="14.25" customHeight="1">
      <c r="A157" s="83" t="s">
        <v>295</v>
      </c>
      <c r="B157" s="83" t="s">
        <v>2373</v>
      </c>
      <c r="C157" s="83">
        <v>10970</v>
      </c>
      <c r="D157" s="83">
        <v>10920</v>
      </c>
      <c r="E157" s="83">
        <v>13840</v>
      </c>
      <c r="F157" s="83">
        <v>2420</v>
      </c>
      <c r="G157" s="83">
        <v>7020</v>
      </c>
    </row>
    <row r="158" spans="1:7" s="72" customFormat="1" ht="14.25" customHeight="1">
      <c r="A158" s="83" t="s">
        <v>295</v>
      </c>
      <c r="B158" s="83" t="s">
        <v>2374</v>
      </c>
      <c r="C158" s="83">
        <v>9590</v>
      </c>
      <c r="D158" s="83">
        <v>9540</v>
      </c>
      <c r="E158" s="83">
        <v>12210</v>
      </c>
      <c r="F158" s="83">
        <v>2100</v>
      </c>
      <c r="G158" s="83">
        <v>6130</v>
      </c>
    </row>
    <row r="159" spans="1:7" s="72" customFormat="1" ht="14.25" customHeight="1">
      <c r="A159" s="83" t="s">
        <v>295</v>
      </c>
      <c r="B159" s="83" t="s">
        <v>2375</v>
      </c>
      <c r="C159" s="83">
        <v>11190</v>
      </c>
      <c r="D159" s="83">
        <v>11140</v>
      </c>
      <c r="E159" s="83">
        <v>14090</v>
      </c>
      <c r="F159" s="83">
        <v>2470</v>
      </c>
      <c r="G159" s="83">
        <v>7170</v>
      </c>
    </row>
    <row r="160" spans="1:7" s="72" customFormat="1" ht="14.25" customHeight="1">
      <c r="A160" s="83" t="s">
        <v>295</v>
      </c>
      <c r="B160" s="83" t="s">
        <v>2376</v>
      </c>
      <c r="C160" s="83">
        <v>11180</v>
      </c>
      <c r="D160" s="83">
        <v>11140</v>
      </c>
      <c r="E160" s="83">
        <v>14050</v>
      </c>
      <c r="F160" s="83">
        <v>2270</v>
      </c>
      <c r="G160" s="83">
        <v>7170</v>
      </c>
    </row>
    <row r="161" spans="1:7" s="72" customFormat="1" ht="14.25" customHeight="1">
      <c r="A161" s="83" t="s">
        <v>295</v>
      </c>
      <c r="B161" s="83" t="s">
        <v>2377</v>
      </c>
      <c r="C161" s="83">
        <v>11160</v>
      </c>
      <c r="D161" s="83">
        <v>11120</v>
      </c>
      <c r="E161" s="83">
        <v>14020</v>
      </c>
      <c r="F161" s="83">
        <v>2150</v>
      </c>
      <c r="G161" s="83">
        <v>7160</v>
      </c>
    </row>
    <row r="162" spans="1:7" s="72" customFormat="1" ht="14.25" customHeight="1">
      <c r="A162" s="83" t="s">
        <v>295</v>
      </c>
      <c r="B162" s="83" t="s">
        <v>2378</v>
      </c>
      <c r="C162" s="83">
        <v>9620</v>
      </c>
      <c r="D162" s="83">
        <v>9570</v>
      </c>
      <c r="E162" s="83">
        <v>12320</v>
      </c>
      <c r="F162" s="83">
        <v>2010</v>
      </c>
      <c r="G162" s="83">
        <v>6160</v>
      </c>
    </row>
    <row r="163" spans="1:7" s="72" customFormat="1" ht="14.25" customHeight="1">
      <c r="A163" s="83" t="s">
        <v>295</v>
      </c>
      <c r="B163" s="83" t="s">
        <v>2379</v>
      </c>
      <c r="C163" s="83">
        <v>9320</v>
      </c>
      <c r="D163" s="83">
        <v>9270</v>
      </c>
      <c r="E163" s="83">
        <v>11790</v>
      </c>
      <c r="F163" s="83">
        <v>1920</v>
      </c>
      <c r="G163" s="83">
        <v>5960</v>
      </c>
    </row>
    <row r="164" spans="1:7" s="72" customFormat="1" ht="14.25" customHeight="1">
      <c r="A164" s="83" t="s">
        <v>295</v>
      </c>
      <c r="B164" s="83" t="s">
        <v>2380</v>
      </c>
      <c r="C164" s="83"/>
      <c r="D164" s="83"/>
      <c r="E164" s="83"/>
      <c r="F164" s="83">
        <v>1980</v>
      </c>
      <c r="G164" s="83"/>
    </row>
    <row r="165" spans="1:7" s="72" customFormat="1" ht="14.25" customHeight="1">
      <c r="A165" s="83" t="s">
        <v>295</v>
      </c>
      <c r="B165" s="83" t="s">
        <v>2381</v>
      </c>
      <c r="C165" s="83">
        <v>11060</v>
      </c>
      <c r="D165" s="83">
        <v>11030</v>
      </c>
      <c r="E165" s="83">
        <v>13850</v>
      </c>
      <c r="F165" s="83">
        <v>2170</v>
      </c>
      <c r="G165" s="83">
        <v>7090</v>
      </c>
    </row>
    <row r="166" spans="1:7" s="72" customFormat="1" ht="14.25" customHeight="1">
      <c r="A166" s="83" t="s">
        <v>295</v>
      </c>
      <c r="B166" s="83" t="s">
        <v>2382</v>
      </c>
      <c r="C166" s="83">
        <v>11050</v>
      </c>
      <c r="D166" s="83">
        <v>11010</v>
      </c>
      <c r="E166" s="83">
        <v>13920</v>
      </c>
      <c r="F166" s="83">
        <v>2140</v>
      </c>
      <c r="G166" s="83">
        <v>7080</v>
      </c>
    </row>
    <row r="167" spans="1:7" s="72" customFormat="1" ht="14.25" customHeight="1">
      <c r="A167" s="83" t="s">
        <v>295</v>
      </c>
      <c r="B167" s="83" t="s">
        <v>2383</v>
      </c>
      <c r="C167" s="83">
        <v>10930</v>
      </c>
      <c r="D167" s="83">
        <v>10890</v>
      </c>
      <c r="E167" s="83">
        <v>13790</v>
      </c>
      <c r="F167" s="83">
        <v>2010</v>
      </c>
      <c r="G167" s="83">
        <v>7000</v>
      </c>
    </row>
    <row r="168" spans="1:7" s="72" customFormat="1" ht="14.25" customHeight="1">
      <c r="A168" s="83" t="s">
        <v>295</v>
      </c>
      <c r="B168" s="83" t="s">
        <v>2384</v>
      </c>
      <c r="C168" s="83">
        <v>9420</v>
      </c>
      <c r="D168" s="83">
        <v>9380</v>
      </c>
      <c r="E168" s="83">
        <v>11970</v>
      </c>
      <c r="F168" s="83"/>
      <c r="G168" s="83">
        <v>6040</v>
      </c>
    </row>
    <row r="169" spans="1:7" s="72" customFormat="1" ht="14.25" customHeight="1">
      <c r="A169" s="83" t="s">
        <v>295</v>
      </c>
      <c r="B169" s="83" t="s">
        <v>2385</v>
      </c>
      <c r="C169" s="83"/>
      <c r="D169" s="83"/>
      <c r="E169" s="83"/>
      <c r="F169" s="83">
        <v>2880</v>
      </c>
      <c r="G169" s="83"/>
    </row>
    <row r="170" spans="1:7" s="72" customFormat="1" ht="14.25" customHeight="1">
      <c r="A170" s="83" t="s">
        <v>295</v>
      </c>
      <c r="B170" s="83" t="s">
        <v>2386</v>
      </c>
      <c r="C170" s="83"/>
      <c r="D170" s="83"/>
      <c r="E170" s="83"/>
      <c r="F170" s="83">
        <v>2880</v>
      </c>
      <c r="G170" s="83"/>
    </row>
    <row r="171" spans="1:7" s="72" customFormat="1" ht="14.25" customHeight="1">
      <c r="A171" s="83" t="s">
        <v>295</v>
      </c>
      <c r="B171" s="83" t="s">
        <v>2387</v>
      </c>
      <c r="C171" s="83"/>
      <c r="D171" s="83"/>
      <c r="E171" s="83"/>
      <c r="F171" s="83">
        <v>2880</v>
      </c>
      <c r="G171" s="83"/>
    </row>
    <row r="172" spans="1:7" s="72" customFormat="1" ht="14.25" customHeight="1">
      <c r="A172" s="83" t="s">
        <v>295</v>
      </c>
      <c r="B172" s="83" t="s">
        <v>2388</v>
      </c>
      <c r="C172" s="83"/>
      <c r="D172" s="83"/>
      <c r="E172" s="83"/>
      <c r="F172" s="83">
        <v>2880</v>
      </c>
      <c r="G172" s="83"/>
    </row>
    <row r="173" spans="1:7" s="72" customFormat="1" ht="14.25" customHeight="1">
      <c r="A173" s="83" t="s">
        <v>295</v>
      </c>
      <c r="B173" s="83" t="s">
        <v>2389</v>
      </c>
      <c r="C173" s="83"/>
      <c r="D173" s="83"/>
      <c r="E173" s="83"/>
      <c r="F173" s="83">
        <v>2150</v>
      </c>
      <c r="G173" s="83"/>
    </row>
    <row r="174" spans="1:7" s="72" customFormat="1" ht="14.25" customHeight="1">
      <c r="A174" s="83" t="s">
        <v>295</v>
      </c>
      <c r="B174" s="83" t="s">
        <v>2390</v>
      </c>
      <c r="C174" s="83"/>
      <c r="D174" s="83"/>
      <c r="E174" s="83"/>
      <c r="F174" s="83">
        <v>2030</v>
      </c>
      <c r="G174" s="83"/>
    </row>
    <row r="175" spans="1:7" s="72" customFormat="1" ht="14.25" customHeight="1">
      <c r="A175" s="83" t="s">
        <v>295</v>
      </c>
      <c r="B175" s="83" t="s">
        <v>2391</v>
      </c>
      <c r="C175" s="83"/>
      <c r="D175" s="83"/>
      <c r="E175" s="83"/>
      <c r="F175" s="83">
        <v>2780</v>
      </c>
      <c r="G175" s="83"/>
    </row>
    <row r="176" spans="1:7" s="72" customFormat="1" ht="14.25" customHeight="1">
      <c r="A176" s="83" t="s">
        <v>295</v>
      </c>
      <c r="B176" s="83" t="s">
        <v>2392</v>
      </c>
      <c r="C176" s="83"/>
      <c r="D176" s="83"/>
      <c r="E176" s="83"/>
      <c r="F176" s="83">
        <v>2780</v>
      </c>
      <c r="G176" s="83"/>
    </row>
    <row r="177" spans="1:7" s="72" customFormat="1" ht="14.25" customHeight="1">
      <c r="A177" s="83" t="s">
        <v>295</v>
      </c>
      <c r="B177" s="83" t="s">
        <v>2393</v>
      </c>
      <c r="C177" s="83"/>
      <c r="D177" s="83"/>
      <c r="E177" s="83"/>
      <c r="F177" s="83">
        <v>2780</v>
      </c>
      <c r="G177" s="83"/>
    </row>
    <row r="178" spans="1:7" s="72" customFormat="1" ht="14.25" customHeight="1">
      <c r="A178" s="83" t="s">
        <v>295</v>
      </c>
      <c r="B178" s="83" t="s">
        <v>2394</v>
      </c>
      <c r="C178" s="83"/>
      <c r="D178" s="83"/>
      <c r="E178" s="83"/>
      <c r="F178" s="83">
        <v>2060</v>
      </c>
      <c r="G178" s="83"/>
    </row>
    <row r="179" spans="1:7" s="72" customFormat="1" ht="14.25" customHeight="1">
      <c r="A179" s="83" t="s">
        <v>295</v>
      </c>
      <c r="B179" s="83" t="s">
        <v>2395</v>
      </c>
      <c r="C179" s="83"/>
      <c r="D179" s="83"/>
      <c r="E179" s="83"/>
      <c r="F179" s="83">
        <v>2120</v>
      </c>
      <c r="G179" s="83"/>
    </row>
    <row r="180" spans="1:7" s="72" customFormat="1" ht="14.25" customHeight="1">
      <c r="A180" s="83" t="s">
        <v>295</v>
      </c>
      <c r="B180" s="83" t="s">
        <v>2396</v>
      </c>
      <c r="C180" s="83"/>
      <c r="D180" s="83"/>
      <c r="E180" s="83"/>
      <c r="F180" s="83">
        <v>2340</v>
      </c>
      <c r="G180" s="83"/>
    </row>
    <row r="181" spans="1:7" s="72" customFormat="1" ht="14.25" customHeight="1">
      <c r="A181" s="83" t="s">
        <v>295</v>
      </c>
      <c r="B181" s="83" t="s">
        <v>2397</v>
      </c>
      <c r="C181" s="83"/>
      <c r="D181" s="83"/>
      <c r="E181" s="83"/>
      <c r="F181" s="83">
        <v>2340</v>
      </c>
      <c r="G181" s="83"/>
    </row>
    <row r="182" spans="1:7" s="72" customFormat="1" ht="14.25" customHeight="1">
      <c r="A182" s="83" t="s">
        <v>295</v>
      </c>
      <c r="B182" s="83" t="s">
        <v>2398</v>
      </c>
      <c r="C182" s="83"/>
      <c r="D182" s="83"/>
      <c r="E182" s="83"/>
      <c r="F182" s="83">
        <v>2340</v>
      </c>
      <c r="G182" s="83"/>
    </row>
    <row r="183" spans="1:7" s="72" customFormat="1" ht="14.25" customHeight="1">
      <c r="A183" s="83" t="s">
        <v>295</v>
      </c>
      <c r="B183" s="83" t="s">
        <v>2399</v>
      </c>
      <c r="C183" s="83"/>
      <c r="D183" s="83"/>
      <c r="E183" s="83"/>
      <c r="F183" s="83">
        <v>2340</v>
      </c>
      <c r="G183" s="83"/>
    </row>
    <row r="184" spans="1:7" s="72" customFormat="1" ht="14.25" customHeight="1">
      <c r="A184" s="83" t="s">
        <v>295</v>
      </c>
      <c r="B184" s="83" t="s">
        <v>2400</v>
      </c>
      <c r="C184" s="83"/>
      <c r="D184" s="83"/>
      <c r="E184" s="83"/>
      <c r="F184" s="83">
        <v>2340</v>
      </c>
      <c r="G184" s="83"/>
    </row>
    <row r="185" spans="1:7" s="72" customFormat="1" ht="14.25" customHeight="1">
      <c r="A185" s="83" t="s">
        <v>295</v>
      </c>
      <c r="B185" s="83" t="s">
        <v>2401</v>
      </c>
      <c r="C185" s="83"/>
      <c r="D185" s="83"/>
      <c r="E185" s="83"/>
      <c r="F185" s="83">
        <v>2530</v>
      </c>
      <c r="G185" s="83"/>
    </row>
    <row r="186" spans="1:7" s="72" customFormat="1" ht="14.25" customHeight="1">
      <c r="A186" s="83" t="s">
        <v>295</v>
      </c>
      <c r="B186" s="83" t="s">
        <v>2402</v>
      </c>
      <c r="C186" s="83"/>
      <c r="D186" s="83"/>
      <c r="E186" s="83"/>
      <c r="F186" s="83">
        <v>2550</v>
      </c>
      <c r="G186" s="83"/>
    </row>
    <row r="187" spans="1:7" s="72" customFormat="1" ht="14.25" customHeight="1">
      <c r="A187" s="83" t="s">
        <v>295</v>
      </c>
      <c r="B187" s="83" t="s">
        <v>2403</v>
      </c>
      <c r="C187" s="83"/>
      <c r="D187" s="83"/>
      <c r="E187" s="83"/>
      <c r="F187" s="83">
        <v>2070</v>
      </c>
      <c r="G187" s="83"/>
    </row>
    <row r="188" spans="1:7" s="72" customFormat="1" ht="14.25" customHeight="1">
      <c r="A188" s="83" t="s">
        <v>295</v>
      </c>
      <c r="B188" s="83" t="s">
        <v>2404</v>
      </c>
      <c r="C188" s="83"/>
      <c r="D188" s="83"/>
      <c r="E188" s="83"/>
      <c r="F188" s="83">
        <v>2340</v>
      </c>
      <c r="G188" s="83"/>
    </row>
    <row r="189" spans="1:7" s="72" customFormat="1" ht="14.25" customHeight="1">
      <c r="A189" s="85" t="s">
        <v>295</v>
      </c>
      <c r="B189" s="89" t="s">
        <v>2405</v>
      </c>
      <c r="C189" s="89"/>
      <c r="D189" s="89"/>
      <c r="E189" s="89"/>
      <c r="F189" s="89">
        <v>2050</v>
      </c>
      <c r="G189" s="89"/>
    </row>
    <row r="190" spans="1:7" s="72" customFormat="1" ht="14.25" customHeight="1">
      <c r="A190" s="81" t="s">
        <v>303</v>
      </c>
      <c r="B190" s="82" t="s">
        <v>2406</v>
      </c>
      <c r="C190" s="82">
        <v>8830</v>
      </c>
      <c r="D190" s="82">
        <v>8790</v>
      </c>
      <c r="E190" s="82">
        <v>11630</v>
      </c>
      <c r="F190" s="82">
        <v>1790</v>
      </c>
      <c r="G190" s="90">
        <v>5550</v>
      </c>
    </row>
    <row r="191" spans="1:7" s="72" customFormat="1" ht="14.25" customHeight="1">
      <c r="A191" s="83" t="s">
        <v>303</v>
      </c>
      <c r="B191" s="83" t="s">
        <v>2407</v>
      </c>
      <c r="C191" s="83">
        <v>9780</v>
      </c>
      <c r="D191" s="83">
        <v>9710</v>
      </c>
      <c r="E191" s="83">
        <v>12550</v>
      </c>
      <c r="F191" s="83">
        <v>1980</v>
      </c>
      <c r="G191" s="91">
        <v>6130</v>
      </c>
    </row>
    <row r="192" spans="1:7" s="72" customFormat="1" ht="14.25" customHeight="1">
      <c r="A192" s="83" t="s">
        <v>303</v>
      </c>
      <c r="B192" s="83" t="s">
        <v>2408</v>
      </c>
      <c r="C192" s="83">
        <v>8180</v>
      </c>
      <c r="D192" s="83">
        <v>8140</v>
      </c>
      <c r="E192" s="83">
        <v>10870</v>
      </c>
      <c r="F192" s="83">
        <v>1690</v>
      </c>
      <c r="G192" s="91">
        <v>5140</v>
      </c>
    </row>
    <row r="193" spans="1:7" s="72" customFormat="1" ht="14.25" customHeight="1">
      <c r="A193" s="83" t="s">
        <v>303</v>
      </c>
      <c r="B193" s="83" t="s">
        <v>2409</v>
      </c>
      <c r="C193" s="83">
        <v>8440</v>
      </c>
      <c r="D193" s="83">
        <v>8390</v>
      </c>
      <c r="E193" s="83">
        <v>11210</v>
      </c>
      <c r="F193" s="83">
        <v>1600</v>
      </c>
      <c r="G193" s="91">
        <v>5300</v>
      </c>
    </row>
    <row r="194" spans="1:7" s="72" customFormat="1" ht="14.25" customHeight="1">
      <c r="A194" s="83" t="s">
        <v>303</v>
      </c>
      <c r="B194" s="83" t="s">
        <v>2410</v>
      </c>
      <c r="C194" s="83">
        <v>8780</v>
      </c>
      <c r="D194" s="83">
        <v>8730</v>
      </c>
      <c r="E194" s="83">
        <v>11550</v>
      </c>
      <c r="F194" s="83">
        <v>1660</v>
      </c>
      <c r="G194" s="91">
        <v>5520</v>
      </c>
    </row>
    <row r="195" spans="1:7" s="72" customFormat="1" ht="14.25" customHeight="1">
      <c r="A195" s="83" t="s">
        <v>303</v>
      </c>
      <c r="B195" s="83" t="s">
        <v>2411</v>
      </c>
      <c r="C195" s="83">
        <v>8720</v>
      </c>
      <c r="D195" s="83">
        <v>8670</v>
      </c>
      <c r="E195" s="83">
        <v>11450</v>
      </c>
      <c r="F195" s="83">
        <v>1720</v>
      </c>
      <c r="G195" s="91">
        <v>5480</v>
      </c>
    </row>
    <row r="196" spans="1:7" s="72" customFormat="1" ht="14.25" customHeight="1">
      <c r="A196" s="83" t="s">
        <v>303</v>
      </c>
      <c r="B196" s="83" t="s">
        <v>2412</v>
      </c>
      <c r="C196" s="83">
        <v>8460</v>
      </c>
      <c r="D196" s="83">
        <v>8410</v>
      </c>
      <c r="E196" s="83">
        <v>11230</v>
      </c>
      <c r="F196" s="83">
        <v>1730</v>
      </c>
      <c r="G196" s="91">
        <v>5310</v>
      </c>
    </row>
    <row r="197" spans="1:7" s="72" customFormat="1" ht="14.25" customHeight="1">
      <c r="A197" s="83" t="s">
        <v>303</v>
      </c>
      <c r="B197" s="83" t="s">
        <v>2413</v>
      </c>
      <c r="C197" s="83">
        <v>8790</v>
      </c>
      <c r="D197" s="83">
        <v>8730</v>
      </c>
      <c r="E197" s="83">
        <v>11560</v>
      </c>
      <c r="F197" s="83">
        <v>1750</v>
      </c>
      <c r="G197" s="91">
        <v>5520</v>
      </c>
    </row>
    <row r="198" spans="1:7" s="72" customFormat="1" ht="14.25" customHeight="1">
      <c r="A198" s="83" t="s">
        <v>303</v>
      </c>
      <c r="B198" s="83" t="s">
        <v>2414</v>
      </c>
      <c r="C198" s="83">
        <v>8720</v>
      </c>
      <c r="D198" s="83">
        <v>8680</v>
      </c>
      <c r="E198" s="83">
        <v>11470</v>
      </c>
      <c r="F198" s="83"/>
      <c r="G198" s="91">
        <v>5480</v>
      </c>
    </row>
    <row r="199" spans="1:7" s="72" customFormat="1" ht="14.25" customHeight="1">
      <c r="A199" s="83" t="s">
        <v>303</v>
      </c>
      <c r="B199" s="83" t="s">
        <v>2415</v>
      </c>
      <c r="C199" s="83">
        <v>8690</v>
      </c>
      <c r="D199" s="83">
        <v>8630</v>
      </c>
      <c r="E199" s="83">
        <v>11350</v>
      </c>
      <c r="F199" s="83">
        <v>1600</v>
      </c>
      <c r="G199" s="91">
        <v>5450</v>
      </c>
    </row>
    <row r="200" spans="1:7" s="72" customFormat="1" ht="14.25" customHeight="1">
      <c r="A200" s="83" t="s">
        <v>303</v>
      </c>
      <c r="B200" s="83" t="s">
        <v>2416</v>
      </c>
      <c r="C200" s="83"/>
      <c r="D200" s="83"/>
      <c r="E200" s="83"/>
      <c r="F200" s="83">
        <v>1510</v>
      </c>
      <c r="G200" s="91"/>
    </row>
    <row r="201" spans="1:7" s="72" customFormat="1" ht="14.25" customHeight="1">
      <c r="A201" s="83" t="s">
        <v>303</v>
      </c>
      <c r="B201" s="83" t="s">
        <v>2417</v>
      </c>
      <c r="C201" s="83">
        <v>8440</v>
      </c>
      <c r="D201" s="83">
        <v>8390</v>
      </c>
      <c r="E201" s="83">
        <v>10930</v>
      </c>
      <c r="F201" s="83">
        <v>1500</v>
      </c>
      <c r="G201" s="91">
        <v>5300</v>
      </c>
    </row>
    <row r="202" spans="1:7" s="72" customFormat="1" ht="14.25" customHeight="1">
      <c r="A202" s="83" t="s">
        <v>303</v>
      </c>
      <c r="B202" s="83" t="s">
        <v>2418</v>
      </c>
      <c r="C202" s="83">
        <v>8530</v>
      </c>
      <c r="D202" s="83">
        <v>8490</v>
      </c>
      <c r="E202" s="83">
        <v>11160</v>
      </c>
      <c r="F202" s="83">
        <v>1580</v>
      </c>
      <c r="G202" s="91">
        <v>5360</v>
      </c>
    </row>
    <row r="203" spans="1:7" s="72" customFormat="1" ht="14.25" customHeight="1">
      <c r="A203" s="83" t="s">
        <v>303</v>
      </c>
      <c r="B203" s="83" t="s">
        <v>2419</v>
      </c>
      <c r="C203" s="83">
        <v>8130</v>
      </c>
      <c r="D203" s="83">
        <v>8070</v>
      </c>
      <c r="E203" s="83">
        <v>10820</v>
      </c>
      <c r="F203" s="83">
        <v>1690</v>
      </c>
      <c r="G203" s="91">
        <v>5100</v>
      </c>
    </row>
    <row r="204" spans="1:7" s="72" customFormat="1" ht="14.25" customHeight="1">
      <c r="A204" s="83" t="s">
        <v>303</v>
      </c>
      <c r="B204" s="83" t="s">
        <v>2420</v>
      </c>
      <c r="C204" s="83">
        <v>8350</v>
      </c>
      <c r="D204" s="83">
        <v>8290</v>
      </c>
      <c r="E204" s="83">
        <v>11080</v>
      </c>
      <c r="F204" s="83">
        <v>1450</v>
      </c>
      <c r="G204" s="91">
        <v>5240</v>
      </c>
    </row>
    <row r="205" spans="1:7" s="72" customFormat="1" ht="14.25" customHeight="1">
      <c r="A205" s="83" t="s">
        <v>303</v>
      </c>
      <c r="B205" s="83" t="s">
        <v>2421</v>
      </c>
      <c r="C205" s="83">
        <v>7190</v>
      </c>
      <c r="D205" s="83">
        <v>7130</v>
      </c>
      <c r="E205" s="83">
        <v>9490</v>
      </c>
      <c r="F205" s="83">
        <v>1470</v>
      </c>
      <c r="G205" s="91">
        <v>4510</v>
      </c>
    </row>
    <row r="206" spans="1:7" s="72" customFormat="1" ht="14.25" customHeight="1">
      <c r="A206" s="83" t="s">
        <v>303</v>
      </c>
      <c r="B206" s="83" t="s">
        <v>2422</v>
      </c>
      <c r="C206" s="83">
        <v>7000</v>
      </c>
      <c r="D206" s="83">
        <v>6950</v>
      </c>
      <c r="E206" s="83">
        <v>9170</v>
      </c>
      <c r="F206" s="83">
        <v>1400</v>
      </c>
      <c r="G206" s="91">
        <v>4380</v>
      </c>
    </row>
    <row r="207" spans="1:7" s="72" customFormat="1" ht="14.25" customHeight="1">
      <c r="A207" s="83" t="s">
        <v>303</v>
      </c>
      <c r="B207" s="83" t="s">
        <v>2423</v>
      </c>
      <c r="C207" s="83">
        <v>6950</v>
      </c>
      <c r="D207" s="83">
        <v>6900</v>
      </c>
      <c r="E207" s="83">
        <v>9110</v>
      </c>
      <c r="F207" s="83">
        <v>1790</v>
      </c>
      <c r="G207" s="91">
        <v>4360</v>
      </c>
    </row>
    <row r="208" spans="1:7" s="72" customFormat="1" ht="14.25" customHeight="1">
      <c r="A208" s="83" t="s">
        <v>303</v>
      </c>
      <c r="B208" s="83" t="s">
        <v>2424</v>
      </c>
      <c r="C208" s="83">
        <v>9470</v>
      </c>
      <c r="D208" s="83">
        <v>9410</v>
      </c>
      <c r="E208" s="83">
        <v>12330</v>
      </c>
      <c r="F208" s="83">
        <v>1770</v>
      </c>
      <c r="G208" s="91">
        <v>5940</v>
      </c>
    </row>
    <row r="209" spans="1:7" s="72" customFormat="1" ht="14.25" customHeight="1">
      <c r="A209" s="83" t="s">
        <v>303</v>
      </c>
      <c r="B209" s="83" t="s">
        <v>2425</v>
      </c>
      <c r="C209" s="83">
        <v>8740</v>
      </c>
      <c r="D209" s="83">
        <v>8700</v>
      </c>
      <c r="E209" s="83">
        <v>11500</v>
      </c>
      <c r="F209" s="83">
        <v>1730</v>
      </c>
      <c r="G209" s="91">
        <v>5490</v>
      </c>
    </row>
    <row r="210" spans="1:7" s="72" customFormat="1" ht="14.25" customHeight="1">
      <c r="A210" s="83" t="s">
        <v>303</v>
      </c>
      <c r="B210" s="83" t="s">
        <v>2426</v>
      </c>
      <c r="C210" s="83">
        <v>8710</v>
      </c>
      <c r="D210" s="83">
        <v>8660</v>
      </c>
      <c r="E210" s="83">
        <v>11440</v>
      </c>
      <c r="F210" s="83">
        <v>1740</v>
      </c>
      <c r="G210" s="91">
        <v>5470</v>
      </c>
    </row>
    <row r="211" spans="1:7" s="72" customFormat="1" ht="14.25" customHeight="1">
      <c r="A211" s="83" t="s">
        <v>303</v>
      </c>
      <c r="B211" s="83" t="s">
        <v>2427</v>
      </c>
      <c r="C211" s="83">
        <v>9480</v>
      </c>
      <c r="D211" s="83">
        <v>9430</v>
      </c>
      <c r="E211" s="83">
        <v>12360</v>
      </c>
      <c r="F211" s="83">
        <v>1820</v>
      </c>
      <c r="G211" s="91">
        <v>5950</v>
      </c>
    </row>
    <row r="212" spans="1:7" s="72" customFormat="1" ht="14.25" customHeight="1">
      <c r="A212" s="83" t="s">
        <v>303</v>
      </c>
      <c r="B212" s="83" t="s">
        <v>2428</v>
      </c>
      <c r="C212" s="83">
        <v>9070</v>
      </c>
      <c r="D212" s="83">
        <v>9020</v>
      </c>
      <c r="E212" s="83">
        <v>11720</v>
      </c>
      <c r="F212" s="83">
        <v>1850</v>
      </c>
      <c r="G212" s="91">
        <v>5700</v>
      </c>
    </row>
    <row r="213" spans="1:7" s="72" customFormat="1" ht="14.25" customHeight="1">
      <c r="A213" s="83" t="s">
        <v>303</v>
      </c>
      <c r="B213" s="83" t="s">
        <v>2429</v>
      </c>
      <c r="C213" s="83">
        <v>9030</v>
      </c>
      <c r="D213" s="83">
        <v>8980</v>
      </c>
      <c r="E213" s="83">
        <v>11670</v>
      </c>
      <c r="F213" s="83">
        <v>1690</v>
      </c>
      <c r="G213" s="91">
        <v>5670</v>
      </c>
    </row>
    <row r="214" spans="1:7" s="72" customFormat="1" ht="14.25" customHeight="1">
      <c r="A214" s="83" t="s">
        <v>303</v>
      </c>
      <c r="B214" s="83" t="s">
        <v>2430</v>
      </c>
      <c r="C214" s="83">
        <v>8090</v>
      </c>
      <c r="D214" s="83">
        <v>8030</v>
      </c>
      <c r="E214" s="83">
        <v>10780</v>
      </c>
      <c r="F214" s="83">
        <v>1570</v>
      </c>
      <c r="G214" s="91">
        <v>5070</v>
      </c>
    </row>
    <row r="215" spans="1:7" s="72" customFormat="1" ht="14.25" customHeight="1">
      <c r="A215" s="83" t="s">
        <v>303</v>
      </c>
      <c r="B215" s="83" t="s">
        <v>2431</v>
      </c>
      <c r="C215" s="83">
        <v>7950</v>
      </c>
      <c r="D215" s="83">
        <v>7900</v>
      </c>
      <c r="E215" s="83">
        <v>10560</v>
      </c>
      <c r="F215" s="83">
        <v>1630</v>
      </c>
      <c r="G215" s="91">
        <v>4990</v>
      </c>
    </row>
    <row r="216" spans="1:7" s="72" customFormat="1" ht="14.25" customHeight="1">
      <c r="A216" s="83" t="s">
        <v>303</v>
      </c>
      <c r="B216" s="83" t="s">
        <v>2432</v>
      </c>
      <c r="C216" s="83">
        <v>8490</v>
      </c>
      <c r="D216" s="83">
        <v>8440</v>
      </c>
      <c r="E216" s="83">
        <v>11260</v>
      </c>
      <c r="F216" s="83">
        <v>1690</v>
      </c>
      <c r="G216" s="91">
        <v>5330</v>
      </c>
    </row>
    <row r="217" spans="1:7" s="72" customFormat="1" ht="14.25" customHeight="1">
      <c r="A217" s="83" t="s">
        <v>303</v>
      </c>
      <c r="B217" s="83" t="s">
        <v>2433</v>
      </c>
      <c r="C217" s="83">
        <v>8200</v>
      </c>
      <c r="D217" s="83">
        <v>8150</v>
      </c>
      <c r="E217" s="83">
        <v>10910</v>
      </c>
      <c r="F217" s="83">
        <v>1670</v>
      </c>
      <c r="G217" s="91">
        <v>5150</v>
      </c>
    </row>
    <row r="218" spans="1:7" s="72" customFormat="1" ht="14.25" customHeight="1">
      <c r="A218" s="83" t="s">
        <v>303</v>
      </c>
      <c r="B218" s="83" t="s">
        <v>2434</v>
      </c>
      <c r="C218" s="83"/>
      <c r="D218" s="83"/>
      <c r="E218" s="83"/>
      <c r="F218" s="83">
        <v>2040</v>
      </c>
      <c r="G218" s="91"/>
    </row>
    <row r="219" spans="1:7" s="72" customFormat="1" ht="14.25" customHeight="1">
      <c r="A219" s="83" t="s">
        <v>303</v>
      </c>
      <c r="B219" s="83" t="s">
        <v>2435</v>
      </c>
      <c r="C219" s="83"/>
      <c r="D219" s="83"/>
      <c r="E219" s="83"/>
      <c r="F219" s="83">
        <v>2040</v>
      </c>
      <c r="G219" s="91"/>
    </row>
    <row r="220" spans="1:7" s="72" customFormat="1" ht="14.25" customHeight="1">
      <c r="A220" s="83" t="s">
        <v>303</v>
      </c>
      <c r="B220" s="83" t="s">
        <v>2436</v>
      </c>
      <c r="C220" s="83"/>
      <c r="D220" s="83"/>
      <c r="E220" s="83"/>
      <c r="F220" s="83">
        <v>2040</v>
      </c>
      <c r="G220" s="91"/>
    </row>
    <row r="221" spans="1:7" s="72" customFormat="1" ht="14.25" customHeight="1">
      <c r="A221" s="83" t="s">
        <v>303</v>
      </c>
      <c r="B221" s="83" t="s">
        <v>2437</v>
      </c>
      <c r="C221" s="83"/>
      <c r="D221" s="83"/>
      <c r="E221" s="83"/>
      <c r="F221" s="83">
        <v>2040</v>
      </c>
      <c r="G221" s="91"/>
    </row>
    <row r="222" spans="1:7" s="72" customFormat="1" ht="14.25" customHeight="1">
      <c r="A222" s="83" t="s">
        <v>303</v>
      </c>
      <c r="B222" s="83" t="s">
        <v>2438</v>
      </c>
      <c r="C222" s="83"/>
      <c r="D222" s="83"/>
      <c r="E222" s="83"/>
      <c r="F222" s="83">
        <v>2040</v>
      </c>
      <c r="G222" s="91"/>
    </row>
    <row r="223" spans="1:7" s="72" customFormat="1" ht="14.25" customHeight="1">
      <c r="A223" s="83" t="s">
        <v>303</v>
      </c>
      <c r="B223" s="83" t="s">
        <v>2439</v>
      </c>
      <c r="C223" s="83"/>
      <c r="D223" s="83"/>
      <c r="E223" s="83"/>
      <c r="F223" s="83">
        <v>1930</v>
      </c>
      <c r="G223" s="91"/>
    </row>
    <row r="224" spans="1:7" s="72" customFormat="1" ht="14.25" customHeight="1">
      <c r="A224" s="83" t="s">
        <v>303</v>
      </c>
      <c r="B224" s="83" t="s">
        <v>2440</v>
      </c>
      <c r="C224" s="83"/>
      <c r="D224" s="83"/>
      <c r="E224" s="83"/>
      <c r="F224" s="83">
        <v>1930</v>
      </c>
      <c r="G224" s="91"/>
    </row>
    <row r="225" spans="1:7" s="72" customFormat="1" ht="14.25" customHeight="1">
      <c r="A225" s="83" t="s">
        <v>303</v>
      </c>
      <c r="B225" s="83" t="s">
        <v>2441</v>
      </c>
      <c r="C225" s="83"/>
      <c r="D225" s="83"/>
      <c r="E225" s="83"/>
      <c r="F225" s="83">
        <v>1930</v>
      </c>
      <c r="G225" s="91"/>
    </row>
    <row r="226" spans="1:7" s="72" customFormat="1" ht="14.25" customHeight="1">
      <c r="A226" s="83" t="s">
        <v>303</v>
      </c>
      <c r="B226" s="83" t="s">
        <v>2442</v>
      </c>
      <c r="C226" s="83"/>
      <c r="D226" s="83"/>
      <c r="E226" s="83"/>
      <c r="F226" s="83">
        <v>1700</v>
      </c>
      <c r="G226" s="91"/>
    </row>
    <row r="227" spans="1:7" s="72" customFormat="1" ht="14.25" customHeight="1">
      <c r="A227" s="83" t="s">
        <v>303</v>
      </c>
      <c r="B227" s="83" t="s">
        <v>2730</v>
      </c>
      <c r="C227" s="83"/>
      <c r="D227" s="83"/>
      <c r="E227" s="83"/>
      <c r="F227" s="83">
        <v>1520</v>
      </c>
      <c r="G227" s="91"/>
    </row>
    <row r="228" spans="1:7" s="72" customFormat="1" ht="14.25" customHeight="1">
      <c r="A228" s="83" t="s">
        <v>303</v>
      </c>
      <c r="B228" s="83" t="s">
        <v>2731</v>
      </c>
      <c r="C228" s="83"/>
      <c r="D228" s="83"/>
      <c r="E228" s="83"/>
      <c r="F228" s="83">
        <v>1520</v>
      </c>
      <c r="G228" s="91"/>
    </row>
    <row r="229" spans="1:7" s="72" customFormat="1" ht="14.25" customHeight="1">
      <c r="A229" s="83" t="s">
        <v>303</v>
      </c>
      <c r="B229" s="83" t="s">
        <v>2732</v>
      </c>
      <c r="C229" s="83"/>
      <c r="D229" s="83"/>
      <c r="E229" s="83"/>
      <c r="F229" s="83">
        <v>1520</v>
      </c>
      <c r="G229" s="91"/>
    </row>
    <row r="230" spans="1:7" s="72" customFormat="1" ht="14.25" customHeight="1">
      <c r="A230" s="83" t="s">
        <v>303</v>
      </c>
      <c r="B230" s="83" t="s">
        <v>2446</v>
      </c>
      <c r="C230" s="83"/>
      <c r="D230" s="83"/>
      <c r="E230" s="83"/>
      <c r="F230" s="83">
        <v>1820</v>
      </c>
      <c r="G230" s="91"/>
    </row>
    <row r="231" spans="1:7" s="72" customFormat="1" ht="14.25" customHeight="1">
      <c r="A231" s="83" t="s">
        <v>303</v>
      </c>
      <c r="B231" s="83" t="s">
        <v>2447</v>
      </c>
      <c r="C231" s="83"/>
      <c r="D231" s="83"/>
      <c r="E231" s="83"/>
      <c r="F231" s="83">
        <v>1760</v>
      </c>
      <c r="G231" s="91"/>
    </row>
    <row r="232" spans="1:7" s="72" customFormat="1" ht="14.25" customHeight="1">
      <c r="A232" s="83" t="s">
        <v>303</v>
      </c>
      <c r="B232" s="83" t="s">
        <v>2733</v>
      </c>
      <c r="C232" s="83"/>
      <c r="D232" s="83"/>
      <c r="E232" s="83"/>
      <c r="F232" s="83">
        <v>1840</v>
      </c>
      <c r="G232" s="91"/>
    </row>
    <row r="233" spans="1:7" s="72" customFormat="1" ht="14.25" customHeight="1">
      <c r="A233" s="92" t="s">
        <v>303</v>
      </c>
      <c r="B233" s="87" t="s">
        <v>2449</v>
      </c>
      <c r="C233" s="87"/>
      <c r="D233" s="87"/>
      <c r="E233" s="87"/>
      <c r="F233" s="87">
        <v>1770</v>
      </c>
      <c r="G233" s="93"/>
    </row>
    <row r="234" spans="1:7" s="72" customFormat="1" ht="14.25" customHeight="1">
      <c r="A234" s="81" t="s">
        <v>311</v>
      </c>
      <c r="B234" s="82" t="s">
        <v>2450</v>
      </c>
      <c r="C234" s="83">
        <v>6980</v>
      </c>
      <c r="D234" s="83">
        <v>6970</v>
      </c>
      <c r="E234" s="83">
        <v>8720</v>
      </c>
      <c r="F234" s="83">
        <v>1350</v>
      </c>
      <c r="G234" s="83">
        <v>4280</v>
      </c>
    </row>
    <row r="235" spans="1:7" s="72" customFormat="1" ht="14.25" customHeight="1">
      <c r="A235" s="83" t="s">
        <v>311</v>
      </c>
      <c r="B235" s="83" t="s">
        <v>2451</v>
      </c>
      <c r="C235" s="83">
        <v>7620</v>
      </c>
      <c r="D235" s="83">
        <v>7580</v>
      </c>
      <c r="E235" s="83">
        <v>9360</v>
      </c>
      <c r="F235" s="83">
        <v>1490</v>
      </c>
      <c r="G235" s="83">
        <v>4650</v>
      </c>
    </row>
    <row r="236" spans="1:7" s="72" customFormat="1" ht="14.25" customHeight="1">
      <c r="A236" s="83" t="s">
        <v>311</v>
      </c>
      <c r="B236" s="83" t="s">
        <v>2452</v>
      </c>
      <c r="C236" s="83">
        <v>6650</v>
      </c>
      <c r="D236" s="83">
        <v>6630</v>
      </c>
      <c r="E236" s="83">
        <v>8330</v>
      </c>
      <c r="F236" s="83">
        <v>1250</v>
      </c>
      <c r="G236" s="83">
        <v>4070</v>
      </c>
    </row>
    <row r="237" spans="1:7" s="72" customFormat="1" ht="14.25" customHeight="1">
      <c r="A237" s="83" t="s">
        <v>311</v>
      </c>
      <c r="B237" s="83" t="s">
        <v>2453</v>
      </c>
      <c r="C237" s="83">
        <v>5850</v>
      </c>
      <c r="D237" s="83">
        <v>5820</v>
      </c>
      <c r="E237" s="83">
        <v>7260</v>
      </c>
      <c r="F237" s="83">
        <v>1140</v>
      </c>
      <c r="G237" s="83">
        <v>3570</v>
      </c>
    </row>
    <row r="238" spans="1:7" s="72" customFormat="1" ht="14.25" customHeight="1">
      <c r="A238" s="83" t="s">
        <v>311</v>
      </c>
      <c r="B238" s="83" t="s">
        <v>2454</v>
      </c>
      <c r="C238" s="83">
        <v>6920</v>
      </c>
      <c r="D238" s="83">
        <v>6890</v>
      </c>
      <c r="E238" s="83">
        <v>8640</v>
      </c>
      <c r="F238" s="83">
        <v>1310</v>
      </c>
      <c r="G238" s="83">
        <v>4230</v>
      </c>
    </row>
    <row r="239" spans="1:7" s="72" customFormat="1" ht="14.25" customHeight="1">
      <c r="A239" s="83" t="s">
        <v>311</v>
      </c>
      <c r="B239" s="83" t="s">
        <v>2455</v>
      </c>
      <c r="C239" s="83">
        <v>6780</v>
      </c>
      <c r="D239" s="83">
        <v>6750</v>
      </c>
      <c r="E239" s="83">
        <v>8440</v>
      </c>
      <c r="F239" s="83">
        <v>1160</v>
      </c>
      <c r="G239" s="83">
        <v>4140</v>
      </c>
    </row>
    <row r="240" spans="1:7" s="72" customFormat="1" ht="14.25" customHeight="1">
      <c r="A240" s="83" t="s">
        <v>311</v>
      </c>
      <c r="B240" s="83" t="s">
        <v>2456</v>
      </c>
      <c r="C240" s="83">
        <v>5420</v>
      </c>
      <c r="D240" s="83">
        <v>5380</v>
      </c>
      <c r="E240" s="83">
        <v>6640</v>
      </c>
      <c r="F240" s="83">
        <v>1020</v>
      </c>
      <c r="G240" s="83">
        <v>3300</v>
      </c>
    </row>
    <row r="241" spans="1:7" s="72" customFormat="1" ht="14.25" customHeight="1">
      <c r="A241" s="83" t="s">
        <v>311</v>
      </c>
      <c r="B241" s="83" t="s">
        <v>2457</v>
      </c>
      <c r="C241" s="83">
        <v>6660</v>
      </c>
      <c r="D241" s="83">
        <v>6640</v>
      </c>
      <c r="E241" s="83">
        <v>8340</v>
      </c>
      <c r="F241" s="83">
        <v>1130</v>
      </c>
      <c r="G241" s="83">
        <v>4080</v>
      </c>
    </row>
    <row r="242" spans="1:7" s="72" customFormat="1" ht="14.25" customHeight="1">
      <c r="A242" s="83" t="s">
        <v>311</v>
      </c>
      <c r="B242" s="83" t="s">
        <v>2458</v>
      </c>
      <c r="C242" s="83">
        <v>6580</v>
      </c>
      <c r="D242" s="83">
        <v>6550</v>
      </c>
      <c r="E242" s="83">
        <v>8090</v>
      </c>
      <c r="F242" s="83">
        <v>1240</v>
      </c>
      <c r="G242" s="83">
        <v>4020</v>
      </c>
    </row>
    <row r="243" spans="1:7" s="72" customFormat="1" ht="14.25" customHeight="1">
      <c r="A243" s="83" t="s">
        <v>311</v>
      </c>
      <c r="B243" s="83" t="s">
        <v>2459</v>
      </c>
      <c r="C243" s="83">
        <v>6000</v>
      </c>
      <c r="D243" s="83">
        <v>5970</v>
      </c>
      <c r="E243" s="83">
        <v>7370</v>
      </c>
      <c r="F243" s="83">
        <v>1070</v>
      </c>
      <c r="G243" s="83">
        <v>3670</v>
      </c>
    </row>
    <row r="244" spans="1:7" s="72" customFormat="1" ht="14.25" customHeight="1">
      <c r="A244" s="83" t="s">
        <v>311</v>
      </c>
      <c r="B244" s="83" t="s">
        <v>2460</v>
      </c>
      <c r="C244" s="83">
        <v>5840</v>
      </c>
      <c r="D244" s="83">
        <v>5810</v>
      </c>
      <c r="E244" s="83">
        <v>7240</v>
      </c>
      <c r="F244" s="83">
        <v>1100</v>
      </c>
      <c r="G244" s="83">
        <v>3560</v>
      </c>
    </row>
    <row r="245" spans="1:7" s="72" customFormat="1" ht="14.25" customHeight="1">
      <c r="A245" s="83" t="s">
        <v>311</v>
      </c>
      <c r="B245" s="83" t="s">
        <v>2461</v>
      </c>
      <c r="C245" s="83">
        <v>6040</v>
      </c>
      <c r="D245" s="83">
        <v>6000</v>
      </c>
      <c r="E245" s="83">
        <v>7420</v>
      </c>
      <c r="F245" s="83">
        <v>1140</v>
      </c>
      <c r="G245" s="83">
        <v>3690</v>
      </c>
    </row>
    <row r="246" spans="1:7" s="72" customFormat="1" ht="14.25" customHeight="1">
      <c r="A246" s="83" t="s">
        <v>311</v>
      </c>
      <c r="B246" s="83" t="s">
        <v>2462</v>
      </c>
      <c r="C246" s="83">
        <v>5890</v>
      </c>
      <c r="D246" s="83">
        <v>5860</v>
      </c>
      <c r="E246" s="83">
        <v>7300</v>
      </c>
      <c r="F246" s="83">
        <v>1110</v>
      </c>
      <c r="G246" s="83">
        <v>3590</v>
      </c>
    </row>
    <row r="247" spans="1:7" s="72" customFormat="1" ht="14.25" customHeight="1">
      <c r="A247" s="83" t="s">
        <v>311</v>
      </c>
      <c r="B247" s="83" t="s">
        <v>2463</v>
      </c>
      <c r="C247" s="83">
        <v>6480</v>
      </c>
      <c r="D247" s="83">
        <v>6450</v>
      </c>
      <c r="E247" s="83">
        <v>8010</v>
      </c>
      <c r="F247" s="83">
        <v>1170</v>
      </c>
      <c r="G247" s="83">
        <v>3960</v>
      </c>
    </row>
    <row r="248" spans="1:7" s="72" customFormat="1" ht="14.25" customHeight="1">
      <c r="A248" s="83" t="s">
        <v>311</v>
      </c>
      <c r="B248" s="83" t="s">
        <v>2464</v>
      </c>
      <c r="C248" s="83">
        <v>6860</v>
      </c>
      <c r="D248" s="83">
        <v>6840</v>
      </c>
      <c r="E248" s="83">
        <v>8520</v>
      </c>
      <c r="F248" s="83">
        <v>1240</v>
      </c>
      <c r="G248" s="83">
        <v>4200</v>
      </c>
    </row>
    <row r="249" spans="1:7" s="72" customFormat="1" ht="14.25" customHeight="1">
      <c r="A249" s="83" t="s">
        <v>311</v>
      </c>
      <c r="B249" s="83" t="s">
        <v>2465</v>
      </c>
      <c r="C249" s="83">
        <v>7180</v>
      </c>
      <c r="D249" s="83">
        <v>7140</v>
      </c>
      <c r="E249" s="83">
        <v>8900</v>
      </c>
      <c r="F249" s="83">
        <v>1350</v>
      </c>
      <c r="G249" s="83">
        <v>4380</v>
      </c>
    </row>
    <row r="250" spans="1:7" s="72" customFormat="1" ht="14.25" customHeight="1">
      <c r="A250" s="83" t="s">
        <v>311</v>
      </c>
      <c r="B250" s="83" t="s">
        <v>2466</v>
      </c>
      <c r="C250" s="83">
        <v>6880</v>
      </c>
      <c r="D250" s="83">
        <v>6860</v>
      </c>
      <c r="E250" s="83">
        <v>8550</v>
      </c>
      <c r="F250" s="83">
        <v>1220</v>
      </c>
      <c r="G250" s="83">
        <v>4210</v>
      </c>
    </row>
    <row r="251" spans="1:7" s="72" customFormat="1" ht="14.25" customHeight="1">
      <c r="A251" s="83" t="s">
        <v>311</v>
      </c>
      <c r="B251" s="83" t="s">
        <v>2467</v>
      </c>
      <c r="C251" s="83"/>
      <c r="D251" s="83"/>
      <c r="E251" s="83"/>
      <c r="F251" s="83">
        <v>1100</v>
      </c>
      <c r="G251" s="83"/>
    </row>
    <row r="252" spans="1:7" s="72" customFormat="1" ht="14.25" customHeight="1">
      <c r="A252" s="83" t="s">
        <v>311</v>
      </c>
      <c r="B252" s="83" t="s">
        <v>2468</v>
      </c>
      <c r="C252" s="83">
        <v>7240</v>
      </c>
      <c r="D252" s="83">
        <v>7200</v>
      </c>
      <c r="E252" s="83">
        <v>9040</v>
      </c>
      <c r="F252" s="83">
        <v>1380</v>
      </c>
      <c r="G252" s="83">
        <v>4420</v>
      </c>
    </row>
    <row r="253" spans="1:7" s="72" customFormat="1" ht="14.25" customHeight="1">
      <c r="A253" s="83" t="s">
        <v>311</v>
      </c>
      <c r="B253" s="83" t="s">
        <v>2469</v>
      </c>
      <c r="C253" s="83">
        <v>6670</v>
      </c>
      <c r="D253" s="83">
        <v>6650</v>
      </c>
      <c r="E253" s="83">
        <v>8350</v>
      </c>
      <c r="F253" s="83">
        <v>1260</v>
      </c>
      <c r="G253" s="83">
        <v>4080</v>
      </c>
    </row>
    <row r="254" spans="1:7" s="72" customFormat="1" ht="14.25" customHeight="1">
      <c r="A254" s="83" t="s">
        <v>311</v>
      </c>
      <c r="B254" s="83" t="s">
        <v>2470</v>
      </c>
      <c r="C254" s="83">
        <v>7630</v>
      </c>
      <c r="D254" s="83">
        <v>7590</v>
      </c>
      <c r="E254" s="83">
        <v>9380</v>
      </c>
      <c r="F254" s="83">
        <v>1320</v>
      </c>
      <c r="G254" s="83">
        <v>4660</v>
      </c>
    </row>
    <row r="255" spans="1:7" s="72" customFormat="1" ht="14.25" customHeight="1">
      <c r="A255" s="83" t="s">
        <v>311</v>
      </c>
      <c r="B255" s="83" t="s">
        <v>2471</v>
      </c>
      <c r="C255" s="83">
        <v>6940</v>
      </c>
      <c r="D255" s="83">
        <v>6890</v>
      </c>
      <c r="E255" s="83">
        <v>8650</v>
      </c>
      <c r="F255" s="83">
        <v>1210</v>
      </c>
      <c r="G255" s="83">
        <v>4230</v>
      </c>
    </row>
    <row r="256" spans="1:7" s="72" customFormat="1" ht="14.25" customHeight="1">
      <c r="A256" s="83" t="s">
        <v>311</v>
      </c>
      <c r="B256" s="83" t="s">
        <v>2472</v>
      </c>
      <c r="C256" s="83">
        <v>7520</v>
      </c>
      <c r="D256" s="83">
        <v>7490</v>
      </c>
      <c r="E256" s="83">
        <v>9240</v>
      </c>
      <c r="F256" s="83">
        <v>1270</v>
      </c>
      <c r="G256" s="83">
        <v>4590</v>
      </c>
    </row>
    <row r="257" spans="1:7" s="72" customFormat="1" ht="14.25" customHeight="1">
      <c r="A257" s="83" t="s">
        <v>311</v>
      </c>
      <c r="B257" s="83" t="s">
        <v>2473</v>
      </c>
      <c r="C257" s="83">
        <v>6280</v>
      </c>
      <c r="D257" s="83">
        <v>6230</v>
      </c>
      <c r="E257" s="83">
        <v>7740</v>
      </c>
      <c r="F257" s="83">
        <v>1080</v>
      </c>
      <c r="G257" s="83">
        <v>3830</v>
      </c>
    </row>
    <row r="258" spans="1:7" s="72" customFormat="1" ht="14.25" customHeight="1">
      <c r="A258" s="83" t="s">
        <v>311</v>
      </c>
      <c r="B258" s="83" t="s">
        <v>2474</v>
      </c>
      <c r="C258" s="83">
        <v>6190</v>
      </c>
      <c r="D258" s="83">
        <v>6160</v>
      </c>
      <c r="E258" s="83">
        <v>7680</v>
      </c>
      <c r="F258" s="83">
        <v>1170</v>
      </c>
      <c r="G258" s="83">
        <v>3780</v>
      </c>
    </row>
    <row r="259" spans="1:7" s="72" customFormat="1" ht="14.25" customHeight="1">
      <c r="A259" s="83" t="s">
        <v>311</v>
      </c>
      <c r="B259" s="83" t="s">
        <v>2475</v>
      </c>
      <c r="C259" s="83">
        <v>7610</v>
      </c>
      <c r="D259" s="83">
        <v>7570</v>
      </c>
      <c r="E259" s="83">
        <v>9350</v>
      </c>
      <c r="F259" s="83">
        <v>1350</v>
      </c>
      <c r="G259" s="83">
        <v>4650</v>
      </c>
    </row>
    <row r="260" spans="1:7" s="72" customFormat="1" ht="14.25" customHeight="1">
      <c r="A260" s="83" t="s">
        <v>311</v>
      </c>
      <c r="B260" s="83" t="s">
        <v>2476</v>
      </c>
      <c r="C260" s="83">
        <v>6920</v>
      </c>
      <c r="D260" s="83">
        <v>6880</v>
      </c>
      <c r="E260" s="83">
        <v>8380</v>
      </c>
      <c r="F260" s="83">
        <v>1160</v>
      </c>
      <c r="G260" s="83">
        <v>4220</v>
      </c>
    </row>
    <row r="261" spans="1:7" s="72" customFormat="1" ht="14.25" customHeight="1">
      <c r="A261" s="83" t="s">
        <v>311</v>
      </c>
      <c r="B261" s="83" t="s">
        <v>2477</v>
      </c>
      <c r="C261" s="83">
        <v>6850</v>
      </c>
      <c r="D261" s="83">
        <v>6810</v>
      </c>
      <c r="E261" s="83">
        <v>8290</v>
      </c>
      <c r="F261" s="83">
        <v>1130</v>
      </c>
      <c r="G261" s="83">
        <v>4180</v>
      </c>
    </row>
    <row r="262" spans="1:7" s="72" customFormat="1" ht="14.25" customHeight="1">
      <c r="A262" s="83" t="s">
        <v>311</v>
      </c>
      <c r="B262" s="83" t="s">
        <v>2478</v>
      </c>
      <c r="C262" s="83">
        <v>5860</v>
      </c>
      <c r="D262" s="83">
        <v>5820</v>
      </c>
      <c r="E262" s="83">
        <v>7640</v>
      </c>
      <c r="F262" s="83">
        <v>1070</v>
      </c>
      <c r="G262" s="83">
        <v>3570</v>
      </c>
    </row>
    <row r="263" spans="1:7" s="72" customFormat="1" ht="14.25" customHeight="1">
      <c r="A263" s="83" t="s">
        <v>311</v>
      </c>
      <c r="B263" s="83" t="s">
        <v>2479</v>
      </c>
      <c r="C263" s="83">
        <v>5870</v>
      </c>
      <c r="D263" s="83">
        <v>5840</v>
      </c>
      <c r="E263" s="83">
        <v>7270</v>
      </c>
      <c r="F263" s="83">
        <v>1190</v>
      </c>
      <c r="G263" s="83">
        <v>3580</v>
      </c>
    </row>
    <row r="264" spans="1:7" s="72" customFormat="1" ht="14.25" customHeight="1">
      <c r="A264" s="83" t="s">
        <v>311</v>
      </c>
      <c r="B264" s="83" t="s">
        <v>2480</v>
      </c>
      <c r="C264" s="83">
        <v>6190</v>
      </c>
      <c r="D264" s="83">
        <v>6150</v>
      </c>
      <c r="E264" s="83">
        <v>7660</v>
      </c>
      <c r="F264" s="83">
        <v>1160</v>
      </c>
      <c r="G264" s="83">
        <v>3770</v>
      </c>
    </row>
    <row r="265" spans="1:7" s="72" customFormat="1" ht="14.25" customHeight="1">
      <c r="A265" s="83" t="s">
        <v>311</v>
      </c>
      <c r="B265" s="83" t="s">
        <v>2481</v>
      </c>
      <c r="C265" s="83"/>
      <c r="D265" s="83"/>
      <c r="E265" s="83"/>
      <c r="F265" s="83">
        <v>1500</v>
      </c>
      <c r="G265" s="83"/>
    </row>
    <row r="266" spans="1:7" s="72" customFormat="1" ht="14.25" customHeight="1">
      <c r="A266" s="83" t="s">
        <v>311</v>
      </c>
      <c r="B266" s="83" t="s">
        <v>2482</v>
      </c>
      <c r="C266" s="83"/>
      <c r="D266" s="83"/>
      <c r="E266" s="83"/>
      <c r="F266" s="83">
        <v>1500</v>
      </c>
      <c r="G266" s="83"/>
    </row>
    <row r="267" spans="1:7" s="72" customFormat="1" ht="14.25" customHeight="1">
      <c r="A267" s="83" t="s">
        <v>311</v>
      </c>
      <c r="B267" s="83" t="s">
        <v>2483</v>
      </c>
      <c r="C267" s="83"/>
      <c r="D267" s="83"/>
      <c r="E267" s="83"/>
      <c r="F267" s="83">
        <v>1500</v>
      </c>
      <c r="G267" s="83"/>
    </row>
    <row r="268" spans="1:7" s="72" customFormat="1" ht="14.25" customHeight="1">
      <c r="A268" s="83" t="s">
        <v>311</v>
      </c>
      <c r="B268" s="83" t="s">
        <v>2484</v>
      </c>
      <c r="C268" s="83"/>
      <c r="D268" s="83"/>
      <c r="E268" s="83"/>
      <c r="F268" s="83">
        <v>1290</v>
      </c>
      <c r="G268" s="83"/>
    </row>
    <row r="269" spans="1:7" s="72" customFormat="1" ht="14.25" customHeight="1">
      <c r="A269" s="83" t="s">
        <v>311</v>
      </c>
      <c r="B269" s="83" t="s">
        <v>2485</v>
      </c>
      <c r="C269" s="83"/>
      <c r="D269" s="83"/>
      <c r="E269" s="83"/>
      <c r="F269" s="83">
        <v>1150</v>
      </c>
      <c r="G269" s="83"/>
    </row>
    <row r="270" spans="1:7" s="72" customFormat="1" ht="14.25" customHeight="1">
      <c r="A270" s="83" t="s">
        <v>311</v>
      </c>
      <c r="B270" s="83" t="s">
        <v>2486</v>
      </c>
      <c r="C270" s="83"/>
      <c r="D270" s="83"/>
      <c r="E270" s="83"/>
      <c r="F270" s="83">
        <v>1380</v>
      </c>
      <c r="G270" s="83"/>
    </row>
    <row r="271" spans="1:7" s="72" customFormat="1" ht="14.25" customHeight="1">
      <c r="A271" s="83" t="s">
        <v>311</v>
      </c>
      <c r="B271" s="83" t="s">
        <v>2487</v>
      </c>
      <c r="C271" s="83"/>
      <c r="D271" s="83"/>
      <c r="E271" s="83"/>
      <c r="F271" s="83">
        <v>1460</v>
      </c>
      <c r="G271" s="83"/>
    </row>
    <row r="272" spans="1:7" s="72" customFormat="1" ht="14.25" customHeight="1">
      <c r="A272" s="83" t="s">
        <v>311</v>
      </c>
      <c r="B272" s="83" t="s">
        <v>2488</v>
      </c>
      <c r="C272" s="83"/>
      <c r="D272" s="83"/>
      <c r="E272" s="83"/>
      <c r="F272" s="83">
        <v>1460</v>
      </c>
      <c r="G272" s="83"/>
    </row>
    <row r="273" spans="1:7" s="72" customFormat="1" ht="14.25" customHeight="1">
      <c r="A273" s="83" t="s">
        <v>311</v>
      </c>
      <c r="B273" s="83" t="s">
        <v>2489</v>
      </c>
      <c r="C273" s="83"/>
      <c r="D273" s="83"/>
      <c r="E273" s="83"/>
      <c r="F273" s="83">
        <v>1490</v>
      </c>
      <c r="G273" s="83"/>
    </row>
    <row r="274" spans="1:7" s="72" customFormat="1" ht="14.25" customHeight="1">
      <c r="A274" s="83" t="s">
        <v>311</v>
      </c>
      <c r="B274" s="83" t="s">
        <v>2490</v>
      </c>
      <c r="C274" s="83"/>
      <c r="D274" s="83"/>
      <c r="E274" s="83"/>
      <c r="F274" s="83">
        <v>1490</v>
      </c>
      <c r="G274" s="83"/>
    </row>
    <row r="275" spans="1:7" s="72" customFormat="1" ht="14.25" customHeight="1">
      <c r="A275" s="83" t="s">
        <v>311</v>
      </c>
      <c r="B275" s="83" t="s">
        <v>2491</v>
      </c>
      <c r="C275" s="83"/>
      <c r="D275" s="83"/>
      <c r="E275" s="83"/>
      <c r="F275" s="83">
        <v>1220</v>
      </c>
      <c r="G275" s="83"/>
    </row>
    <row r="276" spans="1:7" s="72" customFormat="1" ht="14.25" customHeight="1">
      <c r="A276" s="85" t="s">
        <v>311</v>
      </c>
      <c r="B276" s="88" t="s">
        <v>2492</v>
      </c>
      <c r="C276" s="89"/>
      <c r="D276" s="89"/>
      <c r="E276" s="89"/>
      <c r="F276" s="89">
        <v>1380</v>
      </c>
      <c r="G276" s="89"/>
    </row>
    <row r="277" spans="1:7" s="72" customFormat="1" ht="14.25" customHeight="1">
      <c r="A277" s="81" t="s">
        <v>318</v>
      </c>
      <c r="B277" s="82" t="s">
        <v>2493</v>
      </c>
      <c r="C277" s="82">
        <v>5790</v>
      </c>
      <c r="D277" s="82">
        <v>5740</v>
      </c>
      <c r="E277" s="82">
        <v>6730</v>
      </c>
      <c r="F277" s="82">
        <v>1110</v>
      </c>
      <c r="G277" s="90">
        <v>3460</v>
      </c>
    </row>
    <row r="278" spans="1:7" s="72" customFormat="1" ht="14.25" customHeight="1">
      <c r="A278" s="83" t="s">
        <v>318</v>
      </c>
      <c r="B278" s="83" t="s">
        <v>2494</v>
      </c>
      <c r="C278" s="83">
        <v>5740</v>
      </c>
      <c r="D278" s="83">
        <v>5670</v>
      </c>
      <c r="E278" s="83">
        <v>6680</v>
      </c>
      <c r="F278" s="83">
        <v>1070</v>
      </c>
      <c r="G278" s="91">
        <v>3420</v>
      </c>
    </row>
    <row r="279" spans="1:7" s="72" customFormat="1" ht="14.25" customHeight="1">
      <c r="A279" s="83" t="s">
        <v>318</v>
      </c>
      <c r="B279" s="83" t="s">
        <v>2495</v>
      </c>
      <c r="C279" s="83">
        <v>4760</v>
      </c>
      <c r="D279" s="83">
        <v>4720</v>
      </c>
      <c r="E279" s="83">
        <v>5540</v>
      </c>
      <c r="F279" s="83">
        <v>810</v>
      </c>
      <c r="G279" s="91">
        <v>2850</v>
      </c>
    </row>
    <row r="280" spans="1:7" s="72" customFormat="1" ht="14.25" customHeight="1">
      <c r="A280" s="83" t="s">
        <v>318</v>
      </c>
      <c r="B280" s="83" t="s">
        <v>2496</v>
      </c>
      <c r="C280" s="83">
        <v>4010</v>
      </c>
      <c r="D280" s="83">
        <v>3950</v>
      </c>
      <c r="E280" s="83">
        <v>4710</v>
      </c>
      <c r="F280" s="83">
        <v>800</v>
      </c>
      <c r="G280" s="91">
        <v>2390</v>
      </c>
    </row>
    <row r="281" spans="1:7" s="72" customFormat="1" ht="14.25" customHeight="1">
      <c r="A281" s="83" t="s">
        <v>318</v>
      </c>
      <c r="B281" s="83" t="s">
        <v>2497</v>
      </c>
      <c r="C281" s="83">
        <v>4480</v>
      </c>
      <c r="D281" s="83">
        <v>4420</v>
      </c>
      <c r="E281" s="83">
        <v>5230</v>
      </c>
      <c r="F281" s="83">
        <v>870</v>
      </c>
      <c r="G281" s="91">
        <v>2660</v>
      </c>
    </row>
    <row r="282" spans="1:7" s="72" customFormat="1" ht="14.25" customHeight="1">
      <c r="A282" s="83" t="s">
        <v>318</v>
      </c>
      <c r="B282" s="83" t="s">
        <v>2498</v>
      </c>
      <c r="C282" s="83">
        <v>5360</v>
      </c>
      <c r="D282" s="83">
        <v>5300</v>
      </c>
      <c r="E282" s="83">
        <v>6190</v>
      </c>
      <c r="F282" s="83">
        <v>950</v>
      </c>
      <c r="G282" s="91">
        <v>3190</v>
      </c>
    </row>
    <row r="283" spans="1:7" s="72" customFormat="1" ht="14.25" customHeight="1">
      <c r="A283" s="83" t="s">
        <v>318</v>
      </c>
      <c r="B283" s="83" t="s">
        <v>2499</v>
      </c>
      <c r="C283" s="83">
        <v>4950</v>
      </c>
      <c r="D283" s="83">
        <v>4900</v>
      </c>
      <c r="E283" s="83">
        <v>5720</v>
      </c>
      <c r="F283" s="83">
        <v>920</v>
      </c>
      <c r="G283" s="91">
        <v>2950</v>
      </c>
    </row>
    <row r="284" spans="1:7" s="72" customFormat="1" ht="14.25" customHeight="1">
      <c r="A284" s="83" t="s">
        <v>318</v>
      </c>
      <c r="B284" s="83" t="s">
        <v>2500</v>
      </c>
      <c r="C284" s="83">
        <v>5610</v>
      </c>
      <c r="D284" s="83">
        <v>5560</v>
      </c>
      <c r="E284" s="83">
        <v>6520</v>
      </c>
      <c r="F284" s="83">
        <v>1030</v>
      </c>
      <c r="G284" s="91">
        <v>3360</v>
      </c>
    </row>
    <row r="285" spans="1:7" s="72" customFormat="1" ht="14.25" customHeight="1">
      <c r="A285" s="83" t="s">
        <v>318</v>
      </c>
      <c r="B285" s="83" t="s">
        <v>2501</v>
      </c>
      <c r="C285" s="83">
        <v>5340</v>
      </c>
      <c r="D285" s="83">
        <v>5290</v>
      </c>
      <c r="E285" s="83">
        <v>6170</v>
      </c>
      <c r="F285" s="83">
        <v>1080</v>
      </c>
      <c r="G285" s="91">
        <v>3180</v>
      </c>
    </row>
    <row r="286" spans="1:7" s="72" customFormat="1" ht="14.25" customHeight="1">
      <c r="A286" s="83" t="s">
        <v>318</v>
      </c>
      <c r="B286" s="83" t="s">
        <v>2502</v>
      </c>
      <c r="C286" s="83">
        <v>4890</v>
      </c>
      <c r="D286" s="83">
        <v>4840</v>
      </c>
      <c r="E286" s="83">
        <v>5640</v>
      </c>
      <c r="F286" s="83">
        <v>960</v>
      </c>
      <c r="G286" s="91">
        <v>2910</v>
      </c>
    </row>
    <row r="287" spans="1:7" s="72" customFormat="1" ht="14.25" customHeight="1">
      <c r="A287" s="83" t="s">
        <v>318</v>
      </c>
      <c r="B287" s="83" t="s">
        <v>2503</v>
      </c>
      <c r="C287" s="83">
        <v>4960</v>
      </c>
      <c r="D287" s="83">
        <v>4920</v>
      </c>
      <c r="E287" s="83">
        <v>5730</v>
      </c>
      <c r="F287" s="83">
        <v>930</v>
      </c>
      <c r="G287" s="91">
        <v>2960</v>
      </c>
    </row>
    <row r="288" spans="1:7" s="72" customFormat="1" ht="14.25" customHeight="1">
      <c r="A288" s="83" t="s">
        <v>318</v>
      </c>
      <c r="B288" s="83" t="s">
        <v>2504</v>
      </c>
      <c r="C288" s="83">
        <v>4350</v>
      </c>
      <c r="D288" s="83">
        <v>4300</v>
      </c>
      <c r="E288" s="83">
        <v>4900</v>
      </c>
      <c r="F288" s="83">
        <v>820</v>
      </c>
      <c r="G288" s="91">
        <v>2590</v>
      </c>
    </row>
    <row r="289" spans="1:7" s="72" customFormat="1" ht="14.25" customHeight="1">
      <c r="A289" s="83" t="s">
        <v>318</v>
      </c>
      <c r="B289" s="83" t="s">
        <v>2505</v>
      </c>
      <c r="C289" s="83">
        <v>5230</v>
      </c>
      <c r="D289" s="83">
        <v>5170</v>
      </c>
      <c r="E289" s="83">
        <v>6060</v>
      </c>
      <c r="F289" s="83">
        <v>900</v>
      </c>
      <c r="G289" s="91">
        <v>3120</v>
      </c>
    </row>
    <row r="290" spans="1:7" s="72" customFormat="1" ht="14.25" customHeight="1">
      <c r="A290" s="83" t="s">
        <v>318</v>
      </c>
      <c r="B290" s="83" t="s">
        <v>2506</v>
      </c>
      <c r="C290" s="83">
        <v>5550</v>
      </c>
      <c r="D290" s="83">
        <v>5500</v>
      </c>
      <c r="E290" s="83">
        <v>6440</v>
      </c>
      <c r="F290" s="83">
        <v>960</v>
      </c>
      <c r="G290" s="91">
        <v>3320</v>
      </c>
    </row>
    <row r="291" spans="1:7" s="72" customFormat="1" ht="14.25" customHeight="1">
      <c r="A291" s="83" t="s">
        <v>318</v>
      </c>
      <c r="B291" s="83" t="s">
        <v>2507</v>
      </c>
      <c r="C291" s="83">
        <v>5440</v>
      </c>
      <c r="D291" s="83">
        <v>5400</v>
      </c>
      <c r="E291" s="83">
        <v>6320</v>
      </c>
      <c r="F291" s="83">
        <v>930</v>
      </c>
      <c r="G291" s="91">
        <v>3250</v>
      </c>
    </row>
    <row r="292" spans="1:7" s="72" customFormat="1" ht="14.25" customHeight="1">
      <c r="A292" s="83" t="s">
        <v>318</v>
      </c>
      <c r="B292" s="83" t="s">
        <v>2508</v>
      </c>
      <c r="C292" s="83">
        <v>5400</v>
      </c>
      <c r="D292" s="83">
        <v>5360</v>
      </c>
      <c r="E292" s="83">
        <v>6270</v>
      </c>
      <c r="F292" s="83">
        <v>1040</v>
      </c>
      <c r="G292" s="91">
        <v>3230</v>
      </c>
    </row>
    <row r="293" spans="1:7" s="72" customFormat="1" ht="14.25" customHeight="1">
      <c r="A293" s="83" t="s">
        <v>318</v>
      </c>
      <c r="B293" s="83" t="s">
        <v>2509</v>
      </c>
      <c r="C293" s="83">
        <v>5320</v>
      </c>
      <c r="D293" s="83">
        <v>5270</v>
      </c>
      <c r="E293" s="83">
        <v>6160</v>
      </c>
      <c r="F293" s="83">
        <v>990</v>
      </c>
      <c r="G293" s="91">
        <v>3170</v>
      </c>
    </row>
    <row r="294" spans="1:7" s="72" customFormat="1" ht="14.25" customHeight="1">
      <c r="A294" s="83" t="s">
        <v>318</v>
      </c>
      <c r="B294" s="83" t="s">
        <v>2510</v>
      </c>
      <c r="C294" s="83">
        <v>5260</v>
      </c>
      <c r="D294" s="83">
        <v>5210</v>
      </c>
      <c r="E294" s="83">
        <v>6100</v>
      </c>
      <c r="F294" s="83">
        <v>950</v>
      </c>
      <c r="G294" s="91">
        <v>3150</v>
      </c>
    </row>
    <row r="295" spans="1:7" s="72" customFormat="1" ht="14.25" customHeight="1">
      <c r="A295" s="83" t="s">
        <v>318</v>
      </c>
      <c r="B295" s="83" t="s">
        <v>2511</v>
      </c>
      <c r="C295" s="83">
        <v>5610</v>
      </c>
      <c r="D295" s="83">
        <v>5570</v>
      </c>
      <c r="E295" s="83">
        <v>6530</v>
      </c>
      <c r="F295" s="83">
        <v>960</v>
      </c>
      <c r="G295" s="91">
        <v>3360</v>
      </c>
    </row>
    <row r="296" spans="1:7" s="72" customFormat="1" ht="14.25" customHeight="1">
      <c r="A296" s="83" t="s">
        <v>318</v>
      </c>
      <c r="B296" s="83" t="s">
        <v>2512</v>
      </c>
      <c r="C296" s="83">
        <v>5540</v>
      </c>
      <c r="D296" s="83">
        <v>5490</v>
      </c>
      <c r="E296" s="83">
        <v>6430</v>
      </c>
      <c r="F296" s="83">
        <v>980</v>
      </c>
      <c r="G296" s="91">
        <v>3310</v>
      </c>
    </row>
    <row r="297" spans="1:7" s="72" customFormat="1" ht="14.25" customHeight="1">
      <c r="A297" s="83" t="s">
        <v>318</v>
      </c>
      <c r="B297" s="83" t="s">
        <v>2513</v>
      </c>
      <c r="C297" s="83">
        <v>5480</v>
      </c>
      <c r="D297" s="83">
        <v>5420</v>
      </c>
      <c r="E297" s="83">
        <v>6370</v>
      </c>
      <c r="F297" s="83">
        <v>990</v>
      </c>
      <c r="G297" s="91">
        <v>3270</v>
      </c>
    </row>
    <row r="298" spans="1:7" s="72" customFormat="1" ht="14.25" customHeight="1">
      <c r="A298" s="83" t="s">
        <v>318</v>
      </c>
      <c r="B298" s="83" t="s">
        <v>2514</v>
      </c>
      <c r="C298" s="83">
        <v>5090</v>
      </c>
      <c r="D298" s="83">
        <v>5050</v>
      </c>
      <c r="E298" s="83">
        <v>5910</v>
      </c>
      <c r="F298" s="83">
        <v>900</v>
      </c>
      <c r="G298" s="91">
        <v>3040</v>
      </c>
    </row>
    <row r="299" spans="1:7" s="72" customFormat="1" ht="14.25" customHeight="1">
      <c r="A299" s="83" t="s">
        <v>318</v>
      </c>
      <c r="B299" s="97" t="s">
        <v>2515</v>
      </c>
      <c r="C299" s="83">
        <v>5430</v>
      </c>
      <c r="D299" s="83">
        <v>5380</v>
      </c>
      <c r="E299" s="83">
        <v>6280</v>
      </c>
      <c r="F299" s="83">
        <v>1000</v>
      </c>
      <c r="G299" s="91">
        <v>3240</v>
      </c>
    </row>
    <row r="300" spans="1:7" s="72" customFormat="1" ht="14.25" customHeight="1">
      <c r="A300" s="83" t="s">
        <v>318</v>
      </c>
      <c r="B300" s="97" t="s">
        <v>2516</v>
      </c>
      <c r="C300" s="83">
        <v>4740</v>
      </c>
      <c r="D300" s="83">
        <v>4680</v>
      </c>
      <c r="E300" s="83">
        <v>5450</v>
      </c>
      <c r="F300" s="83">
        <v>900</v>
      </c>
      <c r="G300" s="91">
        <v>2830</v>
      </c>
    </row>
    <row r="301" spans="1:7" s="72" customFormat="1" ht="14.25" customHeight="1">
      <c r="A301" s="83" t="s">
        <v>318</v>
      </c>
      <c r="B301" s="97" t="s">
        <v>2517</v>
      </c>
      <c r="C301" s="83">
        <v>4870</v>
      </c>
      <c r="D301" s="83">
        <v>4810</v>
      </c>
      <c r="E301" s="83">
        <v>5560</v>
      </c>
      <c r="F301" s="83">
        <v>990</v>
      </c>
      <c r="G301" s="91">
        <v>2910</v>
      </c>
    </row>
    <row r="302" spans="1:7" s="72" customFormat="1" ht="14.25" customHeight="1">
      <c r="A302" s="83" t="s">
        <v>318</v>
      </c>
      <c r="B302" s="83" t="s">
        <v>2518</v>
      </c>
      <c r="C302" s="83">
        <v>5520</v>
      </c>
      <c r="D302" s="83">
        <v>5470</v>
      </c>
      <c r="E302" s="83">
        <v>6410</v>
      </c>
      <c r="F302" s="83">
        <v>950</v>
      </c>
      <c r="G302" s="91">
        <v>3300</v>
      </c>
    </row>
    <row r="303" spans="1:7" s="72" customFormat="1" ht="14.25" customHeight="1">
      <c r="A303" s="83" t="s">
        <v>318</v>
      </c>
      <c r="B303" s="83" t="s">
        <v>2519</v>
      </c>
      <c r="C303" s="83">
        <v>5630</v>
      </c>
      <c r="D303" s="83">
        <v>5590</v>
      </c>
      <c r="E303" s="83">
        <v>6550</v>
      </c>
      <c r="F303" s="83">
        <v>1010</v>
      </c>
      <c r="G303" s="91">
        <v>3370</v>
      </c>
    </row>
    <row r="304" spans="1:7" s="72" customFormat="1" ht="14.25" customHeight="1">
      <c r="A304" s="83" t="s">
        <v>318</v>
      </c>
      <c r="B304" s="83" t="s">
        <v>2520</v>
      </c>
      <c r="C304" s="83">
        <v>5680</v>
      </c>
      <c r="D304" s="83">
        <v>5620</v>
      </c>
      <c r="E304" s="83">
        <v>6620</v>
      </c>
      <c r="F304" s="83">
        <v>1050</v>
      </c>
      <c r="G304" s="91">
        <v>3390</v>
      </c>
    </row>
    <row r="305" spans="1:7" s="72" customFormat="1" ht="14.25" customHeight="1">
      <c r="A305" s="83" t="s">
        <v>318</v>
      </c>
      <c r="B305" s="83" t="s">
        <v>2521</v>
      </c>
      <c r="C305" s="83">
        <v>5590</v>
      </c>
      <c r="D305" s="83">
        <v>5530</v>
      </c>
      <c r="E305" s="83">
        <v>6460</v>
      </c>
      <c r="F305" s="83">
        <v>900</v>
      </c>
      <c r="G305" s="91">
        <v>3340</v>
      </c>
    </row>
    <row r="306" spans="1:7" s="72" customFormat="1" ht="14.25" customHeight="1">
      <c r="A306" s="83" t="s">
        <v>318</v>
      </c>
      <c r="B306" s="83" t="s">
        <v>2522</v>
      </c>
      <c r="C306" s="83">
        <v>5560</v>
      </c>
      <c r="D306" s="83">
        <v>5510</v>
      </c>
      <c r="E306" s="83">
        <v>6440</v>
      </c>
      <c r="F306" s="83">
        <v>900</v>
      </c>
      <c r="G306" s="91">
        <v>3320</v>
      </c>
    </row>
    <row r="307" spans="1:7" s="72" customFormat="1" ht="14.25" customHeight="1">
      <c r="A307" s="83" t="s">
        <v>318</v>
      </c>
      <c r="B307" s="83" t="s">
        <v>2523</v>
      </c>
      <c r="C307" s="83">
        <v>5650</v>
      </c>
      <c r="D307" s="83">
        <v>5600</v>
      </c>
      <c r="E307" s="83">
        <v>6590</v>
      </c>
      <c r="F307" s="83">
        <v>930</v>
      </c>
      <c r="G307" s="91">
        <v>3380</v>
      </c>
    </row>
    <row r="308" spans="1:7" s="72" customFormat="1" ht="14.25" customHeight="1">
      <c r="A308" s="83" t="s">
        <v>318</v>
      </c>
      <c r="B308" s="83" t="s">
        <v>2524</v>
      </c>
      <c r="C308" s="83">
        <v>5620</v>
      </c>
      <c r="D308" s="83">
        <v>5580</v>
      </c>
      <c r="E308" s="83">
        <v>6540</v>
      </c>
      <c r="F308" s="83">
        <v>910</v>
      </c>
      <c r="G308" s="91">
        <v>3370</v>
      </c>
    </row>
    <row r="309" spans="1:7" s="72" customFormat="1" ht="14.25" customHeight="1">
      <c r="A309" s="83" t="s">
        <v>318</v>
      </c>
      <c r="B309" s="83" t="s">
        <v>2525</v>
      </c>
      <c r="C309" s="83">
        <v>5060</v>
      </c>
      <c r="D309" s="83">
        <v>5020</v>
      </c>
      <c r="E309" s="83">
        <v>6370</v>
      </c>
      <c r="F309" s="83">
        <v>800</v>
      </c>
      <c r="G309" s="91">
        <v>3020</v>
      </c>
    </row>
    <row r="310" spans="1:7" s="72" customFormat="1" ht="14.25" customHeight="1">
      <c r="A310" s="83" t="s">
        <v>318</v>
      </c>
      <c r="B310" s="83" t="s">
        <v>2526</v>
      </c>
      <c r="C310" s="83">
        <v>5150</v>
      </c>
      <c r="D310" s="83">
        <v>5110</v>
      </c>
      <c r="E310" s="83">
        <v>6500</v>
      </c>
      <c r="F310" s="83">
        <v>880</v>
      </c>
      <c r="G310" s="91">
        <v>3080</v>
      </c>
    </row>
    <row r="311" spans="1:7" s="72" customFormat="1" ht="14.25" customHeight="1">
      <c r="A311" s="83" t="s">
        <v>318</v>
      </c>
      <c r="B311" s="83" t="s">
        <v>2527</v>
      </c>
      <c r="C311" s="83">
        <v>4750</v>
      </c>
      <c r="D311" s="83">
        <v>4710</v>
      </c>
      <c r="E311" s="83">
        <v>5510</v>
      </c>
      <c r="F311" s="83">
        <v>880</v>
      </c>
      <c r="G311" s="91">
        <v>2840</v>
      </c>
    </row>
    <row r="312" spans="1:7" s="72" customFormat="1" ht="14.25" customHeight="1">
      <c r="A312" s="83" t="s">
        <v>318</v>
      </c>
      <c r="B312" s="83" t="s">
        <v>2528</v>
      </c>
      <c r="C312" s="83">
        <v>4690</v>
      </c>
      <c r="D312" s="83">
        <v>4640</v>
      </c>
      <c r="E312" s="83">
        <v>5420</v>
      </c>
      <c r="F312" s="83">
        <v>800</v>
      </c>
      <c r="G312" s="91">
        <v>2800</v>
      </c>
    </row>
    <row r="313" spans="1:7" s="72" customFormat="1" ht="14.25" customHeight="1">
      <c r="A313" s="83" t="s">
        <v>318</v>
      </c>
      <c r="B313" s="83" t="s">
        <v>2529</v>
      </c>
      <c r="C313" s="83">
        <v>4810</v>
      </c>
      <c r="D313" s="83">
        <v>4760</v>
      </c>
      <c r="E313" s="83">
        <v>5550</v>
      </c>
      <c r="F313" s="83">
        <v>920</v>
      </c>
      <c r="G313" s="91">
        <v>2870</v>
      </c>
    </row>
    <row r="314" spans="1:7" s="72" customFormat="1" ht="14.25" customHeight="1">
      <c r="A314" s="83" t="s">
        <v>318</v>
      </c>
      <c r="B314" s="83" t="s">
        <v>2530</v>
      </c>
      <c r="C314" s="83"/>
      <c r="D314" s="83"/>
      <c r="E314" s="83"/>
      <c r="F314" s="83">
        <v>1020</v>
      </c>
      <c r="G314" s="91"/>
    </row>
    <row r="315" spans="1:7" s="72" customFormat="1" ht="14.25" customHeight="1">
      <c r="A315" s="83" t="s">
        <v>318</v>
      </c>
      <c r="B315" s="83" t="s">
        <v>2531</v>
      </c>
      <c r="C315" s="83"/>
      <c r="D315" s="83"/>
      <c r="E315" s="83"/>
      <c r="F315" s="83">
        <v>1050</v>
      </c>
      <c r="G315" s="91"/>
    </row>
    <row r="316" spans="1:7" s="72" customFormat="1" ht="14.25" customHeight="1">
      <c r="A316" s="83" t="s">
        <v>318</v>
      </c>
      <c r="B316" s="83" t="s">
        <v>2532</v>
      </c>
      <c r="C316" s="83"/>
      <c r="D316" s="83"/>
      <c r="E316" s="83"/>
      <c r="F316" s="83">
        <v>900</v>
      </c>
      <c r="G316" s="91"/>
    </row>
    <row r="317" spans="1:7" s="72" customFormat="1" ht="14.25" customHeight="1">
      <c r="A317" s="83" t="s">
        <v>318</v>
      </c>
      <c r="B317" s="83" t="s">
        <v>2533</v>
      </c>
      <c r="C317" s="83"/>
      <c r="D317" s="83"/>
      <c r="E317" s="83"/>
      <c r="F317" s="83">
        <v>920</v>
      </c>
      <c r="G317" s="91"/>
    </row>
    <row r="318" spans="1:7" s="72" customFormat="1" ht="14.25" customHeight="1">
      <c r="A318" s="83" t="s">
        <v>318</v>
      </c>
      <c r="B318" s="83" t="s">
        <v>2534</v>
      </c>
      <c r="C318" s="83"/>
      <c r="D318" s="83"/>
      <c r="E318" s="83"/>
      <c r="F318" s="83">
        <v>1080</v>
      </c>
      <c r="G318" s="91"/>
    </row>
    <row r="319" spans="1:7" s="72" customFormat="1" ht="14.25" customHeight="1">
      <c r="A319" s="83" t="s">
        <v>318</v>
      </c>
      <c r="B319" s="83" t="s">
        <v>2535</v>
      </c>
      <c r="C319" s="83"/>
      <c r="D319" s="83"/>
      <c r="E319" s="83"/>
      <c r="F319" s="83">
        <v>1020</v>
      </c>
      <c r="G319" s="91"/>
    </row>
    <row r="320" spans="1:7" s="72" customFormat="1" ht="14.25" customHeight="1">
      <c r="A320" s="83" t="s">
        <v>318</v>
      </c>
      <c r="B320" s="83" t="s">
        <v>2536</v>
      </c>
      <c r="C320" s="83"/>
      <c r="D320" s="83"/>
      <c r="E320" s="83"/>
      <c r="F320" s="83">
        <v>1050</v>
      </c>
      <c r="G320" s="91"/>
    </row>
    <row r="321" spans="1:7" s="72" customFormat="1" ht="14.25" customHeight="1">
      <c r="A321" s="83" t="s">
        <v>318</v>
      </c>
      <c r="B321" s="83" t="s">
        <v>2537</v>
      </c>
      <c r="C321" s="83"/>
      <c r="D321" s="83"/>
      <c r="E321" s="83"/>
      <c r="F321" s="83">
        <v>960</v>
      </c>
      <c r="G321" s="91"/>
    </row>
    <row r="322" spans="1:7" s="72" customFormat="1" ht="14.25" customHeight="1">
      <c r="A322" s="83" t="s">
        <v>318</v>
      </c>
      <c r="B322" s="83" t="s">
        <v>2538</v>
      </c>
      <c r="C322" s="83"/>
      <c r="D322" s="83"/>
      <c r="E322" s="83"/>
      <c r="F322" s="83">
        <v>960</v>
      </c>
      <c r="G322" s="91"/>
    </row>
    <row r="323" spans="1:7" s="72" customFormat="1" ht="14.25" customHeight="1">
      <c r="A323" s="83" t="s">
        <v>318</v>
      </c>
      <c r="B323" s="83" t="s">
        <v>2539</v>
      </c>
      <c r="C323" s="83"/>
      <c r="D323" s="83"/>
      <c r="E323" s="83"/>
      <c r="F323" s="83">
        <v>880</v>
      </c>
      <c r="G323" s="91"/>
    </row>
    <row r="324" spans="1:7" s="72" customFormat="1" ht="14.25" customHeight="1">
      <c r="A324" s="83" t="s">
        <v>318</v>
      </c>
      <c r="B324" s="83" t="s">
        <v>2540</v>
      </c>
      <c r="C324" s="83"/>
      <c r="D324" s="83"/>
      <c r="E324" s="83"/>
      <c r="F324" s="83">
        <v>930</v>
      </c>
      <c r="G324" s="91"/>
    </row>
    <row r="325" spans="1:7" s="72" customFormat="1" ht="14.25" customHeight="1">
      <c r="A325" s="83" t="s">
        <v>318</v>
      </c>
      <c r="B325" s="84" t="s">
        <v>2541</v>
      </c>
      <c r="C325" s="83"/>
      <c r="D325" s="83"/>
      <c r="E325" s="83"/>
      <c r="F325" s="83">
        <v>900</v>
      </c>
      <c r="G325" s="91"/>
    </row>
    <row r="326" spans="1:7" s="72" customFormat="1" ht="14.25" customHeight="1">
      <c r="A326" s="92" t="s">
        <v>318</v>
      </c>
      <c r="B326" s="87" t="s">
        <v>2542</v>
      </c>
      <c r="C326" s="87"/>
      <c r="D326" s="87"/>
      <c r="E326" s="87"/>
      <c r="F326" s="87">
        <v>790</v>
      </c>
      <c r="G326" s="93"/>
    </row>
    <row r="327" spans="1:7" s="72" customFormat="1" ht="14.25" customHeight="1">
      <c r="A327" s="81" t="s">
        <v>324</v>
      </c>
      <c r="B327" s="82" t="s">
        <v>2543</v>
      </c>
      <c r="C327" s="83">
        <v>3750</v>
      </c>
      <c r="D327" s="83">
        <v>3710</v>
      </c>
      <c r="E327" s="83">
        <v>4080</v>
      </c>
      <c r="F327" s="83">
        <v>860</v>
      </c>
      <c r="G327" s="83">
        <v>2210</v>
      </c>
    </row>
    <row r="328" spans="1:7" s="72" customFormat="1" ht="14.25" customHeight="1">
      <c r="A328" s="83" t="s">
        <v>324</v>
      </c>
      <c r="B328" s="83" t="s">
        <v>2544</v>
      </c>
      <c r="C328" s="83">
        <v>3330</v>
      </c>
      <c r="D328" s="83">
        <v>3290</v>
      </c>
      <c r="E328" s="83">
        <v>3610</v>
      </c>
      <c r="F328" s="83">
        <v>850</v>
      </c>
      <c r="G328" s="83">
        <v>1960</v>
      </c>
    </row>
    <row r="329" spans="1:7" s="72" customFormat="1" ht="14.25" customHeight="1">
      <c r="A329" s="83" t="s">
        <v>324</v>
      </c>
      <c r="B329" s="83" t="s">
        <v>2545</v>
      </c>
      <c r="C329" s="83">
        <v>2730</v>
      </c>
      <c r="D329" s="83">
        <v>2690</v>
      </c>
      <c r="E329" s="83">
        <v>3100</v>
      </c>
      <c r="F329" s="83">
        <v>660</v>
      </c>
      <c r="G329" s="83">
        <v>1610</v>
      </c>
    </row>
    <row r="330" spans="1:7" s="72" customFormat="1" ht="14.25" customHeight="1">
      <c r="A330" s="83" t="s">
        <v>324</v>
      </c>
      <c r="B330" s="83" t="s">
        <v>2546</v>
      </c>
      <c r="C330" s="83">
        <v>3270</v>
      </c>
      <c r="D330" s="83">
        <v>3240</v>
      </c>
      <c r="E330" s="83">
        <v>3560</v>
      </c>
      <c r="F330" s="83">
        <v>680</v>
      </c>
      <c r="G330" s="83">
        <v>1940</v>
      </c>
    </row>
    <row r="331" spans="1:7" s="72" customFormat="1" ht="14.25" customHeight="1">
      <c r="A331" s="83" t="s">
        <v>324</v>
      </c>
      <c r="B331" s="83" t="s">
        <v>2547</v>
      </c>
      <c r="C331" s="83">
        <v>3770</v>
      </c>
      <c r="D331" s="83">
        <v>3740</v>
      </c>
      <c r="E331" s="83">
        <v>4110</v>
      </c>
      <c r="F331" s="83">
        <v>730</v>
      </c>
      <c r="G331" s="83">
        <v>2230</v>
      </c>
    </row>
    <row r="332" spans="1:7" s="72" customFormat="1" ht="14.25" customHeight="1">
      <c r="A332" s="83" t="s">
        <v>324</v>
      </c>
      <c r="B332" s="83" t="s">
        <v>2548</v>
      </c>
      <c r="C332" s="83">
        <v>3520</v>
      </c>
      <c r="D332" s="83">
        <v>3480</v>
      </c>
      <c r="E332" s="83">
        <v>3830</v>
      </c>
      <c r="F332" s="83">
        <v>720</v>
      </c>
      <c r="G332" s="83">
        <v>2090</v>
      </c>
    </row>
    <row r="333" spans="1:7" s="72" customFormat="1" ht="14.25" customHeight="1">
      <c r="A333" s="83" t="s">
        <v>324</v>
      </c>
      <c r="B333" s="83" t="s">
        <v>2549</v>
      </c>
      <c r="C333" s="83">
        <v>3840</v>
      </c>
      <c r="D333" s="83">
        <v>3800</v>
      </c>
      <c r="E333" s="83">
        <v>4200</v>
      </c>
      <c r="F333" s="83">
        <v>760</v>
      </c>
      <c r="G333" s="83">
        <v>2270</v>
      </c>
    </row>
    <row r="334" spans="1:7" s="72" customFormat="1" ht="14.25" customHeight="1">
      <c r="A334" s="83" t="s">
        <v>324</v>
      </c>
      <c r="B334" s="83" t="s">
        <v>2550</v>
      </c>
      <c r="C334" s="83">
        <v>3960</v>
      </c>
      <c r="D334" s="83">
        <v>3910</v>
      </c>
      <c r="E334" s="83">
        <v>4340</v>
      </c>
      <c r="F334" s="83">
        <v>780</v>
      </c>
      <c r="G334" s="83">
        <v>2340</v>
      </c>
    </row>
    <row r="335" spans="1:7" s="72" customFormat="1" ht="14.25" customHeight="1">
      <c r="A335" s="83" t="s">
        <v>324</v>
      </c>
      <c r="B335" s="83" t="s">
        <v>2551</v>
      </c>
      <c r="C335" s="83">
        <v>3710</v>
      </c>
      <c r="D335" s="83">
        <v>3670</v>
      </c>
      <c r="E335" s="83">
        <v>4030</v>
      </c>
      <c r="F335" s="83">
        <v>750</v>
      </c>
      <c r="G335" s="83">
        <v>2200</v>
      </c>
    </row>
    <row r="336" spans="1:7" s="72" customFormat="1" ht="14.25" customHeight="1">
      <c r="A336" s="83" t="s">
        <v>324</v>
      </c>
      <c r="B336" s="83" t="s">
        <v>2552</v>
      </c>
      <c r="C336" s="83">
        <v>3570</v>
      </c>
      <c r="D336" s="83">
        <v>3530</v>
      </c>
      <c r="E336" s="83">
        <v>3880</v>
      </c>
      <c r="F336" s="83">
        <v>770</v>
      </c>
      <c r="G336" s="83">
        <v>2110</v>
      </c>
    </row>
    <row r="337" spans="1:10" s="72" customFormat="1" ht="14.25" customHeight="1">
      <c r="A337" s="83" t="s">
        <v>324</v>
      </c>
      <c r="B337" s="83" t="s">
        <v>2553</v>
      </c>
      <c r="C337" s="83">
        <v>3780</v>
      </c>
      <c r="D337" s="83">
        <v>3750</v>
      </c>
      <c r="E337" s="83">
        <v>4130</v>
      </c>
      <c r="F337" s="83">
        <v>750</v>
      </c>
      <c r="G337" s="83">
        <v>2240</v>
      </c>
    </row>
    <row r="338" spans="1:10" s="72" customFormat="1" ht="14.25" customHeight="1">
      <c r="A338" s="83" t="s">
        <v>324</v>
      </c>
      <c r="B338" s="83" t="s">
        <v>2554</v>
      </c>
      <c r="C338" s="83">
        <v>3600</v>
      </c>
      <c r="D338" s="83">
        <v>3570</v>
      </c>
      <c r="E338" s="83">
        <v>3920</v>
      </c>
      <c r="F338" s="83">
        <v>790</v>
      </c>
      <c r="G338" s="83">
        <v>2140</v>
      </c>
    </row>
    <row r="339" spans="1:10" s="72" customFormat="1" ht="14.25" customHeight="1">
      <c r="A339" s="83" t="s">
        <v>324</v>
      </c>
      <c r="B339" s="83" t="s">
        <v>2555</v>
      </c>
      <c r="C339" s="83">
        <v>3540</v>
      </c>
      <c r="D339" s="83">
        <v>3500</v>
      </c>
      <c r="E339" s="83">
        <v>3850</v>
      </c>
      <c r="F339" s="83">
        <v>780</v>
      </c>
      <c r="G339" s="83">
        <v>2100</v>
      </c>
    </row>
    <row r="340" spans="1:10" s="72" customFormat="1" ht="14.25" customHeight="1">
      <c r="A340" s="83" t="s">
        <v>324</v>
      </c>
      <c r="B340" s="83" t="s">
        <v>2556</v>
      </c>
      <c r="C340" s="83">
        <v>3850</v>
      </c>
      <c r="D340" s="83">
        <v>3810</v>
      </c>
      <c r="E340" s="83">
        <v>4210</v>
      </c>
      <c r="F340" s="83">
        <v>750</v>
      </c>
      <c r="G340" s="83">
        <v>2280</v>
      </c>
    </row>
    <row r="341" spans="1:10" s="72" customFormat="1" ht="14.25" customHeight="1">
      <c r="A341" s="83" t="s">
        <v>324</v>
      </c>
      <c r="B341" s="83" t="s">
        <v>2557</v>
      </c>
      <c r="C341" s="83">
        <v>3780</v>
      </c>
      <c r="D341" s="83">
        <v>3750</v>
      </c>
      <c r="E341" s="83">
        <v>4140</v>
      </c>
      <c r="F341" s="83">
        <v>720</v>
      </c>
      <c r="G341" s="83">
        <v>2240</v>
      </c>
    </row>
    <row r="342" spans="1:10" s="72" customFormat="1" ht="14.25" customHeight="1">
      <c r="A342" s="83" t="s">
        <v>324</v>
      </c>
      <c r="B342" s="83" t="s">
        <v>2558</v>
      </c>
      <c r="C342" s="83">
        <v>3670</v>
      </c>
      <c r="D342" s="83">
        <v>3620</v>
      </c>
      <c r="E342" s="83">
        <v>3990</v>
      </c>
      <c r="F342" s="83">
        <v>760</v>
      </c>
      <c r="G342" s="83">
        <v>2170</v>
      </c>
    </row>
    <row r="343" spans="1:10" s="72" customFormat="1" ht="14.25" customHeight="1">
      <c r="A343" s="83" t="s">
        <v>324</v>
      </c>
      <c r="B343" s="83" t="s">
        <v>2559</v>
      </c>
      <c r="C343" s="83">
        <v>3760</v>
      </c>
      <c r="D343" s="83">
        <v>3720</v>
      </c>
      <c r="E343" s="83">
        <v>4090</v>
      </c>
      <c r="F343" s="83">
        <v>780</v>
      </c>
      <c r="G343" s="83">
        <v>2220</v>
      </c>
    </row>
    <row r="344" spans="1:10" s="72" customFormat="1" ht="14.25" customHeight="1">
      <c r="A344" s="83" t="s">
        <v>324</v>
      </c>
      <c r="B344" s="83" t="s">
        <v>2560</v>
      </c>
      <c r="C344" s="83">
        <v>3680</v>
      </c>
      <c r="D344" s="83">
        <v>3640</v>
      </c>
      <c r="E344" s="83">
        <v>4010</v>
      </c>
      <c r="F344" s="83">
        <v>750</v>
      </c>
      <c r="G344" s="83">
        <v>2180</v>
      </c>
    </row>
    <row r="345" spans="1:10">
      <c r="A345" s="83" t="s">
        <v>324</v>
      </c>
      <c r="B345" s="83" t="s">
        <v>2561</v>
      </c>
      <c r="C345" s="83">
        <v>3190</v>
      </c>
      <c r="D345" s="83">
        <v>3140</v>
      </c>
      <c r="E345" s="83">
        <v>3450</v>
      </c>
      <c r="F345" s="83">
        <v>720</v>
      </c>
      <c r="G345" s="83">
        <v>1880</v>
      </c>
      <c r="J345" s="72"/>
    </row>
    <row r="346" spans="1:10">
      <c r="A346" s="83" t="s">
        <v>324</v>
      </c>
      <c r="B346" s="83" t="s">
        <v>2562</v>
      </c>
      <c r="C346" s="83">
        <v>3630</v>
      </c>
      <c r="D346" s="83">
        <v>3590</v>
      </c>
      <c r="E346" s="83">
        <v>3940</v>
      </c>
      <c r="F346" s="83">
        <v>730</v>
      </c>
      <c r="G346" s="83">
        <v>2150</v>
      </c>
      <c r="J346" s="72"/>
    </row>
    <row r="347" spans="1:10">
      <c r="A347" s="83" t="s">
        <v>324</v>
      </c>
      <c r="B347" s="83" t="s">
        <v>2563</v>
      </c>
      <c r="C347" s="83">
        <v>3860</v>
      </c>
      <c r="D347" s="83">
        <v>3820</v>
      </c>
      <c r="E347" s="83">
        <v>4220</v>
      </c>
      <c r="F347" s="83">
        <v>750</v>
      </c>
      <c r="G347" s="83">
        <v>2280</v>
      </c>
      <c r="J347" s="72"/>
    </row>
    <row r="348" spans="1:10">
      <c r="A348" s="83" t="s">
        <v>324</v>
      </c>
      <c r="B348" s="83" t="s">
        <v>2564</v>
      </c>
      <c r="C348" s="83">
        <v>4000</v>
      </c>
      <c r="D348" s="83">
        <v>3950</v>
      </c>
      <c r="E348" s="83">
        <v>4430</v>
      </c>
      <c r="F348" s="83">
        <v>760</v>
      </c>
      <c r="G348" s="83">
        <v>2360</v>
      </c>
      <c r="J348" s="72"/>
    </row>
    <row r="349" spans="1:10">
      <c r="A349" s="83" t="s">
        <v>324</v>
      </c>
      <c r="B349" s="83" t="s">
        <v>2565</v>
      </c>
      <c r="C349" s="83">
        <v>3820</v>
      </c>
      <c r="D349" s="83">
        <v>3780</v>
      </c>
      <c r="E349" s="83">
        <v>4170</v>
      </c>
      <c r="F349" s="83">
        <v>710</v>
      </c>
      <c r="G349" s="83">
        <v>2260</v>
      </c>
      <c r="J349" s="72"/>
    </row>
    <row r="350" spans="1:10">
      <c r="A350" s="83" t="s">
        <v>324</v>
      </c>
      <c r="B350" s="83" t="s">
        <v>2566</v>
      </c>
      <c r="C350" s="83">
        <v>3760</v>
      </c>
      <c r="D350" s="83">
        <v>3730</v>
      </c>
      <c r="E350" s="83">
        <v>4100</v>
      </c>
      <c r="F350" s="83">
        <v>800</v>
      </c>
      <c r="G350" s="83">
        <v>2230</v>
      </c>
      <c r="J350" s="72"/>
    </row>
    <row r="351" spans="1:10">
      <c r="A351" s="83" t="s">
        <v>324</v>
      </c>
      <c r="B351" s="83" t="s">
        <v>2567</v>
      </c>
      <c r="C351" s="83">
        <v>3610</v>
      </c>
      <c r="D351" s="83">
        <v>3580</v>
      </c>
      <c r="E351" s="83">
        <v>3930</v>
      </c>
      <c r="F351" s="83">
        <v>700</v>
      </c>
      <c r="G351" s="83">
        <v>2140</v>
      </c>
      <c r="J351" s="72"/>
    </row>
    <row r="352" spans="1:10">
      <c r="A352" s="83" t="s">
        <v>324</v>
      </c>
      <c r="B352" s="83" t="s">
        <v>2568</v>
      </c>
      <c r="C352" s="83">
        <v>3670</v>
      </c>
      <c r="D352" s="83">
        <v>3630</v>
      </c>
      <c r="E352" s="83">
        <v>4000</v>
      </c>
      <c r="F352" s="83">
        <v>750</v>
      </c>
      <c r="G352" s="83">
        <v>2180</v>
      </c>
    </row>
    <row r="353" spans="1:7" s="73" customFormat="1">
      <c r="A353" s="83" t="s">
        <v>324</v>
      </c>
      <c r="B353" s="83" t="s">
        <v>2569</v>
      </c>
      <c r="C353" s="83">
        <v>3190</v>
      </c>
      <c r="D353" s="83">
        <v>3150</v>
      </c>
      <c r="E353" s="83">
        <v>3640</v>
      </c>
      <c r="F353" s="83">
        <v>630</v>
      </c>
      <c r="G353" s="83">
        <v>1890</v>
      </c>
    </row>
    <row r="354" spans="1:7" s="73" customFormat="1">
      <c r="A354" s="83" t="s">
        <v>324</v>
      </c>
      <c r="B354" s="83" t="s">
        <v>2570</v>
      </c>
      <c r="C354" s="83">
        <v>3450</v>
      </c>
      <c r="D354" s="83">
        <v>3420</v>
      </c>
      <c r="E354" s="83">
        <v>3960</v>
      </c>
      <c r="F354" s="83">
        <v>660</v>
      </c>
      <c r="G354" s="83">
        <v>2050</v>
      </c>
    </row>
    <row r="355" spans="1:7" s="73" customFormat="1">
      <c r="A355" s="83" t="s">
        <v>324</v>
      </c>
      <c r="B355" s="83" t="s">
        <v>2571</v>
      </c>
      <c r="C355" s="83">
        <v>3650</v>
      </c>
      <c r="D355" s="83">
        <v>3610</v>
      </c>
      <c r="E355" s="83">
        <v>4200</v>
      </c>
      <c r="F355" s="83">
        <v>640</v>
      </c>
      <c r="G355" s="83">
        <v>2160</v>
      </c>
    </row>
    <row r="356" spans="1:7" s="73" customFormat="1">
      <c r="A356" s="83" t="s">
        <v>324</v>
      </c>
      <c r="B356" s="83" t="s">
        <v>2572</v>
      </c>
      <c r="C356" s="83">
        <v>3260</v>
      </c>
      <c r="D356" s="83">
        <v>3230</v>
      </c>
      <c r="E356" s="83">
        <v>3740</v>
      </c>
      <c r="F356" s="83">
        <v>600</v>
      </c>
      <c r="G356" s="83">
        <v>1930</v>
      </c>
    </row>
    <row r="357" spans="1:7" s="73" customFormat="1">
      <c r="A357" s="85" t="s">
        <v>324</v>
      </c>
      <c r="B357" s="89" t="s">
        <v>2573</v>
      </c>
      <c r="C357" s="89">
        <v>3690</v>
      </c>
      <c r="D357" s="89">
        <v>3650</v>
      </c>
      <c r="E357" s="89">
        <v>4020</v>
      </c>
      <c r="F357" s="89">
        <v>700</v>
      </c>
      <c r="G357" s="89">
        <v>2190</v>
      </c>
    </row>
    <row r="358" spans="1:7" s="73" customFormat="1">
      <c r="A358" s="81" t="s">
        <v>330</v>
      </c>
      <c r="B358" s="82" t="s">
        <v>2574</v>
      </c>
      <c r="C358" s="82">
        <v>2080</v>
      </c>
      <c r="D358" s="82">
        <v>2040</v>
      </c>
      <c r="E358" s="82">
        <v>2010</v>
      </c>
      <c r="F358" s="82">
        <v>530</v>
      </c>
      <c r="G358" s="90">
        <v>1230</v>
      </c>
    </row>
    <row r="359" spans="1:7" s="73" customFormat="1">
      <c r="A359" s="83" t="s">
        <v>330</v>
      </c>
      <c r="B359" s="83" t="s">
        <v>2575</v>
      </c>
      <c r="C359" s="83">
        <v>1850</v>
      </c>
      <c r="D359" s="83">
        <v>1820</v>
      </c>
      <c r="E359" s="83">
        <v>1780</v>
      </c>
      <c r="F359" s="83">
        <v>520</v>
      </c>
      <c r="G359" s="91">
        <v>1100</v>
      </c>
    </row>
    <row r="360" spans="1:7" s="73" customFormat="1">
      <c r="A360" s="83" t="s">
        <v>330</v>
      </c>
      <c r="B360" s="83" t="s">
        <v>2576</v>
      </c>
      <c r="C360" s="83">
        <v>2020</v>
      </c>
      <c r="D360" s="83">
        <v>1990</v>
      </c>
      <c r="E360" s="83">
        <v>1950</v>
      </c>
      <c r="F360" s="83">
        <v>500</v>
      </c>
      <c r="G360" s="91">
        <v>1200</v>
      </c>
    </row>
    <row r="361" spans="1:7" s="73" customFormat="1">
      <c r="A361" s="83" t="s">
        <v>330</v>
      </c>
      <c r="B361" s="83" t="s">
        <v>2577</v>
      </c>
      <c r="C361" s="83">
        <v>2260</v>
      </c>
      <c r="D361" s="83">
        <v>2220</v>
      </c>
      <c r="E361" s="83">
        <v>2180</v>
      </c>
      <c r="F361" s="83">
        <v>580</v>
      </c>
      <c r="G361" s="91">
        <v>1340</v>
      </c>
    </row>
    <row r="362" spans="1:7" s="73" customFormat="1">
      <c r="A362" s="83" t="s">
        <v>330</v>
      </c>
      <c r="B362" s="83" t="s">
        <v>2578</v>
      </c>
      <c r="C362" s="83">
        <v>2650</v>
      </c>
      <c r="D362" s="83">
        <v>2610</v>
      </c>
      <c r="E362" s="83">
        <v>2570</v>
      </c>
      <c r="F362" s="83">
        <v>630</v>
      </c>
      <c r="G362" s="91">
        <v>1570</v>
      </c>
    </row>
    <row r="363" spans="1:7" s="73" customFormat="1">
      <c r="A363" s="83" t="s">
        <v>330</v>
      </c>
      <c r="B363" s="83" t="s">
        <v>2579</v>
      </c>
      <c r="C363" s="83">
        <v>2390</v>
      </c>
      <c r="D363" s="83">
        <v>2360</v>
      </c>
      <c r="E363" s="83">
        <v>2320</v>
      </c>
      <c r="F363" s="83">
        <v>600</v>
      </c>
      <c r="G363" s="91">
        <v>1420</v>
      </c>
    </row>
    <row r="364" spans="1:7" s="73" customFormat="1">
      <c r="A364" s="83" t="s">
        <v>330</v>
      </c>
      <c r="B364" s="83" t="s">
        <v>2580</v>
      </c>
      <c r="C364" s="83">
        <v>2050</v>
      </c>
      <c r="D364" s="83">
        <v>2030</v>
      </c>
      <c r="E364" s="83">
        <v>1990</v>
      </c>
      <c r="F364" s="83">
        <v>550</v>
      </c>
      <c r="G364" s="91">
        <v>1220</v>
      </c>
    </row>
    <row r="365" spans="1:7" s="73" customFormat="1">
      <c r="A365" s="83" t="s">
        <v>330</v>
      </c>
      <c r="B365" s="83" t="s">
        <v>2581</v>
      </c>
      <c r="C365" s="83">
        <v>2140</v>
      </c>
      <c r="D365" s="83">
        <v>2100</v>
      </c>
      <c r="E365" s="83">
        <v>2060</v>
      </c>
      <c r="F365" s="83">
        <v>540</v>
      </c>
      <c r="G365" s="91">
        <v>1270</v>
      </c>
    </row>
    <row r="366" spans="1:7" s="73" customFormat="1">
      <c r="A366" s="83" t="s">
        <v>330</v>
      </c>
      <c r="B366" s="83" t="s">
        <v>2582</v>
      </c>
      <c r="C366" s="83">
        <v>2410</v>
      </c>
      <c r="D366" s="83">
        <v>2370</v>
      </c>
      <c r="E366" s="83">
        <v>2330</v>
      </c>
      <c r="F366" s="83">
        <v>570</v>
      </c>
      <c r="G366" s="91">
        <v>1440</v>
      </c>
    </row>
    <row r="367" spans="1:7" s="73" customFormat="1">
      <c r="A367" s="83" t="s">
        <v>330</v>
      </c>
      <c r="B367" s="83" t="s">
        <v>2583</v>
      </c>
      <c r="C367" s="83">
        <v>2300</v>
      </c>
      <c r="D367" s="83">
        <v>2260</v>
      </c>
      <c r="E367" s="83">
        <v>2220</v>
      </c>
      <c r="F367" s="83">
        <v>560</v>
      </c>
      <c r="G367" s="91">
        <v>1370</v>
      </c>
    </row>
    <row r="368" spans="1:7" s="73" customFormat="1">
      <c r="A368" s="83" t="s">
        <v>330</v>
      </c>
      <c r="B368" s="83" t="s">
        <v>2584</v>
      </c>
      <c r="C368" s="83">
        <v>2430</v>
      </c>
      <c r="D368" s="83">
        <v>2390</v>
      </c>
      <c r="E368" s="83">
        <v>2350</v>
      </c>
      <c r="F368" s="83">
        <v>570</v>
      </c>
      <c r="G368" s="91">
        <v>1450</v>
      </c>
    </row>
    <row r="369" spans="1:7" s="73" customFormat="1">
      <c r="A369" s="83" t="s">
        <v>330</v>
      </c>
      <c r="B369" s="83" t="s">
        <v>2585</v>
      </c>
      <c r="C369" s="83">
        <v>2320</v>
      </c>
      <c r="D369" s="83">
        <v>2290</v>
      </c>
      <c r="E369" s="83">
        <v>2250</v>
      </c>
      <c r="F369" s="83">
        <v>550</v>
      </c>
      <c r="G369" s="91">
        <v>1380</v>
      </c>
    </row>
    <row r="370" spans="1:7" s="73" customFormat="1">
      <c r="A370" s="83" t="s">
        <v>330</v>
      </c>
      <c r="B370" s="83" t="s">
        <v>2586</v>
      </c>
      <c r="C370" s="83">
        <v>2190</v>
      </c>
      <c r="D370" s="83">
        <v>2170</v>
      </c>
      <c r="E370" s="83">
        <v>2130</v>
      </c>
      <c r="F370" s="83">
        <v>530</v>
      </c>
      <c r="G370" s="91">
        <v>1310</v>
      </c>
    </row>
    <row r="371" spans="1:7" s="73" customFormat="1">
      <c r="A371" s="83" t="s">
        <v>330</v>
      </c>
      <c r="B371" s="83" t="s">
        <v>2587</v>
      </c>
      <c r="C371" s="83">
        <v>2460</v>
      </c>
      <c r="D371" s="83">
        <v>2420</v>
      </c>
      <c r="E371" s="83">
        <v>2370</v>
      </c>
      <c r="F371" s="83">
        <v>560</v>
      </c>
      <c r="G371" s="91">
        <v>1470</v>
      </c>
    </row>
    <row r="372" spans="1:7" s="73" customFormat="1">
      <c r="A372" s="83" t="s">
        <v>330</v>
      </c>
      <c r="B372" s="83" t="s">
        <v>2588</v>
      </c>
      <c r="C372" s="83">
        <v>2250</v>
      </c>
      <c r="D372" s="83">
        <v>2210</v>
      </c>
      <c r="E372" s="83">
        <v>2180</v>
      </c>
      <c r="F372" s="83">
        <v>550</v>
      </c>
      <c r="G372" s="91">
        <v>1340</v>
      </c>
    </row>
    <row r="373" spans="1:7" s="73" customFormat="1">
      <c r="A373" s="83" t="s">
        <v>330</v>
      </c>
      <c r="B373" s="83" t="s">
        <v>2589</v>
      </c>
      <c r="C373" s="83">
        <v>2210</v>
      </c>
      <c r="D373" s="83">
        <v>2190</v>
      </c>
      <c r="E373" s="83">
        <v>2150</v>
      </c>
      <c r="F373" s="83">
        <v>530</v>
      </c>
      <c r="G373" s="91">
        <v>1320</v>
      </c>
    </row>
    <row r="374" spans="1:7" s="73" customFormat="1">
      <c r="A374" s="83" t="s">
        <v>330</v>
      </c>
      <c r="B374" s="83" t="s">
        <v>2590</v>
      </c>
      <c r="C374" s="83">
        <v>2320</v>
      </c>
      <c r="D374" s="83">
        <v>2280</v>
      </c>
      <c r="E374" s="83">
        <v>2230</v>
      </c>
      <c r="F374" s="83">
        <v>580</v>
      </c>
      <c r="G374" s="91">
        <v>1380</v>
      </c>
    </row>
    <row r="375" spans="1:7" s="73" customFormat="1">
      <c r="A375" s="83" t="s">
        <v>330</v>
      </c>
      <c r="B375" s="83" t="s">
        <v>2591</v>
      </c>
      <c r="C375" s="83">
        <v>2090</v>
      </c>
      <c r="D375" s="83">
        <v>2050</v>
      </c>
      <c r="E375" s="83">
        <v>2020</v>
      </c>
      <c r="F375" s="83">
        <v>520</v>
      </c>
      <c r="G375" s="91">
        <v>1240</v>
      </c>
    </row>
    <row r="376" spans="1:7" s="73" customFormat="1">
      <c r="A376" s="83" t="s">
        <v>330</v>
      </c>
      <c r="B376" s="83" t="s">
        <v>2592</v>
      </c>
      <c r="C376" s="83">
        <v>2010</v>
      </c>
      <c r="D376" s="83">
        <v>1980</v>
      </c>
      <c r="E376" s="83">
        <v>1940</v>
      </c>
      <c r="F376" s="83">
        <v>540</v>
      </c>
      <c r="G376" s="91">
        <v>1190</v>
      </c>
    </row>
    <row r="377" spans="1:7" s="73" customFormat="1">
      <c r="A377" s="85" t="s">
        <v>330</v>
      </c>
      <c r="B377" s="89" t="s">
        <v>2593</v>
      </c>
      <c r="C377" s="89">
        <v>1930</v>
      </c>
      <c r="D377" s="89">
        <v>1890</v>
      </c>
      <c r="E377" s="89">
        <v>1860</v>
      </c>
      <c r="F377" s="89">
        <v>530</v>
      </c>
      <c r="G377" s="98">
        <v>1150</v>
      </c>
    </row>
    <row r="378" spans="1:7" s="73" customFormat="1">
      <c r="A378" s="99" t="s">
        <v>336</v>
      </c>
      <c r="B378" s="82" t="s">
        <v>2594</v>
      </c>
      <c r="C378" s="82">
        <v>1520</v>
      </c>
      <c r="D378" s="82">
        <v>1490</v>
      </c>
      <c r="E378" s="82">
        <v>1460</v>
      </c>
      <c r="F378" s="82">
        <v>460</v>
      </c>
      <c r="G378" s="90">
        <v>940</v>
      </c>
    </row>
    <row r="379" spans="1:7" s="73" customFormat="1">
      <c r="A379" s="100" t="s">
        <v>336</v>
      </c>
      <c r="B379" s="83" t="s">
        <v>2595</v>
      </c>
      <c r="C379" s="83">
        <v>1500</v>
      </c>
      <c r="D379" s="83">
        <v>1470</v>
      </c>
      <c r="E379" s="83">
        <v>1430</v>
      </c>
      <c r="F379" s="83">
        <v>460</v>
      </c>
      <c r="G379" s="91">
        <v>920</v>
      </c>
    </row>
    <row r="380" spans="1:7" s="73" customFormat="1">
      <c r="A380" s="100" t="s">
        <v>336</v>
      </c>
      <c r="B380" s="83" t="s">
        <v>2596</v>
      </c>
      <c r="C380" s="83">
        <v>1620</v>
      </c>
      <c r="D380" s="83">
        <v>1590</v>
      </c>
      <c r="E380" s="83">
        <v>1560</v>
      </c>
      <c r="F380" s="83">
        <v>480</v>
      </c>
      <c r="G380" s="91">
        <v>1000</v>
      </c>
    </row>
    <row r="381" spans="1:7" s="73" customFormat="1">
      <c r="A381" s="100" t="s">
        <v>336</v>
      </c>
      <c r="B381" s="83" t="s">
        <v>2597</v>
      </c>
      <c r="C381" s="83">
        <v>1460</v>
      </c>
      <c r="D381" s="83">
        <v>1430</v>
      </c>
      <c r="E381" s="83">
        <v>1390</v>
      </c>
      <c r="F381" s="83">
        <v>450</v>
      </c>
      <c r="G381" s="91">
        <v>900</v>
      </c>
    </row>
    <row r="382" spans="1:7" s="73" customFormat="1">
      <c r="A382" s="100" t="s">
        <v>336</v>
      </c>
      <c r="B382" s="83" t="s">
        <v>2598</v>
      </c>
      <c r="C382" s="83">
        <v>1310</v>
      </c>
      <c r="D382" s="83">
        <v>1280</v>
      </c>
      <c r="E382" s="83">
        <v>1250</v>
      </c>
      <c r="F382" s="83">
        <v>440</v>
      </c>
      <c r="G382" s="91">
        <v>800</v>
      </c>
    </row>
    <row r="383" spans="1:7" s="73" customFormat="1">
      <c r="A383" s="100" t="s">
        <v>336</v>
      </c>
      <c r="B383" s="83" t="s">
        <v>2599</v>
      </c>
      <c r="C383" s="83">
        <v>1260</v>
      </c>
      <c r="D383" s="83">
        <v>1230</v>
      </c>
      <c r="E383" s="83">
        <v>1200</v>
      </c>
      <c r="F383" s="83">
        <v>420</v>
      </c>
      <c r="G383" s="91">
        <v>770</v>
      </c>
    </row>
    <row r="384" spans="1:7" s="73" customFormat="1">
      <c r="A384" s="101" t="s">
        <v>336</v>
      </c>
      <c r="B384" s="87" t="s">
        <v>2600</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379</v>
      </c>
      <c r="C1" s="7">
        <f>项目基本情况!D3</f>
        <v>45924</v>
      </c>
      <c r="D1" s="6" t="s">
        <v>2734</v>
      </c>
      <c r="E1" s="8">
        <f>'数据-取费表'!B22</f>
        <v>2</v>
      </c>
      <c r="F1" s="6" t="s">
        <v>2735</v>
      </c>
      <c r="G1" s="9">
        <f ca="1">IF(OR(C1&lt;C27,E1&lt;=1),INDIRECT("d"&amp;$K$1)/100,ROUND((D5+(E1-C5)*(D7-D5)/(C7-C5))/100,4))</f>
        <v>3.1300000000000001E-2</v>
      </c>
      <c r="H1" s="6" t="s">
        <v>2736</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2735</v>
      </c>
      <c r="E2" s="10"/>
      <c r="F2" s="10" t="s">
        <v>2737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2738</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2739</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2740</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2741</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2742</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2743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2744</v>
      </c>
      <c r="C10" s="34"/>
      <c r="D10" s="34"/>
      <c r="E10" s="34"/>
      <c r="F10" s="34"/>
      <c r="G10" s="34"/>
      <c r="H10" s="34"/>
      <c r="I10" s="3"/>
      <c r="J10" s="3"/>
      <c r="K10" s="34"/>
      <c r="L10" s="35" t="s">
        <v>2745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2746</v>
      </c>
      <c r="C11" s="38" t="s">
        <v>2747</v>
      </c>
      <c r="D11" s="39" t="s">
        <v>2748</v>
      </c>
      <c r="E11" s="40"/>
      <c r="F11" s="39" t="s">
        <v>2749</v>
      </c>
      <c r="G11" s="41"/>
      <c r="H11" s="40"/>
      <c r="I11" s="39" t="s">
        <v>2750</v>
      </c>
      <c r="J11" s="40"/>
      <c r="K11" s="36"/>
      <c r="L11" s="37" t="s">
        <v>2746</v>
      </c>
      <c r="M11" s="38" t="s">
        <v>2747</v>
      </c>
      <c r="N11" s="37" t="s">
        <v>2751</v>
      </c>
      <c r="O11" s="39" t="s">
        <v>2752</v>
      </c>
      <c r="P11" s="41"/>
      <c r="Q11" s="41"/>
      <c r="R11" s="41"/>
      <c r="S11" s="41"/>
      <c r="T11" s="40"/>
      <c r="U11" s="39" t="s">
        <v>2753</v>
      </c>
      <c r="V11" s="41"/>
      <c r="W11" s="40"/>
      <c r="X11" s="37" t="s">
        <v>2754</v>
      </c>
      <c r="Y11" s="37" t="s">
        <v>2755</v>
      </c>
      <c r="Z11" s="37" t="s">
        <v>2756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2757</v>
      </c>
      <c r="E12" s="44" t="s">
        <v>2739</v>
      </c>
      <c r="F12" s="44" t="s">
        <v>2740</v>
      </c>
      <c r="G12" s="44" t="s">
        <v>2741</v>
      </c>
      <c r="H12" s="44" t="s">
        <v>2742</v>
      </c>
      <c r="I12" s="58" t="s">
        <v>2758</v>
      </c>
      <c r="J12" s="58" t="s">
        <v>2758</v>
      </c>
      <c r="K12" s="36"/>
      <c r="L12" s="42"/>
      <c r="M12" s="43"/>
      <c r="N12" s="42"/>
      <c r="O12" s="58" t="s">
        <v>2759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2760</v>
      </c>
      <c r="C13" s="47">
        <v>45797</v>
      </c>
      <c r="D13" s="48">
        <v>3</v>
      </c>
      <c r="E13" s="48">
        <v>3</v>
      </c>
      <c r="F13" s="48">
        <f t="shared" ref="F13:F18" si="0">D13</f>
        <v>3</v>
      </c>
      <c r="G13" s="48">
        <f t="shared" ref="G13:G18" si="1">D13</f>
        <v>3</v>
      </c>
      <c r="H13" s="48">
        <v>3.5</v>
      </c>
      <c r="I13" s="48"/>
      <c r="J13" s="48"/>
      <c r="K13" s="45"/>
      <c r="L13" s="46" t="s">
        <v>2760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2761</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2762</v>
      </c>
      <c r="Y42" s="50" t="s">
        <v>2762</v>
      </c>
      <c r="Z42" s="50" t="s">
        <v>2762</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2762</v>
      </c>
      <c r="Y43" s="50" t="s">
        <v>2762</v>
      </c>
      <c r="Z43" s="50" t="s">
        <v>2762</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2762</v>
      </c>
      <c r="Y44" s="50" t="s">
        <v>2762</v>
      </c>
      <c r="Z44" s="50" t="s">
        <v>2762</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2762</v>
      </c>
      <c r="Y45" s="50" t="s">
        <v>2762</v>
      </c>
      <c r="Z45" s="50" t="s">
        <v>2762</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2762</v>
      </c>
      <c r="Y46" s="50" t="s">
        <v>2762</v>
      </c>
      <c r="Z46" s="50" t="s">
        <v>2762</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2762</v>
      </c>
      <c r="Y47" s="50" t="s">
        <v>2762</v>
      </c>
      <c r="Z47" s="50" t="s">
        <v>2762</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2762</v>
      </c>
      <c r="Y48" s="50" t="s">
        <v>2762</v>
      </c>
      <c r="Z48" s="50" t="s">
        <v>2762</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2762</v>
      </c>
      <c r="Y49" s="50" t="s">
        <v>2762</v>
      </c>
      <c r="Z49" s="50" t="s">
        <v>2762</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2762</v>
      </c>
      <c r="Y50" s="50" t="s">
        <v>2762</v>
      </c>
      <c r="Z50" s="50" t="s">
        <v>2762</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2762</v>
      </c>
      <c r="V51" s="50" t="s">
        <v>2762</v>
      </c>
      <c r="W51" s="50" t="s">
        <v>2762</v>
      </c>
      <c r="X51" s="50" t="s">
        <v>2762</v>
      </c>
      <c r="Y51" s="50" t="s">
        <v>2762</v>
      </c>
      <c r="Z51" s="50" t="s">
        <v>2762</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2762</v>
      </c>
      <c r="J70" s="50" t="s">
        <v>2762</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L1" sqref="L1"/>
    </sheetView>
  </sheetViews>
  <sheetFormatPr defaultRowHeight="14.4"/>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0" customWidth="1"/>
    <col min="2" max="9" width="12.109375" style="880" customWidth="1"/>
    <col min="10" max="16384" width="9" style="880"/>
  </cols>
  <sheetData>
    <row r="1" spans="1:9" ht="17.399999999999999">
      <c r="A1" s="3185" t="str">
        <f>IF(项目基本情况!B9="房地产市场价值","估价结果一览表","结果表-2")</f>
        <v>结果表-2</v>
      </c>
      <c r="B1" s="3185"/>
      <c r="C1" s="3185"/>
      <c r="D1" s="3185"/>
      <c r="E1" s="3185"/>
      <c r="F1" s="3185"/>
      <c r="G1" s="3185"/>
      <c r="H1" s="3185"/>
      <c r="I1" s="3185"/>
    </row>
    <row r="2" spans="1:9" ht="30" customHeight="1">
      <c r="A2" s="3186" t="s">
        <v>107</v>
      </c>
      <c r="B2" s="3186" t="s">
        <v>108</v>
      </c>
      <c r="C2" s="3186" t="s">
        <v>109</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6">
      <c r="A3" s="3181"/>
      <c r="B3" s="3181"/>
      <c r="C3" s="3181"/>
      <c r="D3" s="3113" t="s">
        <v>110</v>
      </c>
      <c r="E3" s="3113" t="s">
        <v>111</v>
      </c>
      <c r="F3" s="3113" t="s">
        <v>110</v>
      </c>
      <c r="G3" s="3113" t="s">
        <v>111</v>
      </c>
      <c r="H3" s="3113" t="s">
        <v>110</v>
      </c>
      <c r="I3" s="3113" t="s">
        <v>111</v>
      </c>
    </row>
    <row r="4" spans="1:9" ht="15">
      <c r="A4" s="3114" t="str">
        <f>项目基本情况!S2</f>
        <v>北京市房地产</v>
      </c>
      <c r="B4" s="3113">
        <f>项目基本情况!C17</f>
        <v>240.83</v>
      </c>
      <c r="C4" s="3113">
        <f>项目基本情况!C18</f>
        <v>0</v>
      </c>
      <c r="D4" s="3113" t="e">
        <f ca="1">结果表!D118</f>
        <v>#REF!</v>
      </c>
      <c r="E4" s="3113" t="e">
        <f ca="1">结果表!E118</f>
        <v>#REF!</v>
      </c>
      <c r="F4" s="3113" t="e">
        <f ca="1">结果表!F118</f>
        <v>#REF!</v>
      </c>
      <c r="G4" s="3113" t="e">
        <f ca="1">结果表!G118</f>
        <v>#REF!</v>
      </c>
      <c r="H4" s="3113">
        <f ca="1">结果表!H118</f>
        <v>1259</v>
      </c>
      <c r="I4" s="3113">
        <f ca="1">结果表!I118</f>
        <v>52277</v>
      </c>
    </row>
    <row r="5" spans="1:9" ht="30" customHeight="1">
      <c r="A5" s="3181" t="s">
        <v>112</v>
      </c>
      <c r="B5" s="3181"/>
      <c r="C5" s="3181"/>
      <c r="D5" s="3181" t="e">
        <f ca="1">结果表!D119</f>
        <v>#REF!</v>
      </c>
      <c r="E5" s="3181"/>
      <c r="F5" s="3181" t="e">
        <f ca="1">结果表!F119</f>
        <v>#REF!</v>
      </c>
      <c r="G5" s="3181"/>
      <c r="H5" s="3181" t="str">
        <f ca="1">结果表!H119</f>
        <v>壹仟贰佰伍拾玖万元整</v>
      </c>
      <c r="I5" s="3181"/>
    </row>
    <row r="6" spans="1:9" ht="15.6">
      <c r="A6" s="3178" t="str">
        <f>结果表!A120</f>
        <v>估价师知悉的法定优先受偿款</v>
      </c>
      <c r="B6" s="3178"/>
      <c r="C6" s="3178"/>
      <c r="D6" s="3178">
        <f>结果表!D120</f>
        <v>0</v>
      </c>
      <c r="E6" s="3178"/>
      <c r="F6" s="3178"/>
      <c r="G6" s="3178"/>
      <c r="H6" s="3178"/>
      <c r="I6" s="3178"/>
    </row>
    <row r="7" spans="1:9" ht="15">
      <c r="A7" s="3181" t="s">
        <v>112</v>
      </c>
      <c r="B7" s="3181"/>
      <c r="C7" s="3181"/>
      <c r="D7" s="3182" t="str">
        <f>结果表!D121</f>
        <v>零元整</v>
      </c>
      <c r="E7" s="3183"/>
      <c r="F7" s="3183"/>
      <c r="G7" s="3183"/>
      <c r="H7" s="3183"/>
      <c r="I7" s="3184"/>
    </row>
    <row r="8" spans="1:9" ht="15.6">
      <c r="A8" s="3178" t="str">
        <f>结果表!A122</f>
        <v>房地产抵押价值</v>
      </c>
      <c r="B8" s="3178"/>
      <c r="C8" s="3178"/>
      <c r="D8" s="3178">
        <f ca="1">结果表!D122</f>
        <v>1259</v>
      </c>
      <c r="E8" s="3178"/>
      <c r="F8" s="3178"/>
      <c r="G8" s="3178"/>
      <c r="H8" s="3178"/>
      <c r="I8" s="3178"/>
    </row>
    <row r="9" spans="1:9" ht="15">
      <c r="A9" s="3181" t="s">
        <v>112</v>
      </c>
      <c r="B9" s="3181"/>
      <c r="C9" s="3181"/>
      <c r="D9" s="3181" t="str">
        <f ca="1">结果表!D123</f>
        <v>壹仟贰佰伍拾玖万元整</v>
      </c>
      <c r="E9" s="3181"/>
      <c r="F9" s="3181"/>
      <c r="G9" s="3181"/>
      <c r="H9" s="3181"/>
      <c r="I9" s="3181"/>
    </row>
    <row r="10" spans="1:9" ht="15.6">
      <c r="A10" s="3178" t="str">
        <f>结果表!A124</f>
        <v/>
      </c>
      <c r="B10" s="3178"/>
      <c r="C10" s="3178"/>
      <c r="D10" s="3178" t="str">
        <f>结果表!D124</f>
        <v>——</v>
      </c>
      <c r="E10" s="3178"/>
      <c r="F10" s="3178"/>
      <c r="G10" s="3178"/>
      <c r="H10" s="3178"/>
      <c r="I10" s="3178"/>
    </row>
    <row r="11" spans="1:9" ht="15">
      <c r="A11" s="3181" t="s">
        <v>112</v>
      </c>
      <c r="B11" s="3181"/>
      <c r="C11" s="3181"/>
      <c r="D11" s="3181" t="e">
        <f>结果表!D125</f>
        <v>#VALUE!</v>
      </c>
      <c r="E11" s="3181"/>
      <c r="F11" s="3181"/>
      <c r="G11" s="3181"/>
      <c r="H11" s="3181"/>
      <c r="I11" s="3181"/>
    </row>
    <row r="12" spans="1:9" ht="15.6">
      <c r="A12" s="3178" t="str">
        <f>结果表!A126</f>
        <v/>
      </c>
      <c r="B12" s="3178"/>
      <c r="C12" s="3178"/>
      <c r="D12" s="3178" t="str">
        <f>结果表!D126</f>
        <v>——</v>
      </c>
      <c r="E12" s="3178"/>
      <c r="F12" s="3178"/>
      <c r="G12" s="3178"/>
      <c r="H12" s="3178"/>
      <c r="I12" s="3178"/>
    </row>
    <row r="13" spans="1:9" ht="15">
      <c r="A13" s="3179" t="s">
        <v>112</v>
      </c>
      <c r="B13" s="3179"/>
      <c r="C13" s="3179"/>
      <c r="D13" s="3179" t="e">
        <f>结果表!D127</f>
        <v>#VALUE!</v>
      </c>
      <c r="E13" s="3179"/>
      <c r="F13" s="3179"/>
      <c r="G13" s="3179"/>
      <c r="H13" s="3179"/>
      <c r="I13" s="3179"/>
    </row>
    <row r="14" spans="1:9">
      <c r="A14" s="3180" t="s">
        <v>113</v>
      </c>
      <c r="B14" s="3180"/>
      <c r="C14" s="3180"/>
      <c r="D14" s="3180"/>
      <c r="E14" s="3180"/>
      <c r="F14" s="3180"/>
      <c r="G14" s="3180"/>
      <c r="H14" s="3180"/>
      <c r="I14" s="3180"/>
    </row>
    <row r="16" spans="1:9" ht="17.399999999999999">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0" customWidth="1"/>
    <col min="2" max="3" width="22.33203125" style="880" customWidth="1"/>
    <col min="4" max="4" width="23" style="880" customWidth="1"/>
    <col min="5" max="16384" width="9" style="880"/>
  </cols>
  <sheetData>
    <row r="1" spans="1:4" ht="17.399999999999999">
      <c r="A1" s="3193" t="s">
        <v>114</v>
      </c>
      <c r="B1" s="3193"/>
      <c r="C1" s="3193"/>
      <c r="D1" s="3193"/>
    </row>
    <row r="2" spans="1:4" ht="17.399999999999999">
      <c r="A2" s="3194" t="s">
        <v>115</v>
      </c>
      <c r="B2" s="3194"/>
      <c r="C2" s="3194"/>
      <c r="D2" s="3194"/>
    </row>
    <row r="3" spans="1:4" ht="17.399999999999999">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7.399999999999999">
      <c r="A6" s="3194" t="s">
        <v>121</v>
      </c>
      <c r="B6" s="3194"/>
      <c r="C6" s="3194"/>
      <c r="D6" s="3194"/>
    </row>
    <row r="7" spans="1:4" ht="17.399999999999999">
      <c r="A7" s="3103" t="s">
        <v>116</v>
      </c>
      <c r="B7" s="3105" t="s">
        <v>122</v>
      </c>
      <c r="C7" s="3103" t="s">
        <v>118</v>
      </c>
      <c r="D7" s="3103" t="s">
        <v>119</v>
      </c>
    </row>
    <row r="8" spans="1:4" ht="56.25" customHeight="1">
      <c r="A8" s="3109" t="s">
        <v>123</v>
      </c>
      <c r="B8" s="3109" t="s">
        <v>124</v>
      </c>
      <c r="C8" s="3106"/>
      <c r="D8" s="3107" t="s">
        <v>120</v>
      </c>
    </row>
    <row r="10" spans="1:4" ht="17.399999999999999">
      <c r="A10" s="3102" t="s">
        <v>125</v>
      </c>
    </row>
    <row r="11" spans="1:4" ht="30" customHeight="1">
      <c r="A11" s="3195" t="s">
        <v>126</v>
      </c>
      <c r="B11" s="3188"/>
      <c r="C11" s="3188"/>
      <c r="D11" s="3188"/>
    </row>
    <row r="12" spans="1:4" ht="15.6">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8" t="str">
        <f>IF(项目基本情况!B8="抵押","4.本次评估估价师所知悉的法定优先受偿款情况说明如下：","——")</f>
        <v>4.本次评估估价师所知悉的法定优先受偿款情况说明如下：</v>
      </c>
      <c r="B14" s="3191"/>
      <c r="C14" s="3191"/>
      <c r="D14" s="3191"/>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2" t="s">
        <v>127</v>
      </c>
      <c r="B16" s="3192"/>
      <c r="C16" s="3192"/>
      <c r="D16" s="3192"/>
    </row>
    <row r="17" spans="1:4" ht="144" customHeight="1">
      <c r="A17" s="3192" t="s">
        <v>128</v>
      </c>
      <c r="B17" s="3192"/>
      <c r="C17" s="3192"/>
      <c r="D17" s="3192"/>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129</v>
      </c>
      <c r="B22" s="3190"/>
      <c r="C22" s="3190"/>
      <c r="D22" s="3190"/>
    </row>
    <row r="23" spans="1:4">
      <c r="A23" s="3110"/>
      <c r="B23" s="1507"/>
      <c r="C23" s="1507"/>
      <c r="D23" s="1507"/>
    </row>
    <row r="24" spans="1:4">
      <c r="A24" s="3110"/>
      <c r="B24" s="1507"/>
      <c r="C24" s="1507"/>
      <c r="D24" s="1507"/>
    </row>
    <row r="25" spans="1:4" ht="17.399999999999999">
      <c r="A25" s="3111" t="s">
        <v>130</v>
      </c>
    </row>
    <row r="26" spans="1:4" ht="17.399999999999999">
      <c r="A26" s="3112"/>
    </row>
    <row r="27" spans="1:4" ht="17.399999999999999">
      <c r="A27" s="3112" t="s">
        <v>131</v>
      </c>
    </row>
    <row r="30" spans="1:4" ht="17.399999999999999">
      <c r="D30" s="3111" t="s">
        <v>132</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9" customWidth="1"/>
    <col min="3" max="10" width="12.44140625" style="3099" customWidth="1"/>
    <col min="11" max="16384" width="9" style="3099"/>
  </cols>
  <sheetData>
    <row r="1" spans="1:1" ht="17.399999999999999">
      <c r="A1" s="3100" t="s">
        <v>133</v>
      </c>
    </row>
    <row r="2" spans="1:1" ht="17.399999999999999">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3" customWidth="1"/>
  </cols>
  <sheetData>
    <row r="1" spans="1:7" s="3082" customFormat="1" ht="17.399999999999999">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4.4">
      <c r="A15" s="3198" t="s">
        <v>146</v>
      </c>
      <c r="B15" s="3203" t="s">
        <v>147</v>
      </c>
      <c r="C15" s="3197"/>
    </row>
    <row r="16" spans="1:7" ht="14.4">
      <c r="A16" s="3199"/>
      <c r="B16" s="3203" t="s">
        <v>148</v>
      </c>
      <c r="C16" s="3197"/>
    </row>
    <row r="17" spans="1:3" ht="14.4">
      <c r="A17" s="3199"/>
      <c r="B17" s="3202" t="s">
        <v>149</v>
      </c>
      <c r="C17" s="3092" t="s">
        <v>146</v>
      </c>
    </row>
    <row r="18" spans="1:3" ht="14.4">
      <c r="A18" s="3199"/>
      <c r="B18" s="3202"/>
      <c r="C18" s="3092" t="s">
        <v>150</v>
      </c>
    </row>
    <row r="19" spans="1:3" ht="14.4">
      <c r="A19" s="3199"/>
      <c r="B19" s="3202"/>
      <c r="C19" s="3092" t="s">
        <v>151</v>
      </c>
    </row>
    <row r="20" spans="1:3" ht="14.4">
      <c r="A20" s="3200"/>
      <c r="B20" s="3196" t="s">
        <v>152</v>
      </c>
      <c r="C20" s="3197"/>
    </row>
    <row r="21" spans="1:3" ht="14.4">
      <c r="A21" s="3093" t="s">
        <v>153</v>
      </c>
      <c r="B21" s="3094"/>
      <c r="C21" s="3095"/>
    </row>
    <row r="22" spans="1:3" ht="14.4">
      <c r="A22" s="3201" t="s">
        <v>154</v>
      </c>
      <c r="B22" s="3196" t="s">
        <v>155</v>
      </c>
      <c r="C22" s="3197"/>
    </row>
    <row r="23" spans="1:3" ht="14.4">
      <c r="A23" s="3201"/>
      <c r="B23" s="3196" t="s">
        <v>156</v>
      </c>
      <c r="C23" s="3197"/>
    </row>
    <row r="24" spans="1:3" ht="14.4">
      <c r="A24" s="3201"/>
      <c r="B24" s="3196" t="s">
        <v>157</v>
      </c>
      <c r="C24" s="3197"/>
    </row>
    <row r="25" spans="1:3" ht="14.4">
      <c r="A25" s="3201"/>
      <c r="B25" s="3202" t="s">
        <v>158</v>
      </c>
      <c r="C25" s="3092" t="s">
        <v>159</v>
      </c>
    </row>
    <row r="26" spans="1:3" ht="14.4">
      <c r="A26" s="3201"/>
      <c r="B26" s="3202"/>
      <c r="C26" s="3092" t="s">
        <v>160</v>
      </c>
    </row>
    <row r="27" spans="1:3" ht="14.4">
      <c r="A27" s="3201"/>
      <c r="B27" s="3202"/>
      <c r="C27" s="3092" t="s">
        <v>161</v>
      </c>
    </row>
    <row r="28" spans="1:3" ht="14.4">
      <c r="A28" s="3201"/>
      <c r="B28" s="3202"/>
      <c r="C28" s="3092" t="s">
        <v>162</v>
      </c>
    </row>
    <row r="29" spans="1:3" ht="14.4">
      <c r="A29" s="3201"/>
      <c r="B29" s="3202"/>
      <c r="C29" s="3092" t="s">
        <v>163</v>
      </c>
    </row>
    <row r="30" spans="1:3" ht="14.4">
      <c r="A30" s="3201"/>
      <c r="B30" s="3202"/>
      <c r="C30" s="3092" t="s">
        <v>164</v>
      </c>
    </row>
    <row r="31" spans="1:3" ht="14.4">
      <c r="A31" s="3201"/>
      <c r="B31" s="3202"/>
      <c r="C31" s="3092" t="s">
        <v>165</v>
      </c>
    </row>
    <row r="32" spans="1:3" ht="14.4">
      <c r="A32" s="3201"/>
      <c r="B32" s="3202"/>
      <c r="C32" s="3092" t="s">
        <v>166</v>
      </c>
    </row>
    <row r="33" spans="1:3" ht="14.4">
      <c r="A33" s="3201"/>
      <c r="B33" s="3202"/>
      <c r="C33" s="3092" t="s">
        <v>167</v>
      </c>
    </row>
    <row r="34" spans="1:3">
      <c r="A34" s="3096" t="s">
        <v>168</v>
      </c>
    </row>
    <row r="37" spans="1:3">
      <c r="A37" s="3096" t="s">
        <v>169</v>
      </c>
    </row>
    <row r="38" spans="1:3" ht="14.4">
      <c r="A38" s="3097" t="s">
        <v>170</v>
      </c>
    </row>
    <row r="39" spans="1:3" ht="14.4">
      <c r="A39" s="3097" t="s">
        <v>171</v>
      </c>
    </row>
    <row r="40" spans="1:3" ht="14.4">
      <c r="A40" s="3097" t="s">
        <v>172</v>
      </c>
    </row>
    <row r="41" spans="1:3" ht="14.4">
      <c r="A41" s="3098" t="s">
        <v>173</v>
      </c>
    </row>
    <row r="42" spans="1:3" ht="14.4">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4" customWidth="1"/>
    <col min="2" max="2" width="38.6640625" style="3054" customWidth="1"/>
    <col min="3" max="3" width="26" style="3054" customWidth="1"/>
    <col min="4" max="4" width="35" style="3054" hidden="1" customWidth="1"/>
    <col min="5" max="5" width="30.109375" style="3054" customWidth="1"/>
    <col min="6" max="6" width="35.44140625" style="3054" customWidth="1"/>
    <col min="7" max="7" width="31" style="3054" customWidth="1"/>
    <col min="8" max="8" width="37.44140625" style="3054" hidden="1" customWidth="1"/>
    <col min="9" max="16384" width="22.6640625" style="3054"/>
  </cols>
  <sheetData>
    <row r="1" spans="1:8" ht="24" customHeight="1">
      <c r="A1" s="3056"/>
      <c r="B1" s="3056"/>
      <c r="C1" s="3056"/>
      <c r="D1" s="3056"/>
      <c r="E1" s="3056"/>
      <c r="F1" s="3056"/>
      <c r="G1" s="3056"/>
      <c r="H1" s="3056"/>
    </row>
    <row r="2" spans="1:8" ht="24" customHeight="1">
      <c r="A2" s="3057" t="s">
        <v>175</v>
      </c>
      <c r="B2" s="3058">
        <f ca="1">TODAY()</f>
        <v>45924</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f ca="1">IF(C4&lt;B2,"已过期",1119970066)</f>
        <v>1119970066</v>
      </c>
      <c r="C4" s="3064">
        <v>45937</v>
      </c>
      <c r="D4" s="3065" t="str">
        <f ca="1">A4&amp;"（注册号："&amp;B4&amp;"）"</f>
        <v>梁津（注册号：1119970066）</v>
      </c>
      <c r="E4" s="3066" t="s">
        <v>184</v>
      </c>
      <c r="F4" s="3061">
        <f ca="1">IF(G4&lt;B2,"已过期",96010014)</f>
        <v>96010014</v>
      </c>
      <c r="G4" s="3067">
        <v>47118</v>
      </c>
      <c r="H4" s="3068" t="str">
        <f ca="1">E4&amp;"（注册号："&amp;F4&amp;"）"</f>
        <v>梁津（注册号：96010014）</v>
      </c>
    </row>
    <row r="5" spans="1:8" ht="24" customHeight="1">
      <c r="A5" s="3061" t="s">
        <v>185</v>
      </c>
      <c r="B5" s="3061">
        <f ca="1">IF(C5&lt;B2,"已过期",1119970111)</f>
        <v>1119970111</v>
      </c>
      <c r="C5" s="3064">
        <v>45937</v>
      </c>
      <c r="D5" s="3065" t="str">
        <f t="shared" ref="D5:D16" ca="1" si="0">A5&amp;"（注册号："&amp;B5&amp;"）"</f>
        <v>叶凌（注册号：1119970111）</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f ca="1">IF(C7&lt;B2,"已过期",1120000080)</f>
        <v>1120000080</v>
      </c>
      <c r="C7" s="3064">
        <v>45937</v>
      </c>
      <c r="D7" s="3065" t="str">
        <f t="shared" ca="1" si="0"/>
        <v>欧红伟（注册号：1120000080）</v>
      </c>
      <c r="E7" s="3066" t="s">
        <v>187</v>
      </c>
      <c r="F7" s="3061">
        <f ca="1">IF(G7&lt;B2,"已过期",2000110082)</f>
        <v>2000110082</v>
      </c>
      <c r="G7" s="3067">
        <v>46387</v>
      </c>
      <c r="H7" s="3068" t="str">
        <f t="shared" ca="1" si="1"/>
        <v>欧红伟（注册号：2000110082）</v>
      </c>
    </row>
    <row r="8" spans="1:8" ht="24" customHeight="1">
      <c r="A8" s="3061" t="s">
        <v>188</v>
      </c>
      <c r="B8" s="3061">
        <f ca="1">IF(C8&lt;B2,"已过期",1419970001)</f>
        <v>1419970001</v>
      </c>
      <c r="C8" s="3064">
        <v>45937</v>
      </c>
      <c r="D8" s="3065" t="str">
        <f t="shared" ca="1" si="0"/>
        <v>吴薇（注册号：1419970001）</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f ca="1">IF(C11&lt;B2,"已过期",1120070131)</f>
        <v>1120070131</v>
      </c>
      <c r="C11" s="3064">
        <v>45937</v>
      </c>
      <c r="D11" s="3065" t="str">
        <f t="shared" ca="1" si="0"/>
        <v>郑燚（注册号：1120070131）</v>
      </c>
      <c r="E11" s="3066" t="s">
        <v>191</v>
      </c>
      <c r="F11" s="3061">
        <f ca="1">IF(G11&lt;B2,"已过期",2014110011)</f>
        <v>2014110011</v>
      </c>
      <c r="G11" s="3067">
        <v>49302</v>
      </c>
      <c r="H11" s="3068" t="str">
        <f t="shared" ca="1" si="1"/>
        <v>郑燚（注册号：2014110011）</v>
      </c>
    </row>
    <row r="12" spans="1:8" ht="24" customHeight="1">
      <c r="A12" s="3061" t="s">
        <v>192</v>
      </c>
      <c r="B12" s="3061">
        <f ca="1">IF(C12&lt;B2,"已过期",1120040230)</f>
        <v>1120040230</v>
      </c>
      <c r="C12" s="3069">
        <v>45937</v>
      </c>
      <c r="D12" s="3065" t="str">
        <f t="shared" ca="1" si="0"/>
        <v>苏海（注册号：1120040230）</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04" t="s">
        <v>197</v>
      </c>
      <c r="B17" s="3204"/>
      <c r="C17" s="3204"/>
      <c r="D17" s="3204"/>
      <c r="E17" s="3204"/>
      <c r="F17" s="3204"/>
      <c r="G17" s="3204"/>
      <c r="H17" s="3204"/>
    </row>
    <row r="18" spans="1:8" ht="24" customHeight="1">
      <c r="A18" s="3205" t="s">
        <v>198</v>
      </c>
      <c r="B18" s="3205"/>
      <c r="C18" s="3205"/>
      <c r="D18" s="3062"/>
      <c r="E18" s="3206" t="s">
        <v>199</v>
      </c>
      <c r="F18" s="3205"/>
      <c r="G18" s="3205"/>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2025-09-24T03:23:01Z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