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高层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s>
  <definedNames>
    <definedName name="_xlnm._FilterDatabase" localSheetId="21" hidden="1">'比较法-工业'!$A$1:$L$45</definedName>
    <definedName name="_xlnm._FilterDatabase" localSheetId="17" hidden="1">'比较法-住宅、综合'!$A$1:$L$50</definedName>
    <definedName name="_xlnm._FilterDatabase" localSheetId="33" hidden="1">'不动产比较法（高层住宅）'!$A$1:$L$49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'不动产比较法（高层住宅）'!$B$88:$M$88</definedName>
    <definedName name="住宅房型">'不动产比较法（高层住宅）'!$B$118:$M$118</definedName>
    <definedName name="住宅公共部分装修">'不动产比较法（高层住宅）'!$B$109:$M$109</definedName>
    <definedName name="住宅基础设施水平">'不动产比较法（高层住宅）'!$B$116:$M$116</definedName>
    <definedName name="住宅建筑结构">'不动产比较法（高层住宅）'!$B$105:$M$105</definedName>
    <definedName name="住宅建筑类型">'不动产比较法（高层住宅）'!$B$100:$M$100</definedName>
    <definedName name="住宅建筑品质">'不动产比较法（高层住宅）'!$B$107:$M$107</definedName>
    <definedName name="住宅交易情况">'不动产比较法（高层住宅）'!$A$61:$M$61</definedName>
    <definedName name="住宅楼层">'不动产比较法（高层住宅）'!$B$86:$M$86</definedName>
    <definedName name="住宅内部装修">'不动产比较法（高层住宅）'!$B$122:$M$122</definedName>
    <definedName name="住宅物业管理">'不动产比较法（高层住宅）'!$B$114:$M$114</definedName>
    <definedName name="住宅用途">'不动产比较法（高层住宅）'!$B$63:$M$63</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I7" i="6" l="1"/>
  <c r="E47" i="21"/>
  <c r="G47" i="21"/>
  <c r="I47" i="21"/>
  <c r="I16" i="21"/>
  <c r="G16" i="21"/>
  <c r="E16" i="21"/>
  <c r="I18" i="21"/>
  <c r="E18" i="21"/>
  <c r="I20" i="21"/>
  <c r="G20" i="21"/>
  <c r="E20" i="21"/>
  <c r="I22" i="21"/>
  <c r="G22" i="21"/>
  <c r="E22" i="21"/>
  <c r="I24" i="21"/>
  <c r="G24" i="21"/>
  <c r="E24" i="21"/>
  <c r="C24" i="21"/>
  <c r="C22" i="21"/>
  <c r="C20" i="21"/>
  <c r="C18" i="21"/>
  <c r="C16" i="21"/>
  <c r="C11" i="21"/>
  <c r="I40" i="39"/>
  <c r="G40" i="39"/>
  <c r="E40" i="39"/>
  <c r="I9" i="39"/>
  <c r="G9" i="39"/>
  <c r="E9" i="39"/>
  <c r="I8" i="39"/>
  <c r="G8" i="39"/>
  <c r="E8" i="39"/>
  <c r="L90" i="68"/>
  <c r="L89" i="68"/>
  <c r="L88" i="68"/>
  <c r="L87" i="68"/>
  <c r="L86" i="68"/>
  <c r="L85" i="68"/>
  <c r="L84" i="68"/>
  <c r="L83" i="68"/>
  <c r="L82" i="68"/>
  <c r="L81" i="68"/>
  <c r="L80" i="68"/>
  <c r="L79" i="68"/>
  <c r="L78" i="68"/>
  <c r="L77" i="68"/>
  <c r="L76" i="68"/>
  <c r="L75" i="68"/>
  <c r="L74" i="68"/>
  <c r="L73" i="68"/>
  <c r="L72" i="68"/>
  <c r="L71" i="68"/>
  <c r="L70" i="68"/>
  <c r="L69"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G48" i="39" s="1"/>
  <c r="L37" i="68"/>
  <c r="L36" i="68"/>
  <c r="L35" i="68"/>
  <c r="L34" i="68"/>
  <c r="E48" i="39" s="1"/>
  <c r="L33" i="68"/>
  <c r="L32" i="68"/>
  <c r="I48" i="39" s="1"/>
  <c r="E9" i="6"/>
  <c r="I13" i="3"/>
  <c r="F19" i="6" s="1"/>
  <c r="J50" i="15" l="1"/>
  <c r="J51" i="15" s="1"/>
  <c r="D7" i="59"/>
  <c r="AH5" i="59"/>
  <c r="AG5" i="59"/>
  <c r="AE5" i="59"/>
  <c r="AF5" i="59" s="1"/>
  <c r="AD5" i="59"/>
  <c r="Q5" i="59"/>
  <c r="P5" i="59"/>
  <c r="O5" i="59"/>
  <c r="N5" i="59"/>
  <c r="I3" i="59"/>
  <c r="L3" i="59"/>
  <c r="K3" i="59"/>
  <c r="J3" i="59"/>
  <c r="AE6" i="59"/>
  <c r="AF6" i="59" s="1"/>
  <c r="AG6" i="59"/>
  <c r="AH6" i="59"/>
  <c r="AD6" i="59"/>
  <c r="Q6" i="59"/>
  <c r="P6" i="59"/>
  <c r="O6" i="59"/>
  <c r="N6" i="59"/>
  <c r="N7" i="59"/>
  <c r="Q7" i="59"/>
  <c r="P7" i="59"/>
  <c r="O7" i="59"/>
  <c r="K59" i="15"/>
  <c r="P62" i="15" s="1"/>
  <c r="P75" i="15"/>
  <c r="Q74" i="44"/>
  <c r="Q61" i="44"/>
  <c r="Q60" i="44"/>
  <c r="Q53" i="44"/>
  <c r="J51" i="44"/>
  <c r="J52" i="44"/>
  <c r="M48" i="44"/>
  <c r="A16" i="55"/>
  <c r="A15" i="55"/>
  <c r="A14" i="55"/>
  <c r="A11" i="55"/>
  <c r="A10" i="55"/>
  <c r="A9" i="55"/>
  <c r="A8" i="55"/>
  <c r="A6" i="54"/>
  <c r="A8" i="54"/>
  <c r="A7" i="54"/>
  <c r="A27" i="5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B6" i="59"/>
  <c r="E6" i="59"/>
  <c r="F6" i="59"/>
  <c r="F5" i="59" s="1"/>
  <c r="V6" i="59"/>
  <c r="B5" i="59"/>
  <c r="S6" i="59"/>
  <c r="AD3" i="59"/>
  <c r="AE3" i="59"/>
  <c r="AF3" i="59" s="1"/>
  <c r="AG3" i="59"/>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D6" i="59"/>
  <c r="B76" i="63"/>
  <c r="M5" i="54"/>
  <c r="A23" i="51"/>
  <c r="B17" i="63" s="1"/>
  <c r="Y12" i="46"/>
  <c r="AA9" i="46"/>
  <c r="AA10" i="46" s="1"/>
  <c r="AB9" i="46"/>
  <c r="AC9" i="46"/>
  <c r="AC10" i="46" s="1"/>
  <c r="AD9" i="46"/>
  <c r="AE9" i="46"/>
  <c r="AE10" i="46" s="1"/>
  <c r="AF9" i="46"/>
  <c r="AG9" i="46"/>
  <c r="AH9" i="46"/>
  <c r="AI9" i="46"/>
  <c r="AI10" i="46" s="1"/>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B66" i="63"/>
  <c r="A4" i="55"/>
  <c r="B57" i="63"/>
  <c r="B41" i="63"/>
  <c r="G5" i="54"/>
  <c r="B34" i="63" s="1"/>
  <c r="E5" i="54"/>
  <c r="B32" i="63" s="1"/>
  <c r="R2" i="54"/>
  <c r="B24" i="63" s="1"/>
  <c r="B49" i="50"/>
  <c r="B5" i="63" s="1"/>
  <c r="B40" i="50"/>
  <c r="B3" i="63" s="1"/>
  <c r="N4" i="63"/>
  <c r="B67" i="63"/>
  <c r="I19" i="46"/>
  <c r="Q10" i="59"/>
  <c r="P10" i="59"/>
  <c r="O10" i="59"/>
  <c r="N10" i="59"/>
  <c r="B10" i="59" s="1"/>
  <c r="D71" i="59"/>
  <c r="F70" i="59"/>
  <c r="F69" i="59" s="1"/>
  <c r="F68" i="59" s="1"/>
  <c r="E70" i="59"/>
  <c r="E69" i="59" s="1"/>
  <c r="E68" i="59" s="1"/>
  <c r="C70" i="59"/>
  <c r="D70" i="59" s="1"/>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E50" i="59"/>
  <c r="C50" i="59"/>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D44" i="59" s="1"/>
  <c r="N43" i="59"/>
  <c r="B44" i="59" s="1"/>
  <c r="D43" i="59"/>
  <c r="Q42" i="59"/>
  <c r="P42" i="59"/>
  <c r="O42" i="59"/>
  <c r="N42" i="59"/>
  <c r="Q41" i="59"/>
  <c r="P41" i="59"/>
  <c r="O41" i="59"/>
  <c r="N41" i="59"/>
  <c r="Q40" i="59"/>
  <c r="P40" i="59"/>
  <c r="O40" i="59"/>
  <c r="N40" i="59"/>
  <c r="Q39" i="59"/>
  <c r="F40" i="59" s="1"/>
  <c r="P39" i="59"/>
  <c r="E40" i="59" s="1"/>
  <c r="E41" i="59" s="1"/>
  <c r="E42" i="59" s="1"/>
  <c r="U42" i="59" s="1"/>
  <c r="O39" i="59"/>
  <c r="C40" i="59" s="1"/>
  <c r="D40" i="59" s="1"/>
  <c r="N39" i="59"/>
  <c r="B40" i="59" s="1"/>
  <c r="B41" i="59" s="1"/>
  <c r="B42" i="59"/>
  <c r="S42" i="59" s="1"/>
  <c r="D39" i="59"/>
  <c r="Q38" i="59"/>
  <c r="P38" i="59"/>
  <c r="O38" i="59"/>
  <c r="N38" i="59"/>
  <c r="Q37" i="59"/>
  <c r="P37" i="59"/>
  <c r="O37" i="59"/>
  <c r="N37" i="59"/>
  <c r="Q36" i="59"/>
  <c r="P36" i="59"/>
  <c r="O36" i="59"/>
  <c r="N36" i="59"/>
  <c r="Q35" i="59"/>
  <c r="F36" i="59" s="1"/>
  <c r="F37" i="59" s="1"/>
  <c r="F38" i="59" s="1"/>
  <c r="V38" i="59" s="1"/>
  <c r="P35" i="59"/>
  <c r="E36" i="59" s="1"/>
  <c r="E37" i="59" s="1"/>
  <c r="E38" i="59"/>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P27" i="59"/>
  <c r="E28" i="59" s="1"/>
  <c r="E29" i="59"/>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C25" i="59" s="1"/>
  <c r="C26" i="59" s="1"/>
  <c r="N23" i="59"/>
  <c r="B24" i="59" s="1"/>
  <c r="D23" i="59"/>
  <c r="Q22" i="59"/>
  <c r="P22" i="59"/>
  <c r="O22" i="59"/>
  <c r="N22" i="59"/>
  <c r="Q21" i="59"/>
  <c r="AB21" i="59" s="1"/>
  <c r="P21" i="59"/>
  <c r="O21" i="59"/>
  <c r="Y21" i="59"/>
  <c r="Z21" i="59" s="1"/>
  <c r="N21" i="59"/>
  <c r="X21" i="59" s="1"/>
  <c r="Q20" i="59"/>
  <c r="P20" i="59"/>
  <c r="O20" i="59"/>
  <c r="Y20" i="59" s="1"/>
  <c r="Z20" i="59" s="1"/>
  <c r="N20" i="59"/>
  <c r="X20" i="59" s="1"/>
  <c r="Q19" i="59"/>
  <c r="P19" i="59"/>
  <c r="O19" i="59"/>
  <c r="C20" i="59" s="1"/>
  <c r="C21" i="59" s="1"/>
  <c r="C22" i="59" s="1"/>
  <c r="N19" i="59"/>
  <c r="D19" i="59"/>
  <c r="Q18" i="59"/>
  <c r="P18" i="59"/>
  <c r="AA18" i="59" s="1"/>
  <c r="O18" i="59"/>
  <c r="N18" i="59"/>
  <c r="X18" i="59" s="1"/>
  <c r="Q17" i="59"/>
  <c r="P17" i="59"/>
  <c r="AA17" i="59" s="1"/>
  <c r="O17" i="59"/>
  <c r="N17" i="59"/>
  <c r="X17" i="59" s="1"/>
  <c r="Q16" i="59"/>
  <c r="P16" i="59"/>
  <c r="O16" i="59"/>
  <c r="N16" i="59"/>
  <c r="X16" i="59" s="1"/>
  <c r="Q15" i="59"/>
  <c r="F16" i="59"/>
  <c r="F17" i="59" s="1"/>
  <c r="F18" i="59" s="1"/>
  <c r="V18" i="59" s="1"/>
  <c r="P15" i="59"/>
  <c r="E16" i="59"/>
  <c r="E17" i="59" s="1"/>
  <c r="E18" i="59" s="1"/>
  <c r="U18" i="59" s="1"/>
  <c r="O15" i="59"/>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O11" i="59"/>
  <c r="C12" i="59" s="1"/>
  <c r="C13" i="59" s="1"/>
  <c r="C14" i="59" s="1"/>
  <c r="N11" i="59"/>
  <c r="D11" i="59"/>
  <c r="X9" i="59"/>
  <c r="AA9" i="59"/>
  <c r="Y9" i="59"/>
  <c r="Z9" i="59" s="1"/>
  <c r="AB3" i="59"/>
  <c r="E12" i="59"/>
  <c r="E13" i="59" s="1"/>
  <c r="E14" i="59" s="1"/>
  <c r="U14" i="59" s="1"/>
  <c r="E33" i="59"/>
  <c r="E34" i="59" s="1"/>
  <c r="U34" i="59" s="1"/>
  <c r="S50" i="59"/>
  <c r="AA21" i="59"/>
  <c r="F25" i="59"/>
  <c r="F26" i="59" s="1"/>
  <c r="V26" i="59" s="1"/>
  <c r="F30" i="59"/>
  <c r="V30" i="59" s="1"/>
  <c r="F41" i="59"/>
  <c r="F42" i="59" s="1"/>
  <c r="V42" i="59" s="1"/>
  <c r="F45" i="59"/>
  <c r="F46" i="59" s="1"/>
  <c r="V46" i="59" s="1"/>
  <c r="D20" i="59"/>
  <c r="C37" i="59"/>
  <c r="C38" i="59" s="1"/>
  <c r="D36" i="59"/>
  <c r="C41" i="59"/>
  <c r="D41" i="59" s="1"/>
  <c r="C45" i="59"/>
  <c r="C46" i="59" s="1"/>
  <c r="N49" i="59"/>
  <c r="B48" i="59"/>
  <c r="N47" i="59" s="1"/>
  <c r="T50" i="59"/>
  <c r="D50" i="59"/>
  <c r="Q50" i="59"/>
  <c r="C53" i="59"/>
  <c r="E53" i="59"/>
  <c r="E52" i="59" s="1"/>
  <c r="D54" i="59"/>
  <c r="C57" i="59"/>
  <c r="D57" i="59" s="1"/>
  <c r="D58" i="59"/>
  <c r="C61" i="59"/>
  <c r="D61" i="59" s="1"/>
  <c r="E61" i="59"/>
  <c r="E60" i="59" s="1"/>
  <c r="D62" i="59"/>
  <c r="C65" i="59"/>
  <c r="C69" i="59"/>
  <c r="D69" i="59" s="1"/>
  <c r="U16" i="4"/>
  <c r="S16" i="4"/>
  <c r="Q16" i="4"/>
  <c r="O16" i="4"/>
  <c r="N16" i="4" s="1"/>
  <c r="M16" i="4"/>
  <c r="K16" i="4"/>
  <c r="L16" i="4" s="1"/>
  <c r="C68" i="59"/>
  <c r="D68" i="59" s="1"/>
  <c r="C60" i="59"/>
  <c r="D60" i="59" s="1"/>
  <c r="D53" i="59"/>
  <c r="C52" i="59"/>
  <c r="D52" i="59" s="1"/>
  <c r="D65" i="59"/>
  <c r="C64" i="59"/>
  <c r="D64" i="59" s="1"/>
  <c r="C56" i="59"/>
  <c r="D56" i="59" s="1"/>
  <c r="N48" i="59"/>
  <c r="D45" i="59"/>
  <c r="C42" i="59"/>
  <c r="T42" i="59" s="1"/>
  <c r="D25" i="59"/>
  <c r="D21" i="59"/>
  <c r="D13"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C31" i="39"/>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c r="F81" i="21" s="1"/>
  <c r="G81" i="21" s="1"/>
  <c r="D77" i="21"/>
  <c r="E77" i="21" s="1"/>
  <c r="B130" i="21"/>
  <c r="B128" i="21"/>
  <c r="B126" i="21"/>
  <c r="B98" i="21"/>
  <c r="B96" i="21"/>
  <c r="B94" i="21"/>
  <c r="B92" i="21"/>
  <c r="B90" i="21"/>
  <c r="B74" i="21"/>
  <c r="B72" i="21"/>
  <c r="B70" i="21"/>
  <c r="F12" i="21" s="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J19" i="21"/>
  <c r="W19" i="21" s="1"/>
  <c r="H12" i="21"/>
  <c r="U12" i="21" s="1"/>
  <c r="J26" i="21"/>
  <c r="W26" i="21" s="1"/>
  <c r="F26" i="21"/>
  <c r="AA26" i="21" s="1"/>
  <c r="AB41" i="21"/>
  <c r="S41" i="21"/>
  <c r="AA41" i="21"/>
  <c r="S10" i="39"/>
  <c r="U30" i="37"/>
  <c r="E103" i="37"/>
  <c r="F103" i="37"/>
  <c r="F39" i="37"/>
  <c r="S39" i="37"/>
  <c r="F29" i="36"/>
  <c r="AA29" i="36" s="1"/>
  <c r="F16" i="36"/>
  <c r="AA16" i="36" s="1"/>
  <c r="U22" i="36"/>
  <c r="W22" i="36"/>
  <c r="U26" i="36"/>
  <c r="AC31" i="36"/>
  <c r="J33" i="36"/>
  <c r="W33" i="36" s="1"/>
  <c r="AC27" i="35"/>
  <c r="U31" i="35"/>
  <c r="S34" i="35"/>
  <c r="S31"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36" i="39"/>
  <c r="F11" i="21"/>
  <c r="S11" i="21" s="1"/>
  <c r="AC40" i="21"/>
  <c r="AB36" i="21"/>
  <c r="C29" i="39"/>
  <c r="U36" i="39"/>
  <c r="S42" i="39"/>
  <c r="H32" i="33"/>
  <c r="AB32" i="33" s="1"/>
  <c r="H11" i="21"/>
  <c r="U11" i="21" s="1"/>
  <c r="J11" i="21"/>
  <c r="W11" i="21"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J14" i="21"/>
  <c r="W14" i="21" s="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S46" i="21"/>
  <c r="AC30" i="21"/>
  <c r="W30" i="21"/>
  <c r="AA28" i="21"/>
  <c r="AC14" i="21"/>
  <c r="S46" i="33"/>
  <c r="U36" i="37"/>
  <c r="AC13" i="36"/>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33" i="36"/>
  <c r="AC12" i="35"/>
  <c r="AC23" i="37"/>
  <c r="U39" i="37"/>
  <c r="AC8" i="37"/>
  <c r="AC36" i="34"/>
  <c r="AB8" i="34"/>
  <c r="AC37" i="33"/>
  <c r="AA13" i="33"/>
  <c r="AC33" i="21"/>
  <c r="S39" i="33"/>
  <c r="F43" i="33"/>
  <c r="AA43" i="33" s="1"/>
  <c r="AA23" i="37"/>
  <c r="AB44" i="33"/>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BT5" i="3"/>
  <c r="J57" i="39"/>
  <c r="H13" i="40"/>
  <c r="U13" i="40"/>
  <c r="H12" i="48"/>
  <c r="I4" i="4"/>
  <c r="I59" i="40"/>
  <c r="C59" i="40" s="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BL201" i="3"/>
  <c r="AZ66"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70" i="3"/>
  <c r="AZ179" i="3"/>
  <c r="AZ183" i="3"/>
  <c r="AZ191" i="3"/>
  <c r="AZ199"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BL375" i="3"/>
  <c r="AZ375" i="3" s="1"/>
  <c r="G376" i="3"/>
  <c r="BA378" i="3"/>
  <c r="AZ378" i="3" s="1"/>
  <c r="BL379" i="3"/>
  <c r="G380" i="3"/>
  <c r="BA382" i="3"/>
  <c r="AZ382" i="3"/>
  <c r="BL383" i="3"/>
  <c r="G384" i="3"/>
  <c r="AZ249" i="3"/>
  <c r="AZ261" i="3"/>
  <c r="AZ265" i="3"/>
  <c r="AZ274" i="3"/>
  <c r="AZ278" i="3"/>
  <c r="AZ290" i="3"/>
  <c r="AZ313" i="3"/>
  <c r="AZ319" i="3"/>
  <c r="AZ351" i="3"/>
  <c r="AZ369" i="3"/>
  <c r="AZ385" i="3"/>
  <c r="AZ394" i="3"/>
  <c r="AZ410" i="3"/>
  <c r="AZ418" i="3"/>
  <c r="AZ426" i="3"/>
  <c r="AZ442" i="3"/>
  <c r="AZ450"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AA13" i="39" s="1"/>
  <c r="J13" i="39"/>
  <c r="AC13" i="39" s="1"/>
  <c r="AA36" i="35"/>
  <c r="H11" i="37"/>
  <c r="AB11" i="37" s="1"/>
  <c r="W37" i="37"/>
  <c r="AA30" i="33"/>
  <c r="S42" i="33"/>
  <c r="U32" i="33"/>
  <c r="AB17" i="37"/>
  <c r="AZ516" i="3"/>
  <c r="AZ524"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S30" i="36"/>
  <c r="H16" i="36"/>
  <c r="AB16" i="36" s="1"/>
  <c r="G103" i="37"/>
  <c r="H103" i="37" s="1"/>
  <c r="I103" i="37" s="1"/>
  <c r="J103" i="37" s="1"/>
  <c r="K103" i="37" s="1"/>
  <c r="L103" i="37" s="1"/>
  <c r="M103" i="37" s="1"/>
  <c r="H35" i="37"/>
  <c r="AB35" i="37" s="1"/>
  <c r="AB12" i="21"/>
  <c r="H32" i="21"/>
  <c r="U32" i="21" s="1"/>
  <c r="AB26" i="21"/>
  <c r="U26" i="21"/>
  <c r="AA33" i="21"/>
  <c r="S33"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BE5" i="3"/>
  <c r="F42" i="21"/>
  <c r="AA42" i="21" s="1"/>
  <c r="AB40" i="33"/>
  <c r="U40" i="33"/>
  <c r="AA35" i="34"/>
  <c r="S35" i="34"/>
  <c r="E90" i="34"/>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B33" i="21"/>
  <c r="U8" i="21"/>
  <c r="AB8" i="21"/>
  <c r="S34" i="21"/>
  <c r="AC36" i="21"/>
  <c r="AB8" i="33"/>
  <c r="U8" i="33"/>
  <c r="E106" i="33"/>
  <c r="H34" i="33"/>
  <c r="U34" i="33"/>
  <c r="F34" i="33"/>
  <c r="S34" i="33"/>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U36" i="35"/>
  <c r="W12" i="36"/>
  <c r="AC12" i="36"/>
  <c r="U31" i="36"/>
  <c r="S8" i="37"/>
  <c r="AA8" i="37"/>
  <c r="F14" i="39"/>
  <c r="AA14" i="39" s="1"/>
  <c r="H14" i="39"/>
  <c r="AB14" i="39" s="1"/>
  <c r="J14" i="39"/>
  <c r="AC14" i="39" s="1"/>
  <c r="F16" i="39"/>
  <c r="AA16" i="39" s="1"/>
  <c r="H16" i="39"/>
  <c r="J16" i="39"/>
  <c r="AC16" i="39" s="1"/>
  <c r="F15" i="40"/>
  <c r="AA15" i="40" s="1"/>
  <c r="J15" i="40"/>
  <c r="W15" i="40" s="1"/>
  <c r="H15" i="40"/>
  <c r="AB15" i="40" s="1"/>
  <c r="E92" i="40"/>
  <c r="F92" i="40" s="1"/>
  <c r="G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F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c r="J14" i="40"/>
  <c r="W14" i="40"/>
  <c r="H42" i="40"/>
  <c r="H40" i="40"/>
  <c r="U40" i="40" s="1"/>
  <c r="H34" i="40"/>
  <c r="U34" i="40" s="1"/>
  <c r="AZ391" i="3"/>
  <c r="AZ407" i="3"/>
  <c r="AZ423" i="3"/>
  <c r="AZ454" i="3"/>
  <c r="B41" i="1"/>
  <c r="J42" i="40"/>
  <c r="AC42" i="40" s="1"/>
  <c r="J40" i="40"/>
  <c r="J34" i="40"/>
  <c r="H16" i="40"/>
  <c r="AB16" i="40" s="1"/>
  <c r="H14" i="40"/>
  <c r="U14" i="40" s="1"/>
  <c r="F32" i="40"/>
  <c r="AA32" i="40" s="1"/>
  <c r="AZ428" i="3"/>
  <c r="AZ444" i="3"/>
  <c r="AZ452" i="3"/>
  <c r="M1" i="46"/>
  <c r="M6" i="46"/>
  <c r="M10" i="46"/>
  <c r="N2" i="46"/>
  <c r="N5" i="46"/>
  <c r="F58" i="46"/>
  <c r="F47" i="46"/>
  <c r="N7" i="46"/>
  <c r="AZ456" i="3"/>
  <c r="AZ458" i="3"/>
  <c r="AZ461" i="3"/>
  <c r="AZ474" i="3"/>
  <c r="AZ477" i="3"/>
  <c r="AZ212" i="3"/>
  <c r="AZ215" i="3"/>
  <c r="AZ228" i="3"/>
  <c r="AZ231" i="3"/>
  <c r="AZ244" i="3"/>
  <c r="AZ247" i="3"/>
  <c r="AZ260" i="3"/>
  <c r="AZ263" i="3"/>
  <c r="AZ276" i="3"/>
  <c r="AZ281" i="3"/>
  <c r="AZ292" i="3"/>
  <c r="AZ121" i="3"/>
  <c r="AZ137" i="3"/>
  <c r="AZ152" i="3"/>
  <c r="M7" i="46"/>
  <c r="M11" i="46"/>
  <c r="N3" i="46"/>
  <c r="N6" i="46"/>
  <c r="N10" i="46"/>
  <c r="AZ164" i="3"/>
  <c r="AZ177" i="3"/>
  <c r="AZ24" i="3"/>
  <c r="AZ40" i="3"/>
  <c r="AZ56" i="3"/>
  <c r="AZ63" i="3"/>
  <c r="AZ79" i="3"/>
  <c r="AZ99" i="3"/>
  <c r="AZ112" i="3"/>
  <c r="J13" i="40"/>
  <c r="W13" i="40" s="1"/>
  <c r="F34" i="44"/>
  <c r="F27" i="43"/>
  <c r="F66" i="9"/>
  <c r="P72" i="9" s="1"/>
  <c r="F71" i="9"/>
  <c r="F72" i="9"/>
  <c r="AC14" i="40"/>
  <c r="W35" i="40"/>
  <c r="AB32" i="40"/>
  <c r="AC47" i="39"/>
  <c r="AB25" i="39"/>
  <c r="U37" i="34"/>
  <c r="AB37" i="34"/>
  <c r="J23" i="40"/>
  <c r="AC23" i="40" s="1"/>
  <c r="F23" i="40"/>
  <c r="S23" i="40" s="1"/>
  <c r="AC15" i="40"/>
  <c r="AB23" i="35"/>
  <c r="H20" i="35"/>
  <c r="F20" i="35"/>
  <c r="S20" i="35" s="1"/>
  <c r="H15" i="34"/>
  <c r="AB15" i="34" s="1"/>
  <c r="F78" i="34"/>
  <c r="G78" i="34" s="1"/>
  <c r="J15" i="34"/>
  <c r="H41" i="33"/>
  <c r="U41" i="33" s="1"/>
  <c r="F121" i="33"/>
  <c r="G121" i="33" s="1"/>
  <c r="H121" i="33" s="1"/>
  <c r="I121" i="33" s="1"/>
  <c r="J121" i="33" s="1"/>
  <c r="K121" i="33" s="1"/>
  <c r="L121" i="33" s="1"/>
  <c r="M121" i="33" s="1"/>
  <c r="F30" i="40"/>
  <c r="AA30" i="40"/>
  <c r="I100" i="40"/>
  <c r="J100" i="40" s="1"/>
  <c r="K100" i="40"/>
  <c r="L100" i="40" s="1"/>
  <c r="M100" i="40" s="1"/>
  <c r="AB38" i="34"/>
  <c r="AZ486" i="3"/>
  <c r="AZ504" i="3"/>
  <c r="AZ529" i="3"/>
  <c r="AZ537" i="3"/>
  <c r="AZ548" i="3"/>
  <c r="AB37" i="39"/>
  <c r="U39" i="39"/>
  <c r="AB33" i="36"/>
  <c r="AA11" i="36"/>
  <c r="AA14" i="35"/>
  <c r="S14" i="35"/>
  <c r="G99" i="37"/>
  <c r="F33" i="37"/>
  <c r="AB19" i="39"/>
  <c r="U46" i="34"/>
  <c r="AC30" i="34"/>
  <c r="AA14" i="34"/>
  <c r="W12" i="34"/>
  <c r="U29" i="33"/>
  <c r="AC13" i="33"/>
  <c r="U17" i="34"/>
  <c r="AA11" i="34"/>
  <c r="W32" i="33"/>
  <c r="H15" i="33"/>
  <c r="U15" i="33"/>
  <c r="AA11" i="33"/>
  <c r="S13" i="39"/>
  <c r="AB34" i="40"/>
  <c r="AB42" i="40"/>
  <c r="U42" i="40"/>
  <c r="AC16" i="40"/>
  <c r="H25" i="40"/>
  <c r="AB25" i="40" s="1"/>
  <c r="G94" i="40"/>
  <c r="W15" i="39"/>
  <c r="J37" i="34"/>
  <c r="AC37" i="34" s="1"/>
  <c r="J36" i="33"/>
  <c r="W36" i="33" s="1"/>
  <c r="AB23" i="40"/>
  <c r="S16" i="39"/>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C33"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s="1"/>
  <c r="I96" i="37"/>
  <c r="J96" i="37" s="1"/>
  <c r="K96" i="37" s="1"/>
  <c r="L96" i="37" s="1"/>
  <c r="M96" i="37" s="1"/>
  <c r="F32" i="37"/>
  <c r="S32" i="37"/>
  <c r="U11" i="35"/>
  <c r="AB11" i="35"/>
  <c r="S46" i="34"/>
  <c r="U32" i="34"/>
  <c r="U14" i="34"/>
  <c r="AC14" i="34"/>
  <c r="U12" i="34"/>
  <c r="AB13" i="33"/>
  <c r="F17" i="34"/>
  <c r="AA17" i="34" s="1"/>
  <c r="J17" i="34"/>
  <c r="AC17" i="34" s="1"/>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U20" i="35"/>
  <c r="AB20" i="35"/>
  <c r="D73" i="9"/>
  <c r="N73" i="9" s="1"/>
  <c r="AP11" i="1"/>
  <c r="B11" i="1"/>
  <c r="E11" i="1" s="1"/>
  <c r="K11" i="1"/>
  <c r="M11" i="1" s="1"/>
  <c r="B9" i="1"/>
  <c r="E9" i="1" s="1"/>
  <c r="K9" i="1"/>
  <c r="M9" i="1" s="1"/>
  <c r="B7" i="1"/>
  <c r="E7" i="1" s="1"/>
  <c r="K7" i="1"/>
  <c r="M7" i="1" s="1"/>
  <c r="O7" i="1" s="1"/>
  <c r="P7" i="1" s="1"/>
  <c r="C20" i="43"/>
  <c r="F6" i="1"/>
  <c r="AP6" i="1" s="1"/>
  <c r="G11" i="1"/>
  <c r="F32" i="15"/>
  <c r="F59" i="15" s="1"/>
  <c r="F29" i="12"/>
  <c r="F70" i="9"/>
  <c r="D86" i="9"/>
  <c r="M20" i="44"/>
  <c r="F31" i="43"/>
  <c r="F30" i="44"/>
  <c r="C30" i="44" s="1"/>
  <c r="C27" i="43"/>
  <c r="C25" i="12"/>
  <c r="C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W43" i="21"/>
  <c r="AC46" i="21"/>
  <c r="AC11" i="21"/>
  <c r="AB11" i="2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W13" i="39"/>
  <c r="S11" i="39"/>
  <c r="AB45" i="39"/>
  <c r="AA21" i="39"/>
  <c r="AC19" i="39"/>
  <c r="AC38" i="39"/>
  <c r="AC21" i="39"/>
  <c r="S14" i="39"/>
  <c r="AB15" i="39"/>
  <c r="U11" i="39"/>
  <c r="U41" i="39"/>
  <c r="AB38" i="39"/>
  <c r="U31" i="39"/>
  <c r="AB31" i="39"/>
  <c r="S38" i="39"/>
  <c r="S22" i="31"/>
  <c r="M20" i="15"/>
  <c r="D96" i="9"/>
  <c r="F28" i="15"/>
  <c r="C28" i="15" s="1"/>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BD5" i="3"/>
  <c r="BR5" i="3"/>
  <c r="G28" i="6" s="1"/>
  <c r="BS5" i="3"/>
  <c r="BQ5" i="3"/>
  <c r="BL16" i="3"/>
  <c r="BM5" i="3"/>
  <c r="BA13" i="3"/>
  <c r="H48" i="46"/>
  <c r="H52" i="46"/>
  <c r="H53" i="46"/>
  <c r="G28" i="12"/>
  <c r="G26" i="12"/>
  <c r="D26" i="44"/>
  <c r="G23"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B56" i="46" s="1"/>
  <c r="A4" i="64"/>
  <c r="A4" i="51"/>
  <c r="B6" i="63" s="1"/>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E46" i="36" s="1"/>
  <c r="C59" i="34"/>
  <c r="D59" i="34" s="1"/>
  <c r="E59" i="34" s="1"/>
  <c r="C48" i="35"/>
  <c r="D48" i="35" s="1"/>
  <c r="C52" i="37"/>
  <c r="D52" i="37" s="1"/>
  <c r="F7" i="33"/>
  <c r="S7" i="33" s="1"/>
  <c r="J7" i="33"/>
  <c r="C67" i="40"/>
  <c r="D65" i="40"/>
  <c r="P24" i="46"/>
  <c r="B68" i="40" s="1"/>
  <c r="P25" i="46"/>
  <c r="B73" i="39" s="1"/>
  <c r="P23" i="46"/>
  <c r="P21" i="46"/>
  <c r="P22" i="46"/>
  <c r="H7" i="33"/>
  <c r="O19"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G66" i="36" s="1"/>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S27" i="21"/>
  <c r="AC27" i="21"/>
  <c r="W29" i="21"/>
  <c r="G96" i="40"/>
  <c r="J27" i="40"/>
  <c r="W37" i="40"/>
  <c r="S17" i="40"/>
  <c r="W30" i="40"/>
  <c r="S34" i="40"/>
  <c r="U17" i="40"/>
  <c r="U38" i="40"/>
  <c r="S40" i="40"/>
  <c r="S42" i="40"/>
  <c r="G105" i="39"/>
  <c r="J31" i="39"/>
  <c r="W31" i="39" s="1"/>
  <c r="S45" i="39"/>
  <c r="W41" i="39"/>
  <c r="AB43" i="39"/>
  <c r="AB33" i="39"/>
  <c r="AC46" i="39"/>
  <c r="S34" i="39"/>
  <c r="W42" i="39"/>
  <c r="W36"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E58" i="39"/>
  <c r="E53" i="40"/>
  <c r="F27" i="6"/>
  <c r="E5" i="6"/>
  <c r="D12" i="11" s="1"/>
  <c r="C12" i="11" s="1"/>
  <c r="AZ13" i="3"/>
  <c r="G29" i="6"/>
  <c r="E29" i="6" s="1"/>
  <c r="AZ16" i="3"/>
  <c r="H70" i="46"/>
  <c r="H72" i="46"/>
  <c r="A9" i="64"/>
  <c r="A9" i="51"/>
  <c r="B9" i="63" s="1"/>
  <c r="A25" i="51"/>
  <c r="B18" i="63" s="1"/>
  <c r="A3" i="55"/>
  <c r="B56" i="63" s="1"/>
  <c r="W7" i="33"/>
  <c r="AC7" i="33"/>
  <c r="V48" i="33" s="1"/>
  <c r="I48" i="33" s="1"/>
  <c r="U7" i="33"/>
  <c r="AB7" i="33"/>
  <c r="T48" i="33" s="1"/>
  <c r="G48" i="33" s="1"/>
  <c r="D67" i="40"/>
  <c r="E65" i="40"/>
  <c r="F65" i="40" s="1"/>
  <c r="AA7" i="33"/>
  <c r="R48" i="33" s="1"/>
  <c r="G39" i="46"/>
  <c r="I39" i="46" s="1"/>
  <c r="E4" i="4"/>
  <c r="C4" i="4"/>
  <c r="B20" i="55" s="1"/>
  <c r="B70" i="63" s="1"/>
  <c r="J18" i="36"/>
  <c r="W18" i="36" s="1"/>
  <c r="AE8" i="1"/>
  <c r="AE7" i="1"/>
  <c r="AG6" i="1"/>
  <c r="L20" i="6"/>
  <c r="B21" i="55"/>
  <c r="B72" i="63" s="1"/>
  <c r="F7" i="21"/>
  <c r="S7" i="21" s="1"/>
  <c r="J7" i="21"/>
  <c r="AC7" i="21" s="1"/>
  <c r="H7" i="21"/>
  <c r="U7" i="21" s="1"/>
  <c r="S7" i="1"/>
  <c r="S8" i="1"/>
  <c r="S9" i="1"/>
  <c r="R9" i="1"/>
  <c r="R7" i="1"/>
  <c r="R8" i="1"/>
  <c r="C45" i="9"/>
  <c r="O40" i="9" s="1"/>
  <c r="C44" i="9"/>
  <c r="G14" i="66"/>
  <c r="B6" i="66" s="1"/>
  <c r="N69" i="9"/>
  <c r="M86" i="9" s="1"/>
  <c r="N86" i="9" s="1"/>
  <c r="O39" i="9"/>
  <c r="R6" i="54" s="1"/>
  <c r="K29" i="9"/>
  <c r="K30" i="9" s="1"/>
  <c r="B50" i="63"/>
  <c r="N76" i="9"/>
  <c r="C46" i="9"/>
  <c r="K33" i="9" s="1"/>
  <c r="O41" i="9"/>
  <c r="R8" i="54" s="1"/>
  <c r="B54" i="63" s="1"/>
  <c r="B13" i="67"/>
  <c r="B11" i="67"/>
  <c r="M30" i="44"/>
  <c r="B8" i="67"/>
  <c r="M25" i="44"/>
  <c r="B12" i="67"/>
  <c r="M31" i="44"/>
  <c r="B9" i="67"/>
  <c r="E10" i="67"/>
  <c r="B10" i="67"/>
  <c r="F46" i="44"/>
  <c r="F40" i="44"/>
  <c r="M8" i="44"/>
  <c r="E12" i="67"/>
  <c r="F18" i="44"/>
  <c r="F28" i="44"/>
  <c r="E9" i="67"/>
  <c r="L49" i="44"/>
  <c r="F11" i="44"/>
  <c r="F10" i="67"/>
  <c r="F39" i="44"/>
  <c r="F9" i="44"/>
  <c r="F8" i="44"/>
  <c r="M23" i="44"/>
  <c r="F9" i="67"/>
  <c r="E13" i="67"/>
  <c r="F8" i="15"/>
  <c r="F10" i="44"/>
  <c r="F41" i="15"/>
  <c r="F11" i="67"/>
  <c r="B14" i="67"/>
  <c r="F38" i="15"/>
  <c r="M26" i="44"/>
  <c r="F35" i="15"/>
  <c r="F8" i="67"/>
  <c r="F9" i="15"/>
  <c r="M23" i="15"/>
  <c r="E8" i="67"/>
  <c r="M29" i="44"/>
  <c r="F37" i="44"/>
  <c r="F15" i="44"/>
  <c r="C19" i="44"/>
  <c r="F12" i="67"/>
  <c r="F36" i="15"/>
  <c r="L48" i="44"/>
  <c r="F43" i="44"/>
  <c r="M21" i="15"/>
  <c r="F14" i="67"/>
  <c r="M28" i="44"/>
  <c r="F6" i="15"/>
  <c r="M24" i="44"/>
  <c r="F13" i="67"/>
  <c r="M10" i="44"/>
  <c r="F40" i="15"/>
  <c r="F38" i="44"/>
  <c r="M11" i="44"/>
  <c r="E14" i="67"/>
  <c r="F45" i="44"/>
  <c r="E11" i="67"/>
  <c r="F13" i="15"/>
  <c r="J17" i="44"/>
  <c r="M26" i="15"/>
  <c r="K15" i="1" l="1"/>
  <c r="L19" i="6"/>
  <c r="L27" i="6" s="1"/>
  <c r="AC27" i="40"/>
  <c r="W27" i="40"/>
  <c r="I14" i="66"/>
  <c r="B8" i="66" s="1"/>
  <c r="M83" i="9"/>
  <c r="N83" i="9" s="1"/>
  <c r="N89" i="9" s="1"/>
  <c r="O89" i="9" s="1"/>
  <c r="M85" i="9"/>
  <c r="N85" i="9" s="1"/>
  <c r="M87" i="9"/>
  <c r="N87" i="9" s="1"/>
  <c r="M88" i="9"/>
  <c r="N88" i="9" s="1"/>
  <c r="M84" i="9"/>
  <c r="N84" i="9" s="1"/>
  <c r="E67" i="40"/>
  <c r="F30" i="6"/>
  <c r="H77" i="46"/>
  <c r="H75" i="46"/>
  <c r="G30" i="6"/>
  <c r="G31" i="6" s="1"/>
  <c r="W23" i="40"/>
  <c r="W32" i="40"/>
  <c r="W41" i="40"/>
  <c r="S33" i="40"/>
  <c r="AB14" i="40"/>
  <c r="AZ489" i="3"/>
  <c r="AZ513" i="3"/>
  <c r="AZ515" i="3"/>
  <c r="AZ523" i="3"/>
  <c r="AZ530" i="3"/>
  <c r="AA12" i="21"/>
  <c r="S12" i="21"/>
  <c r="AC23" i="36"/>
  <c r="W23" i="36"/>
  <c r="AC24" i="35"/>
  <c r="W24" i="35"/>
  <c r="AB34" i="35"/>
  <c r="U34" i="35"/>
  <c r="K141" i="21"/>
  <c r="K144" i="21"/>
  <c r="K143" i="21"/>
  <c r="AZ538" i="3"/>
  <c r="AZ492" i="3"/>
  <c r="AZ544" i="3"/>
  <c r="H5" i="3"/>
  <c r="BG5" i="3"/>
  <c r="BA570" i="3"/>
  <c r="AZ570" i="3" s="1"/>
  <c r="BI5" i="3"/>
  <c r="AZ374" i="3"/>
  <c r="AZ373" i="3"/>
  <c r="AZ365" i="3"/>
  <c r="AZ347" i="3"/>
  <c r="AZ379" i="3"/>
  <c r="AZ361" i="3"/>
  <c r="AZ345" i="3"/>
  <c r="AZ329" i="3"/>
  <c r="AZ305" i="3"/>
  <c r="AZ303" i="3"/>
  <c r="U31" i="37"/>
  <c r="AC45" i="33"/>
  <c r="AZ502" i="3"/>
  <c r="AZ550" i="3"/>
  <c r="AZ562" i="3"/>
  <c r="AZ572" i="3"/>
  <c r="AZ569" i="3"/>
  <c r="AC28" i="33"/>
  <c r="W42" i="21"/>
  <c r="AB30" i="21"/>
  <c r="AB28" i="36"/>
  <c r="AA12" i="33"/>
  <c r="C23" i="39"/>
  <c r="AC35" i="21"/>
  <c r="S8" i="21"/>
  <c r="W33" i="33"/>
  <c r="U33" i="33"/>
  <c r="J12" i="21"/>
  <c r="F19" i="21"/>
  <c r="AA19" i="21" s="1"/>
  <c r="G13" i="3"/>
  <c r="H42" i="21"/>
  <c r="AB42" i="21" s="1"/>
  <c r="F9" i="35"/>
  <c r="J9" i="35"/>
  <c r="J36" i="35"/>
  <c r="F23" i="36"/>
  <c r="H23" i="36"/>
  <c r="F25" i="37"/>
  <c r="G567" i="3"/>
  <c r="G563" i="3"/>
  <c r="G552" i="3"/>
  <c r="G540" i="3"/>
  <c r="G531" i="3"/>
  <c r="G525" i="3"/>
  <c r="G516" i="3"/>
  <c r="G504" i="3"/>
  <c r="G496" i="3"/>
  <c r="G487" i="3"/>
  <c r="G19" i="3"/>
  <c r="C18" i="9"/>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G412" i="3"/>
  <c r="BL412" i="3"/>
  <c r="AZ412" i="3" s="1"/>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53" i="3"/>
  <c r="AZ476" i="3"/>
  <c r="AZ246" i="3"/>
  <c r="AZ25" i="3"/>
  <c r="D14" i="59"/>
  <c r="T14" i="59"/>
  <c r="D22" i="59"/>
  <c r="T22" i="59"/>
  <c r="D26" i="59"/>
  <c r="T26" i="59"/>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BL200" i="3"/>
  <c r="AZ200" i="3" s="1"/>
  <c r="BL203" i="3"/>
  <c r="AZ203" i="3" s="1"/>
  <c r="BA204" i="3"/>
  <c r="AZ204" i="3" s="1"/>
  <c r="G23" i="3"/>
  <c r="G24" i="3"/>
  <c r="G25" i="3"/>
  <c r="BL25" i="3"/>
  <c r="BL5" i="3" s="1"/>
  <c r="BA26" i="3"/>
  <c r="BA27" i="3"/>
  <c r="AZ27" i="3" s="1"/>
  <c r="AZ57" i="3"/>
  <c r="K17" i="4"/>
  <c r="A22" i="51" s="1"/>
  <c r="B16" i="63" s="1"/>
  <c r="AA16" i="59"/>
  <c r="AA8" i="59"/>
  <c r="AA10" i="59"/>
  <c r="C29" i="59"/>
  <c r="D29" i="59" s="1"/>
  <c r="D28" i="59"/>
  <c r="E49" i="59"/>
  <c r="U50" i="59"/>
  <c r="U58" i="59"/>
  <c r="E57" i="59"/>
  <c r="E56" i="59" s="1"/>
  <c r="N1" i="65"/>
  <c r="H1" i="65"/>
  <c r="E5" i="59"/>
  <c r="U6" i="59"/>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111" i="3" s="1"/>
  <c r="D42" i="59"/>
  <c r="D37" i="59"/>
  <c r="P50" i="59"/>
  <c r="C33" i="59"/>
  <c r="D24" i="59"/>
  <c r="D12" i="59"/>
  <c r="AB8" i="59"/>
  <c r="Y3" i="59"/>
  <c r="Z3" i="59" s="1"/>
  <c r="Y7" i="59"/>
  <c r="Z7" i="59" s="1"/>
  <c r="AA7" i="59"/>
  <c r="X7" i="59"/>
  <c r="X11" i="59"/>
  <c r="B12" i="59"/>
  <c r="B13" i="59" s="1"/>
  <c r="B14" i="59" s="1"/>
  <c r="S14" i="59" s="1"/>
  <c r="X3" i="59"/>
  <c r="X8" i="59"/>
  <c r="X10" i="59"/>
  <c r="X19" i="59"/>
  <c r="B20" i="59"/>
  <c r="B21" i="59" s="1"/>
  <c r="B22" i="59" s="1"/>
  <c r="S22" i="59" s="1"/>
  <c r="O50" i="59"/>
  <c r="C49" i="59"/>
  <c r="V50" i="59"/>
  <c r="F49" i="59"/>
  <c r="Y8" i="59"/>
  <c r="Z8" i="59" s="1"/>
  <c r="Y10" i="59"/>
  <c r="Z10" i="59" s="1"/>
  <c r="F10" i="59"/>
  <c r="AB10" i="59"/>
  <c r="AB7" i="59"/>
  <c r="AB9" i="59"/>
  <c r="AG10" i="46"/>
  <c r="AG12" i="46"/>
  <c r="C5" i="59"/>
  <c r="D5" i="59" s="1"/>
  <c r="AA11" i="59"/>
  <c r="X12" i="59"/>
  <c r="AA12" i="59"/>
  <c r="X13" i="59"/>
  <c r="AA13" i="59"/>
  <c r="AA14" i="59"/>
  <c r="Y15" i="59"/>
  <c r="Z15" i="59" s="1"/>
  <c r="AB15" i="59"/>
  <c r="Y16" i="59"/>
  <c r="Z16" i="59" s="1"/>
  <c r="AB16" i="59"/>
  <c r="AB17" i="59"/>
  <c r="Y18" i="59"/>
  <c r="Z18" i="59" s="1"/>
  <c r="AA20" i="59"/>
  <c r="B25" i="59"/>
  <c r="B26" i="59" s="1"/>
  <c r="S26" i="59" s="1"/>
  <c r="B45" i="59"/>
  <c r="B46" i="59" s="1"/>
  <c r="S46" i="59" s="1"/>
  <c r="L76" i="9"/>
  <c r="G103" i="39"/>
  <c r="J29" i="39"/>
  <c r="AC29" i="39" s="1"/>
  <c r="G21" i="43"/>
  <c r="G27" i="12"/>
  <c r="D24" i="44"/>
  <c r="G22" i="43"/>
  <c r="S42" i="21"/>
  <c r="U39" i="21"/>
  <c r="H113" i="21"/>
  <c r="J37" i="21"/>
  <c r="H37" i="21"/>
  <c r="F37" i="21"/>
  <c r="F85" i="21"/>
  <c r="G85" i="21" s="1"/>
  <c r="H23" i="21"/>
  <c r="F23" i="21"/>
  <c r="J23" i="21"/>
  <c r="W23" i="21" s="1"/>
  <c r="AC19" i="21"/>
  <c r="H19" i="21"/>
  <c r="AB19" i="21" s="1"/>
  <c r="F79" i="21"/>
  <c r="G79" i="21" s="1"/>
  <c r="F17" i="21"/>
  <c r="S17" i="21" s="1"/>
  <c r="J17" i="21"/>
  <c r="AC17" i="21" s="1"/>
  <c r="H17" i="21"/>
  <c r="F15" i="21"/>
  <c r="S15" i="21" s="1"/>
  <c r="H15" i="21"/>
  <c r="F77" i="21"/>
  <c r="G77" i="21" s="1"/>
  <c r="J15" i="21"/>
  <c r="AA11" i="21"/>
  <c r="AA17" i="21"/>
  <c r="U19" i="21"/>
  <c r="S19" i="21"/>
  <c r="S21" i="21"/>
  <c r="W32" i="21"/>
  <c r="W31" i="21"/>
  <c r="AC26" i="21"/>
  <c r="W28" i="21"/>
  <c r="AC34" i="21"/>
  <c r="AB32" i="21"/>
  <c r="AB31" i="21"/>
  <c r="S35" i="21"/>
  <c r="S26" i="21"/>
  <c r="U42" i="21"/>
  <c r="AA40" i="21"/>
  <c r="W41" i="21"/>
  <c r="AC38" i="21"/>
  <c r="U38" i="21"/>
  <c r="AA38" i="21"/>
  <c r="AA36" i="21"/>
  <c r="U35" i="21"/>
  <c r="W17" i="21"/>
  <c r="AA15" i="21"/>
  <c r="W10" i="21"/>
  <c r="AB10" i="21"/>
  <c r="U9" i="21"/>
  <c r="W9" i="21"/>
  <c r="AB7" i="21"/>
  <c r="AA7" i="21"/>
  <c r="B13" i="52"/>
  <c r="J23" i="39"/>
  <c r="H23" i="39"/>
  <c r="F97" i="39"/>
  <c r="G97" i="39" s="1"/>
  <c r="F23" i="39"/>
  <c r="E16" i="52"/>
  <c r="E6" i="52"/>
  <c r="F101" i="39"/>
  <c r="G101" i="39" s="1"/>
  <c r="F27" i="39"/>
  <c r="AA27" i="39" s="1"/>
  <c r="J27" i="39"/>
  <c r="AC27" i="39" s="1"/>
  <c r="H27" i="39"/>
  <c r="F29" i="39"/>
  <c r="W29" i="39"/>
  <c r="H29" i="39"/>
  <c r="U29" i="39" s="1"/>
  <c r="U34" i="39"/>
  <c r="AC43" i="39"/>
  <c r="AC44" i="39"/>
  <c r="W34" i="39"/>
  <c r="AC31" i="39"/>
  <c r="S31" i="39"/>
  <c r="S27" i="39"/>
  <c r="W27" i="39"/>
  <c r="S25" i="39"/>
  <c r="U21" i="39"/>
  <c r="AC17" i="39"/>
  <c r="S17" i="39"/>
  <c r="AB17" i="39"/>
  <c r="U13" i="39"/>
  <c r="E8" i="52"/>
  <c r="E21" i="52"/>
  <c r="B74" i="46"/>
  <c r="M22" i="44"/>
  <c r="E4" i="52"/>
  <c r="B11" i="52"/>
  <c r="B5" i="52"/>
  <c r="B22" i="52"/>
  <c r="B14" i="52"/>
  <c r="E7" i="52"/>
  <c r="E5" i="52"/>
  <c r="B6" i="52"/>
  <c r="B16" i="52"/>
  <c r="B23" i="52"/>
  <c r="E10" i="52"/>
  <c r="E9" i="52"/>
  <c r="B8" i="52"/>
  <c r="B4" i="52"/>
  <c r="B9" i="52"/>
  <c r="B10" i="52"/>
  <c r="B7" i="52"/>
  <c r="E11" i="52"/>
  <c r="O9" i="1"/>
  <c r="P9" i="1" s="1"/>
  <c r="O11" i="1"/>
  <c r="P11" i="1" s="1"/>
  <c r="F31" i="6"/>
  <c r="E28" i="6"/>
  <c r="H22" i="46"/>
  <c r="AE11" i="46"/>
  <c r="AF11" i="46"/>
  <c r="AF13" i="46" s="1"/>
  <c r="AI11" i="46"/>
  <c r="C23" i="46"/>
  <c r="C21" i="46" s="1"/>
  <c r="AH11" i="46"/>
  <c r="AH13" i="46" s="1"/>
  <c r="AD11" i="46"/>
  <c r="AD13" i="46" s="1"/>
  <c r="Z11" i="46"/>
  <c r="Z13" i="46" s="1"/>
  <c r="AG11" i="46"/>
  <c r="AG13" i="46" s="1"/>
  <c r="E22" i="46"/>
  <c r="H101" i="46"/>
  <c r="H106" i="46" s="1"/>
  <c r="M101" i="46"/>
  <c r="D101" i="46"/>
  <c r="D103" i="46" s="1"/>
  <c r="I101" i="46"/>
  <c r="G22" i="46"/>
  <c r="AB11" i="46"/>
  <c r="AB13" i="46" s="1"/>
  <c r="AJ11" i="46"/>
  <c r="AJ13" i="46" s="1"/>
  <c r="AA11" i="46"/>
  <c r="Y11" i="46"/>
  <c r="Y13" i="46" s="1"/>
  <c r="AC11" i="46"/>
  <c r="AC13" i="46" s="1"/>
  <c r="F101" i="46"/>
  <c r="N101" i="46"/>
  <c r="K101" i="46"/>
  <c r="Z7" i="46"/>
  <c r="E101" i="46"/>
  <c r="F22" i="46"/>
  <c r="L101" i="46"/>
  <c r="N104" i="45"/>
  <c r="B113" i="46"/>
  <c r="J101" i="46"/>
  <c r="G101" i="46"/>
  <c r="C101" i="46"/>
  <c r="J22" i="46"/>
  <c r="D70" i="39"/>
  <c r="C72" i="39"/>
  <c r="W7" i="21"/>
  <c r="J22" i="44"/>
  <c r="J20" i="15"/>
  <c r="C29" i="44"/>
  <c r="C36" i="44"/>
  <c r="C34" i="15"/>
  <c r="F62" i="15"/>
  <c r="C61" i="15" s="1"/>
  <c r="F68" i="15"/>
  <c r="Q73" i="44"/>
  <c r="M9" i="44"/>
  <c r="F67" i="15"/>
  <c r="L60" i="44"/>
  <c r="L59" i="44"/>
  <c r="F65" i="15"/>
  <c r="F50" i="15"/>
  <c r="C8" i="44"/>
  <c r="F63" i="15"/>
  <c r="I55" i="44"/>
  <c r="J60" i="44"/>
  <c r="L57" i="44"/>
  <c r="J58" i="44"/>
  <c r="J56" i="44" s="1"/>
  <c r="J59" i="44" s="1"/>
  <c r="Q52" i="44" s="1"/>
  <c r="J61" i="44"/>
  <c r="Q50" i="44" s="1"/>
  <c r="R49" i="33"/>
  <c r="E48" i="33"/>
  <c r="O6" i="1"/>
  <c r="P6" i="1" s="1"/>
  <c r="E48" i="35"/>
  <c r="F48" i="35" s="1"/>
  <c r="G48" i="35" s="1"/>
  <c r="H48" i="35" s="1"/>
  <c r="I48" i="35" s="1"/>
  <c r="J48" i="35" s="1"/>
  <c r="K48" i="35" s="1"/>
  <c r="L48" i="35" s="1"/>
  <c r="M48" i="35" s="1"/>
  <c r="N48" i="35" s="1"/>
  <c r="O48" i="35" s="1"/>
  <c r="K34" i="9"/>
  <c r="K31" i="9"/>
  <c r="K32" i="9" s="1"/>
  <c r="R7" i="54"/>
  <c r="B52" i="63" s="1"/>
  <c r="H14" i="66"/>
  <c r="B7" i="66" s="1"/>
  <c r="G65" i="40"/>
  <c r="F67" i="40"/>
  <c r="G52" i="33"/>
  <c r="H52" i="33" s="1"/>
  <c r="G53" i="33"/>
  <c r="H53" i="33" s="1"/>
  <c r="I52" i="33"/>
  <c r="J52" i="33" s="1"/>
  <c r="I53" i="33"/>
  <c r="J53" i="33" s="1"/>
  <c r="O10" i="1"/>
  <c r="P10" i="1" s="1"/>
  <c r="J7" i="37"/>
  <c r="E52" i="37"/>
  <c r="F52" i="37" s="1"/>
  <c r="G52" i="37" s="1"/>
  <c r="H52" i="37" s="1"/>
  <c r="I52" i="37" s="1"/>
  <c r="J52" i="37" s="1"/>
  <c r="K52" i="37" s="1"/>
  <c r="L52" i="37" s="1"/>
  <c r="M52" i="37" s="1"/>
  <c r="N52" i="37" s="1"/>
  <c r="O52" i="37" s="1"/>
  <c r="F7" i="34"/>
  <c r="F59" i="34"/>
  <c r="G59" i="34" s="1"/>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M105" i="46"/>
  <c r="M103" i="46"/>
  <c r="I107" i="46"/>
  <c r="I109" i="46"/>
  <c r="F7" i="37"/>
  <c r="H7" i="37"/>
  <c r="H7" i="36"/>
  <c r="H7" i="35"/>
  <c r="J7" i="35"/>
  <c r="H7" i="34"/>
  <c r="J7" i="34"/>
  <c r="H74" i="46"/>
  <c r="H73" i="46"/>
  <c r="H76" i="46"/>
  <c r="U25" i="33"/>
  <c r="AA20" i="35"/>
  <c r="U16" i="40"/>
  <c r="W14" i="39"/>
  <c r="H49" i="46"/>
  <c r="H47" i="46"/>
  <c r="AC34" i="40"/>
  <c r="W34" i="40"/>
  <c r="AA47" i="39"/>
  <c r="S47" i="39"/>
  <c r="AA41" i="40"/>
  <c r="S41" i="40"/>
  <c r="AZ520" i="3"/>
  <c r="S31" i="33"/>
  <c r="AA31" i="33"/>
  <c r="U45" i="33"/>
  <c r="AB45" i="33"/>
  <c r="AC23" i="35"/>
  <c r="W23" i="35"/>
  <c r="AC39" i="37"/>
  <c r="W39" i="37"/>
  <c r="AC40" i="40"/>
  <c r="W40" i="40"/>
  <c r="AB47" i="39"/>
  <c r="U47" i="39"/>
  <c r="AB41" i="40"/>
  <c r="U41" i="40"/>
  <c r="U16" i="39"/>
  <c r="AB16" i="39"/>
  <c r="AA9" i="21"/>
  <c r="S9" i="21"/>
  <c r="W9" i="33"/>
  <c r="AC9" i="33"/>
  <c r="AA28" i="34"/>
  <c r="S28" i="34"/>
  <c r="AC24" i="36"/>
  <c r="W24" i="36"/>
  <c r="U34" i="36"/>
  <c r="AB34" i="36"/>
  <c r="AB14" i="37"/>
  <c r="U14" i="37"/>
  <c r="AC26" i="37"/>
  <c r="W26" i="37"/>
  <c r="AA29" i="35"/>
  <c r="AA36" i="37"/>
  <c r="S10" i="35"/>
  <c r="S27" i="37"/>
  <c r="AC41" i="34"/>
  <c r="U28" i="21"/>
  <c r="S45" i="21"/>
  <c r="AA27" i="33"/>
  <c r="W31" i="34"/>
  <c r="AB14" i="21"/>
  <c r="U46" i="21"/>
  <c r="AB13" i="21"/>
  <c r="AB40" i="37"/>
  <c r="W46" i="33"/>
  <c r="W35" i="35"/>
  <c r="S22" i="35"/>
  <c r="AZ419" i="3"/>
  <c r="AZ425" i="3"/>
  <c r="AZ429" i="3"/>
  <c r="AZ445" i="3"/>
  <c r="AZ448" i="3"/>
  <c r="AZ472" i="3"/>
  <c r="F9" i="33"/>
  <c r="H9" i="33"/>
  <c r="F9" i="36"/>
  <c r="H9" i="36"/>
  <c r="H24" i="36"/>
  <c r="I1" i="65"/>
  <c r="AZ389" i="3"/>
  <c r="AZ400" i="3"/>
  <c r="AZ404" i="3"/>
  <c r="AZ464" i="3"/>
  <c r="A30" i="64"/>
  <c r="A30" i="51"/>
  <c r="B22" i="63" s="1"/>
  <c r="AZ210" i="3"/>
  <c r="AZ242" i="3"/>
  <c r="AZ171" i="3"/>
  <c r="AZ368" i="3"/>
  <c r="AZ384" i="3"/>
  <c r="AZ386" i="3"/>
  <c r="AZ214" i="3"/>
  <c r="AZ218" i="3"/>
  <c r="AZ230" i="3"/>
  <c r="AZ234" i="3"/>
  <c r="AZ250" i="3"/>
  <c r="AZ262" i="3"/>
  <c r="AZ266" i="3"/>
  <c r="AZ277" i="3"/>
  <c r="AZ280" i="3"/>
  <c r="AZ293" i="3"/>
  <c r="AZ117" i="3"/>
  <c r="AZ120" i="3"/>
  <c r="AZ133" i="3"/>
  <c r="AZ136" i="3"/>
  <c r="AZ149" i="3"/>
  <c r="AZ160" i="3"/>
  <c r="AZ163" i="3"/>
  <c r="AZ176" i="3"/>
  <c r="AZ202" i="3"/>
  <c r="AZ21" i="3"/>
  <c r="AZ28" i="3"/>
  <c r="AZ34" i="3"/>
  <c r="AZ37" i="3"/>
  <c r="AZ44" i="3"/>
  <c r="AZ50" i="3"/>
  <c r="AZ53" i="3"/>
  <c r="AZ60" i="3"/>
  <c r="AZ77" i="3"/>
  <c r="AZ62" i="3"/>
  <c r="AZ65" i="3"/>
  <c r="AZ68" i="3"/>
  <c r="AZ75" i="3"/>
  <c r="AZ81" i="3"/>
  <c r="AZ85" i="3"/>
  <c r="AZ88" i="3"/>
  <c r="AZ95" i="3"/>
  <c r="AZ101" i="3"/>
  <c r="AZ104" i="3"/>
  <c r="AZ108" i="3"/>
  <c r="B13" i="1"/>
  <c r="E13" i="1" s="1"/>
  <c r="K13" i="1"/>
  <c r="M13" i="1" s="1"/>
  <c r="D1" i="57"/>
  <c r="E10" i="57" s="1"/>
  <c r="R12" i="1"/>
  <c r="K12" i="1"/>
  <c r="T46" i="59"/>
  <c r="D46" i="59"/>
  <c r="T38" i="59"/>
  <c r="D38" i="59"/>
  <c r="B54" i="46"/>
  <c r="C27" i="40"/>
  <c r="S27" i="40"/>
  <c r="S21" i="34"/>
  <c r="AA19" i="59"/>
  <c r="E20" i="59"/>
  <c r="E21" i="59" s="1"/>
  <c r="E22" i="59" s="1"/>
  <c r="U22" i="59" s="1"/>
  <c r="D100" i="46"/>
  <c r="D23" i="15"/>
  <c r="AA3" i="59"/>
  <c r="Y11" i="59"/>
  <c r="Z11" i="59" s="1"/>
  <c r="F12" i="59"/>
  <c r="F13" i="59" s="1"/>
  <c r="F14" i="59" s="1"/>
  <c r="V14" i="59" s="1"/>
  <c r="X14" i="59"/>
  <c r="B16" i="59"/>
  <c r="B17" i="59" s="1"/>
  <c r="B18" i="59" s="1"/>
  <c r="S18" i="59" s="1"/>
  <c r="C16" i="59"/>
  <c r="AA15" i="59"/>
  <c r="F20" i="59"/>
  <c r="F21" i="59" s="1"/>
  <c r="F22" i="59" s="1"/>
  <c r="V22" i="59" s="1"/>
  <c r="AB19" i="59"/>
  <c r="AB20" i="59"/>
  <c r="S10" i="59"/>
  <c r="B9" i="59"/>
  <c r="B8" i="59" s="1"/>
  <c r="AA6" i="59"/>
  <c r="E10" i="59"/>
  <c r="A28" i="64"/>
  <c r="AA12" i="46"/>
  <c r="AA13" i="46" s="1"/>
  <c r="AE12" i="46"/>
  <c r="AE13" i="46" s="1"/>
  <c r="AI12" i="46"/>
  <c r="AI13" i="46" s="1"/>
  <c r="AB6" i="59"/>
  <c r="J54" i="44"/>
  <c r="AA5" i="59"/>
  <c r="Y17" i="59"/>
  <c r="Z17" i="59" s="1"/>
  <c r="AB18" i="59"/>
  <c r="Y19" i="59"/>
  <c r="Z19" i="59" s="1"/>
  <c r="Y6" i="59"/>
  <c r="Z6" i="59" s="1"/>
  <c r="C10" i="59"/>
  <c r="F9" i="59"/>
  <c r="F8" i="59" s="1"/>
  <c r="V10" i="59"/>
  <c r="X6" i="59"/>
  <c r="Y5" i="59"/>
  <c r="Z5" i="59" s="1"/>
  <c r="AB5" i="59"/>
  <c r="X5" i="59"/>
  <c r="K76" i="9"/>
  <c r="K77" i="9" s="1"/>
  <c r="K79" i="9" s="1"/>
  <c r="K81" i="9" s="1"/>
  <c r="M22" i="15"/>
  <c r="J15" i="15"/>
  <c r="L48" i="15"/>
  <c r="M29" i="15"/>
  <c r="F42" i="15"/>
  <c r="F7" i="15"/>
  <c r="F43" i="15"/>
  <c r="F16" i="15"/>
  <c r="F37" i="15"/>
  <c r="F31" i="15"/>
  <c r="M19" i="44"/>
  <c r="N3" i="65"/>
  <c r="N7" i="65"/>
  <c r="C15" i="12"/>
  <c r="F33" i="44"/>
  <c r="C18" i="44"/>
  <c r="M6" i="15"/>
  <c r="M8" i="15"/>
  <c r="M27" i="15"/>
  <c r="J36" i="15"/>
  <c r="L47" i="15"/>
  <c r="M28" i="15"/>
  <c r="M24" i="15"/>
  <c r="M9" i="15"/>
  <c r="F26" i="15"/>
  <c r="D21" i="12"/>
  <c r="H105" i="46" l="1"/>
  <c r="C27" i="15"/>
  <c r="L58" i="15"/>
  <c r="L59" i="15"/>
  <c r="Q72" i="15"/>
  <c r="F64" i="15"/>
  <c r="F70" i="15"/>
  <c r="F49" i="15"/>
  <c r="M7" i="15"/>
  <c r="C6" i="15"/>
  <c r="I54" i="15"/>
  <c r="L56" i="15"/>
  <c r="J57" i="15"/>
  <c r="J55" i="15" s="1"/>
  <c r="J58" i="15" s="1"/>
  <c r="Q51" i="15" s="1"/>
  <c r="J53" i="15"/>
  <c r="E101" i="3"/>
  <c r="E56" i="3"/>
  <c r="E130" i="3"/>
  <c r="E365" i="3"/>
  <c r="E301" i="3"/>
  <c r="E406" i="3"/>
  <c r="E19" i="3"/>
  <c r="E516" i="3"/>
  <c r="E567" i="3"/>
  <c r="AB23" i="36"/>
  <c r="U23" i="36"/>
  <c r="AC36" i="35"/>
  <c r="W36" i="35"/>
  <c r="AA9" i="35"/>
  <c r="S9" i="35"/>
  <c r="G5" i="3"/>
  <c r="B3" i="3" s="1"/>
  <c r="E13" i="3"/>
  <c r="W12" i="21"/>
  <c r="AC12" i="21"/>
  <c r="E12" i="6"/>
  <c r="E10" i="6"/>
  <c r="E13" i="6"/>
  <c r="E14" i="6"/>
  <c r="E15" i="6"/>
  <c r="E11" i="6"/>
  <c r="F7" i="35"/>
  <c r="Q49" i="59"/>
  <c r="F48" i="59"/>
  <c r="O49" i="59"/>
  <c r="C48" i="59"/>
  <c r="D49" i="59"/>
  <c r="C34" i="59"/>
  <c r="D33" i="59"/>
  <c r="E81" i="3"/>
  <c r="E75" i="3"/>
  <c r="E65" i="3"/>
  <c r="P49" i="59"/>
  <c r="E48" i="59"/>
  <c r="AZ26" i="3"/>
  <c r="AZ5" i="3" s="1"/>
  <c r="BA5" i="3"/>
  <c r="E27" i="6" s="1"/>
  <c r="E25" i="3"/>
  <c r="E173" i="3"/>
  <c r="E292" i="3"/>
  <c r="E277" i="3"/>
  <c r="E246" i="3"/>
  <c r="E244" i="3"/>
  <c r="E217" i="3"/>
  <c r="E212" i="3"/>
  <c r="E386" i="3"/>
  <c r="E341" i="3"/>
  <c r="E474" i="3"/>
  <c r="M43" i="9"/>
  <c r="D18" i="9"/>
  <c r="M44" i="9" s="1"/>
  <c r="E487" i="3"/>
  <c r="E504" i="3"/>
  <c r="E525" i="3"/>
  <c r="E563" i="3"/>
  <c r="AA25" i="37"/>
  <c r="S25" i="37"/>
  <c r="AA23" i="36"/>
  <c r="S23" i="36"/>
  <c r="W9" i="35"/>
  <c r="AC9" i="35"/>
  <c r="S37" i="21"/>
  <c r="AA37" i="21"/>
  <c r="W37" i="21"/>
  <c r="AC37" i="21"/>
  <c r="U37" i="21"/>
  <c r="AB37" i="21"/>
  <c r="AB23" i="21"/>
  <c r="U23" i="21"/>
  <c r="AC23" i="21"/>
  <c r="AA23" i="21"/>
  <c r="S23" i="21"/>
  <c r="AB17" i="21"/>
  <c r="U17" i="21"/>
  <c r="AC15" i="21"/>
  <c r="W15" i="21"/>
  <c r="AB15" i="21"/>
  <c r="T48" i="21" s="1"/>
  <c r="G48" i="21" s="1"/>
  <c r="U15" i="21"/>
  <c r="R48" i="21"/>
  <c r="E48" i="21" s="1"/>
  <c r="AA23" i="39"/>
  <c r="S23" i="39"/>
  <c r="AB23" i="39"/>
  <c r="U23" i="39"/>
  <c r="AC23" i="39"/>
  <c r="W23" i="39"/>
  <c r="AB27" i="39"/>
  <c r="U27" i="39"/>
  <c r="AB29" i="39"/>
  <c r="AA29" i="39"/>
  <c r="S29" i="39"/>
  <c r="C21" i="12"/>
  <c r="D109" i="46"/>
  <c r="H109" i="46"/>
  <c r="D104" i="46"/>
  <c r="D22" i="46"/>
  <c r="K19" i="6"/>
  <c r="S6" i="1" s="1"/>
  <c r="S16" i="1" s="1"/>
  <c r="E30" i="6"/>
  <c r="E31" i="6" s="1"/>
  <c r="C106" i="46"/>
  <c r="C105" i="46"/>
  <c r="C102" i="46"/>
  <c r="C104" i="46"/>
  <c r="C107" i="46"/>
  <c r="C109" i="46"/>
  <c r="C103" i="46"/>
  <c r="J104" i="46"/>
  <c r="J103" i="46"/>
  <c r="J105" i="46"/>
  <c r="J109" i="46"/>
  <c r="J102" i="46"/>
  <c r="J107" i="46"/>
  <c r="J106" i="46"/>
  <c r="N109" i="46"/>
  <c r="N105" i="46"/>
  <c r="N102" i="46"/>
  <c r="N107" i="46"/>
  <c r="N103" i="46"/>
  <c r="N104" i="46"/>
  <c r="N106" i="46"/>
  <c r="D102" i="46"/>
  <c r="D106" i="46"/>
  <c r="D107" i="46"/>
  <c r="D105" i="46"/>
  <c r="H104" i="46"/>
  <c r="H107" i="46"/>
  <c r="H102" i="46"/>
  <c r="H103" i="46"/>
  <c r="L47" i="44"/>
  <c r="C48" i="15"/>
  <c r="G104" i="46"/>
  <c r="G102" i="46"/>
  <c r="G107" i="46"/>
  <c r="G106" i="46"/>
  <c r="G103" i="46"/>
  <c r="G109" i="46"/>
  <c r="G105" i="46"/>
  <c r="D118" i="46"/>
  <c r="E118" i="46" s="1"/>
  <c r="F118" i="46" s="1"/>
  <c r="B117" i="46"/>
  <c r="C117" i="46" s="1"/>
  <c r="I117" i="46"/>
  <c r="J117" i="46" s="1"/>
  <c r="K117" i="46" s="1"/>
  <c r="L117" i="46" s="1"/>
  <c r="M117"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D115" i="46"/>
  <c r="E115" i="46" s="1"/>
  <c r="F115" i="46" s="1"/>
  <c r="G115" i="46" s="1"/>
  <c r="H115" i="46" s="1"/>
  <c r="B115" i="46"/>
  <c r="B116" i="46"/>
  <c r="C116" i="46" s="1"/>
  <c r="G118" i="46"/>
  <c r="H118" i="46" s="1"/>
  <c r="D117" i="46"/>
  <c r="E117" i="46" s="1"/>
  <c r="F117" i="46" s="1"/>
  <c r="G117" i="46" s="1"/>
  <c r="H117" i="46" s="1"/>
  <c r="B118" i="46"/>
  <c r="C118" i="46" s="1"/>
  <c r="L106" i="46"/>
  <c r="L107" i="46"/>
  <c r="L109" i="46"/>
  <c r="L103" i="46"/>
  <c r="L102" i="46"/>
  <c r="L105" i="46"/>
  <c r="L104" i="46"/>
  <c r="E103" i="46"/>
  <c r="E107" i="46"/>
  <c r="E102" i="46"/>
  <c r="E104" i="46"/>
  <c r="E106" i="46"/>
  <c r="E105" i="46"/>
  <c r="E109" i="46"/>
  <c r="K109" i="46"/>
  <c r="K104" i="46"/>
  <c r="K105" i="46"/>
  <c r="K103" i="46"/>
  <c r="K107" i="46"/>
  <c r="K102" i="46"/>
  <c r="K106" i="46"/>
  <c r="F109" i="46"/>
  <c r="F107" i="46"/>
  <c r="F105" i="46"/>
  <c r="F102" i="46"/>
  <c r="F106" i="46"/>
  <c r="F103" i="46"/>
  <c r="F104" i="46"/>
  <c r="I102" i="46"/>
  <c r="I105" i="46"/>
  <c r="I103" i="46"/>
  <c r="I104" i="46"/>
  <c r="I106" i="46"/>
  <c r="M104" i="46"/>
  <c r="M102" i="46"/>
  <c r="M106" i="46"/>
  <c r="M107" i="46"/>
  <c r="M109" i="46"/>
  <c r="J7" i="36"/>
  <c r="W7" i="36" s="1"/>
  <c r="E70" i="39"/>
  <c r="D72" i="39"/>
  <c r="F1" i="15"/>
  <c r="Q53" i="15"/>
  <c r="O13" i="1"/>
  <c r="P13" i="1" s="1"/>
  <c r="AB9" i="36"/>
  <c r="U9" i="36"/>
  <c r="U9" i="33"/>
  <c r="AB9" i="33"/>
  <c r="U7" i="34"/>
  <c r="AB7" i="34"/>
  <c r="T49" i="34" s="1"/>
  <c r="G49" i="34" s="1"/>
  <c r="AB7" i="35"/>
  <c r="T38" i="35" s="1"/>
  <c r="G38" i="35" s="1"/>
  <c r="U7" i="35"/>
  <c r="AC7" i="36"/>
  <c r="V36" i="36" s="1"/>
  <c r="I36" i="36" s="1"/>
  <c r="AB7" i="37"/>
  <c r="T42" i="37" s="1"/>
  <c r="G42" i="37" s="1"/>
  <c r="U7" i="37"/>
  <c r="S7" i="34"/>
  <c r="AA7" i="34"/>
  <c r="R49" i="34" s="1"/>
  <c r="W7" i="37"/>
  <c r="AC7" i="37"/>
  <c r="V42" i="37" s="1"/>
  <c r="I42" i="37" s="1"/>
  <c r="G67" i="40"/>
  <c r="H65" i="40"/>
  <c r="AA7" i="35"/>
  <c r="R38" i="35" s="1"/>
  <c r="S7" i="35"/>
  <c r="E52" i="33"/>
  <c r="F52" i="33" s="1"/>
  <c r="E53" i="33"/>
  <c r="F53" i="33" s="1"/>
  <c r="Q62" i="15"/>
  <c r="Q75" i="15"/>
  <c r="Q62" i="44"/>
  <c r="Q75" i="44"/>
  <c r="J8" i="44"/>
  <c r="D10" i="59"/>
  <c r="T10" i="59"/>
  <c r="C9" i="59"/>
  <c r="Q54" i="44"/>
  <c r="F1" i="44"/>
  <c r="U10" i="59"/>
  <c r="E9" i="59"/>
  <c r="E8" i="59" s="1"/>
  <c r="D16" i="59"/>
  <c r="C17" i="59"/>
  <c r="M12" i="1"/>
  <c r="H16" i="1"/>
  <c r="K16" i="1"/>
  <c r="U24" i="36"/>
  <c r="AB24" i="36"/>
  <c r="AA9" i="36"/>
  <c r="S9" i="36"/>
  <c r="AA9" i="33"/>
  <c r="S9" i="33"/>
  <c r="W7" i="34"/>
  <c r="AC7" i="34"/>
  <c r="V49" i="34" s="1"/>
  <c r="I49" i="34" s="1"/>
  <c r="AC7" i="35"/>
  <c r="V38" i="35" s="1"/>
  <c r="I38" i="35" s="1"/>
  <c r="W7" i="35"/>
  <c r="AB7" i="36"/>
  <c r="T36" i="36" s="1"/>
  <c r="G36" i="36" s="1"/>
  <c r="U7" i="36"/>
  <c r="Q16" i="1"/>
  <c r="AA7" i="37"/>
  <c r="R42" i="37" s="1"/>
  <c r="S7" i="37"/>
  <c r="O14" i="1"/>
  <c r="P14" i="1" s="1"/>
  <c r="T7" i="1"/>
  <c r="T9" i="1"/>
  <c r="T11" i="1"/>
  <c r="T12" i="1"/>
  <c r="T13" i="1"/>
  <c r="T10" i="1"/>
  <c r="T6" i="1"/>
  <c r="T8" i="1"/>
  <c r="F7" i="36"/>
  <c r="G16" i="1"/>
  <c r="AP16" i="1"/>
  <c r="F22" i="11" s="1"/>
  <c r="C49" i="33"/>
  <c r="B3" i="33" s="1"/>
  <c r="B2" i="33" s="1"/>
  <c r="C48" i="33"/>
  <c r="Q74" i="15"/>
  <c r="Q61" i="15"/>
  <c r="Q63" i="44"/>
  <c r="Q76" i="44"/>
  <c r="C17" i="15"/>
  <c r="F58" i="15"/>
  <c r="J4" i="65"/>
  <c r="J3" i="65"/>
  <c r="J5" i="65"/>
  <c r="J7" i="65"/>
  <c r="I4" i="65"/>
  <c r="N6" i="65"/>
  <c r="C14" i="15"/>
  <c r="C16" i="15"/>
  <c r="M17" i="15"/>
  <c r="I5" i="65"/>
  <c r="E2" i="65" s="1"/>
  <c r="I3" i="65"/>
  <c r="I6" i="65"/>
  <c r="J6" i="65"/>
  <c r="I7" i="65"/>
  <c r="N5" i="65"/>
  <c r="N4" i="65"/>
  <c r="C16" i="44"/>
  <c r="C4" i="65" l="1"/>
  <c r="B39" i="1" s="1"/>
  <c r="B40" i="1"/>
  <c r="E20" i="46"/>
  <c r="J1" i="65"/>
  <c r="G52" i="21"/>
  <c r="H52" i="21" s="1"/>
  <c r="AY6" i="3"/>
  <c r="E3" i="6"/>
  <c r="K24" i="6"/>
  <c r="M24" i="6" s="1"/>
  <c r="I24" i="6" s="1"/>
  <c r="S24" i="6" s="1"/>
  <c r="K23" i="6"/>
  <c r="M23" i="6" s="1"/>
  <c r="I23" i="6" s="1"/>
  <c r="S23" i="6" s="1"/>
  <c r="K21" i="6"/>
  <c r="M21" i="6" s="1"/>
  <c r="I21" i="6" s="1"/>
  <c r="S21" i="6" s="1"/>
  <c r="K20" i="6"/>
  <c r="M20" i="6" s="1"/>
  <c r="I20" i="6" s="1"/>
  <c r="S20" i="6" s="1"/>
  <c r="K26" i="6"/>
  <c r="M26" i="6" s="1"/>
  <c r="I26" i="6" s="1"/>
  <c r="S26" i="6" s="1"/>
  <c r="K22" i="6"/>
  <c r="M22" i="6" s="1"/>
  <c r="I22" i="6" s="1"/>
  <c r="S22" i="6" s="1"/>
  <c r="K25" i="6"/>
  <c r="M25" i="6" s="1"/>
  <c r="I25" i="6" s="1"/>
  <c r="S25" i="6" s="1"/>
  <c r="P47" i="59"/>
  <c r="P48" i="59"/>
  <c r="E62" i="40"/>
  <c r="E67" i="39"/>
  <c r="E60" i="40"/>
  <c r="E65" i="39"/>
  <c r="E64" i="39"/>
  <c r="E59" i="40"/>
  <c r="E311" i="3"/>
  <c r="E534" i="3"/>
  <c r="E263" i="3"/>
  <c r="E99" i="3"/>
  <c r="E426" i="3"/>
  <c r="J6" i="3"/>
  <c r="E438" i="3"/>
  <c r="E363" i="3"/>
  <c r="E401" i="3"/>
  <c r="E102" i="3"/>
  <c r="U6" i="3"/>
  <c r="E305" i="3"/>
  <c r="E73" i="3"/>
  <c r="E126" i="3"/>
  <c r="E211" i="3"/>
  <c r="Y6" i="3"/>
  <c r="E466" i="3"/>
  <c r="E51" i="3"/>
  <c r="E198" i="3"/>
  <c r="E281" i="3"/>
  <c r="E290" i="3"/>
  <c r="E433" i="3"/>
  <c r="E120" i="3"/>
  <c r="E529" i="3"/>
  <c r="E191" i="3"/>
  <c r="E300" i="3"/>
  <c r="E555" i="3"/>
  <c r="E379" i="3"/>
  <c r="E355" i="3"/>
  <c r="E530" i="3"/>
  <c r="E499" i="3"/>
  <c r="E180" i="3"/>
  <c r="E538" i="3"/>
  <c r="E493" i="3"/>
  <c r="E558" i="3"/>
  <c r="E551" i="3"/>
  <c r="E403" i="3"/>
  <c r="E108" i="3"/>
  <c r="E436" i="3"/>
  <c r="E16" i="3"/>
  <c r="E177" i="3"/>
  <c r="E385" i="3"/>
  <c r="E307" i="3"/>
  <c r="E524" i="3"/>
  <c r="E432" i="3"/>
  <c r="E90" i="3"/>
  <c r="E82" i="3"/>
  <c r="E178" i="3"/>
  <c r="E455" i="3"/>
  <c r="E272" i="3"/>
  <c r="E291" i="3"/>
  <c r="E336" i="3"/>
  <c r="E345" i="3"/>
  <c r="E302" i="3"/>
  <c r="E287" i="3"/>
  <c r="E188" i="3"/>
  <c r="E306" i="3"/>
  <c r="E319" i="3"/>
  <c r="K6" i="3"/>
  <c r="E456" i="3"/>
  <c r="E353" i="3"/>
  <c r="E569" i="3"/>
  <c r="E50" i="3"/>
  <c r="AJ6" i="3"/>
  <c r="E236" i="3"/>
  <c r="E546" i="3"/>
  <c r="E15" i="3"/>
  <c r="E153" i="3"/>
  <c r="E498" i="3"/>
  <c r="E210" i="3"/>
  <c r="E339" i="3"/>
  <c r="E298" i="3"/>
  <c r="E106" i="3"/>
  <c r="E35" i="3"/>
  <c r="E14" i="3"/>
  <c r="E361" i="3"/>
  <c r="E169" i="3"/>
  <c r="E182" i="3"/>
  <c r="E118" i="3"/>
  <c r="E226" i="3"/>
  <c r="E267" i="3"/>
  <c r="E378" i="3"/>
  <c r="E323" i="3"/>
  <c r="E163" i="3"/>
  <c r="E312" i="3"/>
  <c r="E364" i="3"/>
  <c r="E159" i="3"/>
  <c r="E351" i="3"/>
  <c r="E514" i="3"/>
  <c r="E342" i="3"/>
  <c r="E501" i="3"/>
  <c r="AL6" i="3"/>
  <c r="E512" i="3"/>
  <c r="E522" i="3"/>
  <c r="E384" i="3"/>
  <c r="E368" i="3"/>
  <c r="E371" i="3"/>
  <c r="E572" i="3"/>
  <c r="E310" i="3"/>
  <c r="E510" i="3"/>
  <c r="E329" i="3"/>
  <c r="E227" i="3"/>
  <c r="AB6" i="3"/>
  <c r="E26" i="3"/>
  <c r="E488" i="3"/>
  <c r="S6" i="3"/>
  <c r="E322" i="3"/>
  <c r="E71" i="3"/>
  <c r="E511" i="3"/>
  <c r="E137" i="3"/>
  <c r="E17" i="3"/>
  <c r="E240" i="3"/>
  <c r="E377" i="3"/>
  <c r="E18" i="3"/>
  <c r="E382" i="3"/>
  <c r="E358" i="3"/>
  <c r="E484" i="3"/>
  <c r="E509" i="3"/>
  <c r="E326" i="3"/>
  <c r="E20" i="3"/>
  <c r="E356" i="3"/>
  <c r="E564" i="3"/>
  <c r="E481" i="3"/>
  <c r="E186" i="3"/>
  <c r="E60" i="3"/>
  <c r="E48" i="3"/>
  <c r="E79" i="3"/>
  <c r="E527" i="3"/>
  <c r="E248" i="3"/>
  <c r="AR6" i="3"/>
  <c r="E513" i="3"/>
  <c r="E72" i="3"/>
  <c r="E66" i="3"/>
  <c r="E76" i="3"/>
  <c r="E271" i="3"/>
  <c r="E508" i="3"/>
  <c r="E502" i="3"/>
  <c r="E334" i="3"/>
  <c r="E489" i="3"/>
  <c r="E325" i="3"/>
  <c r="E286" i="3"/>
  <c r="E183" i="3"/>
  <c r="E216" i="3"/>
  <c r="E320" i="3"/>
  <c r="E392" i="3"/>
  <c r="E45" i="3"/>
  <c r="E373" i="3"/>
  <c r="E171" i="3"/>
  <c r="E284" i="3"/>
  <c r="E251" i="3"/>
  <c r="E360" i="3"/>
  <c r="E354" i="3"/>
  <c r="E42" i="3"/>
  <c r="T6"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273" i="3"/>
  <c r="E352" i="3"/>
  <c r="E542" i="3"/>
  <c r="E461" i="3"/>
  <c r="E138" i="3"/>
  <c r="E254" i="3"/>
  <c r="E328" i="3"/>
  <c r="E112" i="3"/>
  <c r="E519" i="3"/>
  <c r="E155" i="3"/>
  <c r="E268" i="3"/>
  <c r="E252" i="3"/>
  <c r="E316" i="3"/>
  <c r="E346" i="3"/>
  <c r="E175" i="3"/>
  <c r="E544" i="3"/>
  <c r="E318" i="3"/>
  <c r="E541" i="3"/>
  <c r="E565" i="3"/>
  <c r="E523" i="3"/>
  <c r="E380" i="3"/>
  <c r="E557" i="3"/>
  <c r="E503" i="3"/>
  <c r="E491" i="3"/>
  <c r="E554" i="3"/>
  <c r="E256" i="3"/>
  <c r="E176" i="3"/>
  <c r="E29" i="3"/>
  <c r="E128" i="3"/>
  <c r="E458" i="3"/>
  <c r="E234" i="3"/>
  <c r="E87" i="3"/>
  <c r="E239" i="3"/>
  <c r="AI6" i="3"/>
  <c r="E134" i="3"/>
  <c r="E540" i="3"/>
  <c r="E477" i="3"/>
  <c r="E526" i="3"/>
  <c r="E370" i="3"/>
  <c r="E276" i="3"/>
  <c r="E43" i="3"/>
  <c r="E479" i="3"/>
  <c r="E258" i="3"/>
  <c r="O6" i="3"/>
  <c r="E257" i="3"/>
  <c r="E113" i="3"/>
  <c r="AE6" i="3"/>
  <c r="E500" i="3"/>
  <c r="Q6" i="3"/>
  <c r="E447" i="3"/>
  <c r="E32" i="3"/>
  <c r="E262" i="3"/>
  <c r="E424"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83" i="3"/>
  <c r="E222" i="3"/>
  <c r="E430" i="3"/>
  <c r="E77" i="3"/>
  <c r="E552" i="3"/>
  <c r="E223" i="3"/>
  <c r="E205" i="3"/>
  <c r="E399" i="3"/>
  <c r="E478" i="3"/>
  <c r="E317" i="3"/>
  <c r="E357" i="3"/>
  <c r="E179" i="3"/>
  <c r="AS6" i="3"/>
  <c r="E444" i="3"/>
  <c r="E383" i="3"/>
  <c r="E247" i="3"/>
  <c r="E568" i="3"/>
  <c r="E539" i="3"/>
  <c r="E245" i="3"/>
  <c r="E52" i="3"/>
  <c r="E451" i="3"/>
  <c r="E116" i="3"/>
  <c r="E214" i="3"/>
  <c r="E372" i="3"/>
  <c r="E486" i="3"/>
  <c r="E465" i="3"/>
  <c r="E543" i="3"/>
  <c r="E154" i="3"/>
  <c r="E264" i="3"/>
  <c r="E243" i="3"/>
  <c r="E369" i="3"/>
  <c r="E309" i="3"/>
  <c r="V6" i="3"/>
  <c r="E448" i="3"/>
  <c r="E105" i="3"/>
  <c r="E74" i="3"/>
  <c r="AG6" i="3"/>
  <c r="E121" i="3"/>
  <c r="E505" i="3"/>
  <c r="E224" i="3"/>
  <c r="E419" i="3"/>
  <c r="E123" i="3"/>
  <c r="E86" i="3"/>
  <c r="E476" i="3"/>
  <c r="E283" i="3"/>
  <c r="E23" i="3"/>
  <c r="E5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97" i="3"/>
  <c r="M6" i="3"/>
  <c r="E475" i="3"/>
  <c r="E241" i="3"/>
  <c r="AN6" i="3"/>
  <c r="E41" i="3"/>
  <c r="E280" i="3"/>
  <c r="E471" i="3"/>
  <c r="E59" i="3"/>
  <c r="E418" i="3"/>
  <c r="E270" i="3"/>
  <c r="E408" i="3"/>
  <c r="E464" i="3"/>
  <c r="E92" i="3"/>
  <c r="E157" i="3"/>
  <c r="E238" i="3"/>
  <c r="E209" i="3"/>
  <c r="E414" i="3"/>
  <c r="E161" i="3"/>
  <c r="E44" i="3"/>
  <c r="E450" i="3"/>
  <c r="E202" i="3"/>
  <c r="E324" i="3"/>
  <c r="E314" i="3"/>
  <c r="E228" i="3"/>
  <c r="E150" i="3"/>
  <c r="E559" i="3"/>
  <c r="E362" i="3"/>
  <c r="E40" i="3"/>
  <c r="E331" i="3"/>
  <c r="AF6" i="3"/>
  <c r="E440" i="3"/>
  <c r="E133" i="3"/>
  <c r="E242" i="3"/>
  <c r="E160" i="3"/>
  <c r="E96" i="3"/>
  <c r="E416" i="3"/>
  <c r="E308" i="3"/>
  <c r="E259" i="3"/>
  <c r="E196" i="3"/>
  <c r="E449" i="3"/>
  <c r="E207" i="3"/>
  <c r="E204" i="3"/>
  <c r="E166" i="3"/>
  <c r="E425" i="3"/>
  <c r="E289" i="3"/>
  <c r="E97" i="3"/>
  <c r="E119" i="3"/>
  <c r="E33" i="3"/>
  <c r="E547" i="3"/>
  <c r="E274" i="3"/>
  <c r="E164" i="3"/>
  <c r="E492" i="3"/>
  <c r="E127" i="3"/>
  <c r="E266" i="3"/>
  <c r="E215" i="3"/>
  <c r="I6" i="3"/>
  <c r="E548" i="3"/>
  <c r="Z6" i="3"/>
  <c r="E454" i="3"/>
  <c r="E520" i="3"/>
  <c r="AK6"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472" i="3"/>
  <c r="E124" i="3"/>
  <c r="E388" i="3"/>
  <c r="E146" i="3"/>
  <c r="E434" i="3"/>
  <c r="E57" i="3"/>
  <c r="E441" i="3"/>
  <c r="E367" i="3"/>
  <c r="E415" i="3"/>
  <c r="E80" i="3"/>
  <c r="E28" i="3"/>
  <c r="E141" i="3"/>
  <c r="E168" i="3"/>
  <c r="E34" i="3"/>
  <c r="E407" i="3"/>
  <c r="E550" i="3"/>
  <c r="E136" i="3"/>
  <c r="E85" i="3"/>
  <c r="E332" i="3"/>
  <c r="E139" i="3"/>
  <c r="E445" i="3"/>
  <c r="E556" i="3"/>
  <c r="E288" i="3"/>
  <c r="E255" i="3"/>
  <c r="E393" i="3"/>
  <c r="E417" i="3"/>
  <c r="E88" i="3"/>
  <c r="E145" i="3"/>
  <c r="E480" i="3"/>
  <c r="E279" i="3"/>
  <c r="E220" i="3"/>
  <c r="E347" i="3"/>
  <c r="E517" i="3"/>
  <c r="E400" i="3"/>
  <c r="E453" i="3"/>
  <c r="E58" i="3"/>
  <c r="AQ6" i="3"/>
  <c r="E197" i="3"/>
  <c r="E162" i="3"/>
  <c r="E285" i="3"/>
  <c r="E235" i="3"/>
  <c r="E61" i="3"/>
  <c r="E229" i="3"/>
  <c r="E413" i="3"/>
  <c r="AO6" i="3"/>
  <c r="E411" i="3"/>
  <c r="E395" i="3"/>
  <c r="E250"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561" i="3"/>
  <c r="E68" i="3"/>
  <c r="E192" i="3"/>
  <c r="E135" i="3"/>
  <c r="E443" i="3"/>
  <c r="E156" i="3"/>
  <c r="E265" i="3"/>
  <c r="E381" i="3"/>
  <c r="E194" i="3"/>
  <c r="E49" i="3"/>
  <c r="AM6" i="3"/>
  <c r="E427" i="3"/>
  <c r="E78" i="3"/>
  <c r="E193" i="3"/>
  <c r="E337" i="3"/>
  <c r="E278" i="3"/>
  <c r="E390" i="3"/>
  <c r="E104" i="3"/>
  <c r="E158" i="3"/>
  <c r="E94" i="3"/>
  <c r="E296" i="3"/>
  <c r="E531" i="3"/>
  <c r="E496" i="3"/>
  <c r="E396" i="3"/>
  <c r="E463" i="3"/>
  <c r="E315" i="3"/>
  <c r="E260" i="3"/>
  <c r="E24" i="3"/>
  <c r="E95" i="3"/>
  <c r="J6" i="15"/>
  <c r="D34" i="59"/>
  <c r="T34" i="59"/>
  <c r="O48" i="59"/>
  <c r="D48" i="59"/>
  <c r="O47" i="59"/>
  <c r="Q47" i="59"/>
  <c r="Q48" i="59"/>
  <c r="E63" i="39"/>
  <c r="E58" i="40"/>
  <c r="E66" i="39"/>
  <c r="E61" i="40"/>
  <c r="E16" i="6"/>
  <c r="V48" i="21"/>
  <c r="I48" i="21" s="1"/>
  <c r="I52" i="21" s="1"/>
  <c r="J52" i="21" s="1"/>
  <c r="E52" i="21"/>
  <c r="F52" i="21" s="1"/>
  <c r="E53" i="21"/>
  <c r="R49" i="21"/>
  <c r="T16" i="1"/>
  <c r="M19" i="6"/>
  <c r="K27" i="6"/>
  <c r="C115" i="46"/>
  <c r="D113" i="46" s="1"/>
  <c r="S6" i="46"/>
  <c r="S3" i="46"/>
  <c r="S4" i="46"/>
  <c r="S5" i="46"/>
  <c r="S2" i="46"/>
  <c r="S7" i="46"/>
  <c r="F70" i="39"/>
  <c r="E72" i="39"/>
  <c r="C20" i="44"/>
  <c r="C17" i="44"/>
  <c r="C18" i="15"/>
  <c r="C15" i="15"/>
  <c r="H12" i="39"/>
  <c r="F12" i="39"/>
  <c r="H12" i="40"/>
  <c r="F12" i="40"/>
  <c r="J12" i="39"/>
  <c r="J12" i="40"/>
  <c r="E42" i="37"/>
  <c r="R43" i="37"/>
  <c r="I53" i="34"/>
  <c r="J53" i="34" s="1"/>
  <c r="O12" i="1"/>
  <c r="O16" i="1" s="1"/>
  <c r="M16" i="1"/>
  <c r="R39" i="35"/>
  <c r="E38" i="35"/>
  <c r="I46" i="37"/>
  <c r="J46" i="37" s="1"/>
  <c r="I47" i="37"/>
  <c r="J47" i="37" s="1"/>
  <c r="R50" i="34"/>
  <c r="E49" i="34"/>
  <c r="I40" i="36"/>
  <c r="J40" i="36" s="1"/>
  <c r="G54" i="34"/>
  <c r="H54" i="34" s="1"/>
  <c r="G53" i="34"/>
  <c r="H53" i="34"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A7" i="36"/>
  <c r="R36" i="36" s="1"/>
  <c r="S7" i="36"/>
  <c r="F18" i="11"/>
  <c r="C18" i="11" s="1"/>
  <c r="F24" i="43"/>
  <c r="C26" i="43" s="1"/>
  <c r="D24" i="43" s="1"/>
  <c r="G40" i="36"/>
  <c r="H40" i="36" s="1"/>
  <c r="G41" i="36"/>
  <c r="H41" i="36" s="1"/>
  <c r="I42" i="35"/>
  <c r="J42" i="35" s="1"/>
  <c r="I43" i="35"/>
  <c r="J43" i="35" s="1"/>
  <c r="C18" i="59"/>
  <c r="D17" i="59"/>
  <c r="C8" i="59"/>
  <c r="D9" i="59"/>
  <c r="I65" i="40"/>
  <c r="H67" i="40"/>
  <c r="G47" i="37"/>
  <c r="H47" i="37" s="1"/>
  <c r="G46" i="37"/>
  <c r="H46" i="37" s="1"/>
  <c r="G42" i="35"/>
  <c r="H42" i="35" s="1"/>
  <c r="G43" i="35"/>
  <c r="H43" i="35" s="1"/>
  <c r="C21" i="4"/>
  <c r="O5" i="54" s="1"/>
  <c r="B45" i="63" s="1"/>
  <c r="D10" i="11"/>
  <c r="D46" i="9"/>
  <c r="D16" i="43"/>
  <c r="C16" i="43" s="1"/>
  <c r="E6" i="6"/>
  <c r="L38" i="9"/>
  <c r="B14" i="66" s="1"/>
  <c r="B1" i="66" s="1"/>
  <c r="D44" i="9"/>
  <c r="D45" i="9"/>
  <c r="F21" i="43"/>
  <c r="C23" i="43" s="1"/>
  <c r="D21" i="43" s="1"/>
  <c r="F24" i="15"/>
  <c r="C24" i="15" s="1"/>
  <c r="F26" i="44"/>
  <c r="C26" i="44" s="1"/>
  <c r="F26" i="12"/>
  <c r="C27" i="12" s="1"/>
  <c r="D26" i="12" s="1"/>
  <c r="C32" i="12" s="1"/>
  <c r="D30" i="12" s="1"/>
  <c r="E3" i="65"/>
  <c r="AE6" i="1"/>
  <c r="F33" i="12"/>
  <c r="D16" i="12"/>
  <c r="F17" i="11" l="1"/>
  <c r="C17" i="11" s="1"/>
  <c r="C19" i="11" s="1"/>
  <c r="C20" i="11" s="1"/>
  <c r="C21" i="11" s="1"/>
  <c r="C22" i="11" s="1"/>
  <c r="C23" i="11" s="1"/>
  <c r="B2" i="11" s="1"/>
  <c r="H6" i="3"/>
  <c r="E6" i="3" s="1"/>
  <c r="G53" i="21"/>
  <c r="H53" i="21" s="1"/>
  <c r="H40" i="39"/>
  <c r="F40" i="39"/>
  <c r="J40" i="39"/>
  <c r="AC6" i="3"/>
  <c r="I53" i="21"/>
  <c r="J53" i="21" s="1"/>
  <c r="N17" i="46"/>
  <c r="M17" i="46"/>
  <c r="P17" i="46"/>
  <c r="O17" i="46"/>
  <c r="F13" i="44"/>
  <c r="C12" i="44" s="1"/>
  <c r="C7" i="44" s="1"/>
  <c r="M13" i="44"/>
  <c r="J12" i="44" s="1"/>
  <c r="J7" i="44" s="1"/>
  <c r="F11" i="15"/>
  <c r="M11" i="15"/>
  <c r="J10" i="15" s="1"/>
  <c r="J5" i="15" s="1"/>
  <c r="F53" i="21"/>
  <c r="C48" i="21"/>
  <c r="C49" i="21"/>
  <c r="B3" i="21" s="1"/>
  <c r="C34" i="12"/>
  <c r="D33" i="12" s="1"/>
  <c r="P12" i="1"/>
  <c r="P16" i="1" s="1"/>
  <c r="I19" i="6"/>
  <c r="H19" i="6" s="1"/>
  <c r="M27" i="6"/>
  <c r="G70" i="39"/>
  <c r="F72" i="39"/>
  <c r="C19" i="15"/>
  <c r="C21" i="44"/>
  <c r="C20" i="15"/>
  <c r="C26" i="15" s="1"/>
  <c r="C22" i="44"/>
  <c r="C25" i="44" s="1"/>
  <c r="C8" i="66"/>
  <c r="C6" i="66"/>
  <c r="C7" i="66"/>
  <c r="D19" i="12"/>
  <c r="C19" i="12" s="1"/>
  <c r="C16" i="12"/>
  <c r="I67" i="40"/>
  <c r="J65" i="40"/>
  <c r="T18" i="59"/>
  <c r="D18" i="59"/>
  <c r="D13" i="11"/>
  <c r="C13" i="11" s="1"/>
  <c r="E36" i="36"/>
  <c r="R37" i="36"/>
  <c r="E63" i="40"/>
  <c r="K38" i="9"/>
  <c r="C14" i="66" s="1"/>
  <c r="B2" i="66" s="1"/>
  <c r="D24" i="6"/>
  <c r="D26" i="6"/>
  <c r="D22" i="6"/>
  <c r="D11" i="6"/>
  <c r="D12" i="6"/>
  <c r="H20" i="6"/>
  <c r="H25" i="6"/>
  <c r="D9" i="6"/>
  <c r="D5" i="6"/>
  <c r="D29" i="6"/>
  <c r="H22" i="6"/>
  <c r="D15" i="6"/>
  <c r="H26" i="6"/>
  <c r="E44" i="9"/>
  <c r="F46" i="9"/>
  <c r="E68" i="39"/>
  <c r="D19" i="6"/>
  <c r="D25" i="6"/>
  <c r="D13" i="6"/>
  <c r="H24" i="6"/>
  <c r="D23" i="6"/>
  <c r="D28" i="6"/>
  <c r="D30" i="6" s="1"/>
  <c r="D8" i="6"/>
  <c r="C22" i="4"/>
  <c r="D21" i="6"/>
  <c r="D10" i="6"/>
  <c r="H21" i="6"/>
  <c r="D6" i="6"/>
  <c r="D14" i="6"/>
  <c r="D20" i="6"/>
  <c r="R20" i="6" s="1"/>
  <c r="H23" i="6"/>
  <c r="F44" i="9"/>
  <c r="E46" i="9"/>
  <c r="E45" i="9"/>
  <c r="F45" i="9"/>
  <c r="C50" i="34"/>
  <c r="B3" i="34" s="1"/>
  <c r="B2" i="34" s="1"/>
  <c r="C49" i="34"/>
  <c r="E43" i="35"/>
  <c r="F43" i="35" s="1"/>
  <c r="E42" i="35"/>
  <c r="F42" i="35" s="1"/>
  <c r="J20" i="44"/>
  <c r="J26" i="44"/>
  <c r="J28" i="44"/>
  <c r="J31" i="44" s="1"/>
  <c r="C42" i="37"/>
  <c r="C43" i="37"/>
  <c r="B3" i="37" s="1"/>
  <c r="B2" i="37" s="1"/>
  <c r="W12" i="40"/>
  <c r="AC12" i="40"/>
  <c r="AA12" i="40"/>
  <c r="S12" i="40"/>
  <c r="AA12" i="39"/>
  <c r="S12" i="39"/>
  <c r="D8" i="59"/>
  <c r="M20" i="46"/>
  <c r="C19" i="46" s="1"/>
  <c r="E54" i="34"/>
  <c r="F54" i="34" s="1"/>
  <c r="E53" i="34"/>
  <c r="F53" i="34" s="1"/>
  <c r="C38" i="35"/>
  <c r="C39" i="35"/>
  <c r="B3" i="35" s="1"/>
  <c r="B2" i="35" s="1"/>
  <c r="L16" i="1"/>
  <c r="N16" i="1"/>
  <c r="C29" i="43" s="1"/>
  <c r="C13" i="43"/>
  <c r="I54" i="34"/>
  <c r="J54" i="34" s="1"/>
  <c r="E46" i="37"/>
  <c r="F46" i="37" s="1"/>
  <c r="E47" i="37"/>
  <c r="F47" i="37" s="1"/>
  <c r="AC12" i="39"/>
  <c r="W12" i="39"/>
  <c r="AB12" i="40"/>
  <c r="U12" i="40"/>
  <c r="U12" i="39"/>
  <c r="AB12" i="39"/>
  <c r="D22" i="12"/>
  <c r="C13" i="12"/>
  <c r="C10" i="15" l="1"/>
  <c r="C5" i="15" s="1"/>
  <c r="C52" i="15"/>
  <c r="C47" i="15" s="1"/>
  <c r="C34" i="44"/>
  <c r="C40" i="44"/>
  <c r="AA40" i="39"/>
  <c r="S40" i="39"/>
  <c r="J18" i="15"/>
  <c r="J26" i="15"/>
  <c r="J29" i="15" s="1"/>
  <c r="J24" i="15"/>
  <c r="AC40" i="39"/>
  <c r="W40" i="39"/>
  <c r="AB40" i="39"/>
  <c r="U40" i="39"/>
  <c r="B2" i="21"/>
  <c r="C10" i="12" s="1"/>
  <c r="C6" i="12" s="1"/>
  <c r="C8" i="12"/>
  <c r="C22" i="12"/>
  <c r="C20" i="12" s="1"/>
  <c r="C17" i="12"/>
  <c r="C14" i="12"/>
  <c r="H27" i="6"/>
  <c r="D16" i="6"/>
  <c r="R25" i="6"/>
  <c r="S19" i="6"/>
  <c r="S27" i="6" s="1"/>
  <c r="I27" i="6"/>
  <c r="C23" i="15"/>
  <c r="C29" i="15" s="1"/>
  <c r="C28" i="44"/>
  <c r="C31" i="44" s="1"/>
  <c r="H70" i="39"/>
  <c r="G72" i="39"/>
  <c r="B3" i="11"/>
  <c r="B4" i="11"/>
  <c r="B5" i="11"/>
  <c r="C14" i="43"/>
  <c r="C17" i="43"/>
  <c r="Q49" i="44"/>
  <c r="Q55" i="44" s="1"/>
  <c r="Q58" i="44"/>
  <c r="Q67" i="44"/>
  <c r="A6" i="51"/>
  <c r="B7" i="63" s="1"/>
  <c r="A20" i="64"/>
  <c r="A20" i="51"/>
  <c r="B15" i="63" s="1"/>
  <c r="N5" i="54"/>
  <c r="B43" i="63" s="1"/>
  <c r="A6" i="64"/>
  <c r="R22" i="6"/>
  <c r="R24" i="6"/>
  <c r="E40" i="36"/>
  <c r="F40" i="36" s="1"/>
  <c r="E41" i="36"/>
  <c r="F41" i="36" s="1"/>
  <c r="I41" i="36"/>
  <c r="J41" i="36" s="1"/>
  <c r="C35" i="46"/>
  <c r="C36" i="46"/>
  <c r="C34" i="46"/>
  <c r="C33" i="46"/>
  <c r="T4" i="46"/>
  <c r="V4" i="46" s="1"/>
  <c r="T13" i="46"/>
  <c r="V13" i="46" s="1"/>
  <c r="T2" i="46"/>
  <c r="V2" i="46" s="1"/>
  <c r="T7" i="46"/>
  <c r="V7" i="46" s="1"/>
  <c r="C39" i="46"/>
  <c r="E39" i="46" s="1"/>
  <c r="T8" i="46"/>
  <c r="V8" i="46" s="1"/>
  <c r="T12" i="46"/>
  <c r="V12" i="46" s="1"/>
  <c r="T16" i="46"/>
  <c r="V16" i="46" s="1"/>
  <c r="T11" i="46"/>
  <c r="V11" i="46" s="1"/>
  <c r="T3" i="46"/>
  <c r="V3" i="46" s="1"/>
  <c r="T5" i="46"/>
  <c r="V5" i="46" s="1"/>
  <c r="C37" i="46"/>
  <c r="C29" i="46"/>
  <c r="C38" i="46"/>
  <c r="T6" i="46"/>
  <c r="V6" i="46" s="1"/>
  <c r="T10" i="46"/>
  <c r="V10" i="46" s="1"/>
  <c r="T14" i="46"/>
  <c r="V14" i="46" s="1"/>
  <c r="T9" i="46"/>
  <c r="V9" i="46" s="1"/>
  <c r="T15" i="46"/>
  <c r="V15" i="46" s="1"/>
  <c r="R21" i="6"/>
  <c r="R23" i="6"/>
  <c r="R19" i="6"/>
  <c r="D27" i="6"/>
  <c r="D31" i="6" s="1"/>
  <c r="R26" i="6"/>
  <c r="D6" i="66"/>
  <c r="D8" i="66"/>
  <c r="D7" i="66"/>
  <c r="C37" i="36"/>
  <c r="B3" i="36" s="1"/>
  <c r="B2" i="36" s="1"/>
  <c r="C36" i="36"/>
  <c r="K65" i="40"/>
  <c r="J67" i="40"/>
  <c r="L52" i="44"/>
  <c r="Q69" i="44" l="1"/>
  <c r="L58" i="44"/>
  <c r="L61" i="44" s="1"/>
  <c r="C59" i="15"/>
  <c r="C65" i="15"/>
  <c r="C32" i="15"/>
  <c r="C38" i="15"/>
  <c r="C24" i="12"/>
  <c r="C29" i="12"/>
  <c r="C18" i="12"/>
  <c r="C23" i="12" s="1"/>
  <c r="C36" i="15"/>
  <c r="C56" i="15"/>
  <c r="C60" i="15" s="1"/>
  <c r="C58" i="15" s="1"/>
  <c r="J59" i="15"/>
  <c r="J60" i="15" s="1"/>
  <c r="L46" i="15" s="1"/>
  <c r="C13" i="15"/>
  <c r="C37" i="15" s="1"/>
  <c r="J14" i="15"/>
  <c r="J22" i="15" s="1"/>
  <c r="Q50" i="15"/>
  <c r="C33" i="15"/>
  <c r="J19" i="15"/>
  <c r="J17" i="15" s="1"/>
  <c r="R27" i="6"/>
  <c r="R6" i="1"/>
  <c r="R16" i="1" s="1"/>
  <c r="C15" i="44"/>
  <c r="C39" i="44" s="1"/>
  <c r="J21" i="44"/>
  <c r="J19" i="44" s="1"/>
  <c r="Q51" i="44"/>
  <c r="C35" i="44"/>
  <c r="C33" i="44" s="1"/>
  <c r="J16" i="44"/>
  <c r="J24" i="44" s="1"/>
  <c r="C38" i="44"/>
  <c r="H72" i="39"/>
  <c r="I70" i="39"/>
  <c r="C18" i="43"/>
  <c r="C19" i="43" s="1"/>
  <c r="C22" i="43" s="1"/>
  <c r="C21" i="43" s="1"/>
  <c r="I6" i="6"/>
  <c r="I5" i="6"/>
  <c r="G38" i="46"/>
  <c r="I38" i="46" s="1"/>
  <c r="E38" i="46"/>
  <c r="E37" i="46"/>
  <c r="G37" i="46"/>
  <c r="I37" i="46" s="1"/>
  <c r="G33" i="46"/>
  <c r="I33" i="46" s="1"/>
  <c r="E33" i="46"/>
  <c r="G36" i="46"/>
  <c r="I36" i="46" s="1"/>
  <c r="E36" i="46"/>
  <c r="C63" i="15"/>
  <c r="K67" i="40"/>
  <c r="L65" i="40"/>
  <c r="E29" i="46"/>
  <c r="C30" i="46"/>
  <c r="E30" i="46" s="1"/>
  <c r="E34" i="46"/>
  <c r="G34" i="46"/>
  <c r="I34" i="46" s="1"/>
  <c r="E35" i="46"/>
  <c r="G35" i="46"/>
  <c r="I35" i="46" s="1"/>
  <c r="F7" i="67"/>
  <c r="C31" i="15" l="1"/>
  <c r="Q68" i="44"/>
  <c r="Q77" i="44" s="1"/>
  <c r="Q59" i="44"/>
  <c r="Q64" i="44" s="1"/>
  <c r="C28" i="12"/>
  <c r="C26" i="12" s="1"/>
  <c r="C31" i="12" s="1"/>
  <c r="C30" i="12" s="1"/>
  <c r="Q49" i="15"/>
  <c r="J35" i="15"/>
  <c r="C35" i="12"/>
  <c r="C33" i="12" s="1"/>
  <c r="C55" i="15"/>
  <c r="C64" i="15" s="1"/>
  <c r="C57" i="15" s="1"/>
  <c r="C66" i="15" s="1"/>
  <c r="C67" i="15" s="1"/>
  <c r="C30" i="15"/>
  <c r="C39" i="15" s="1"/>
  <c r="C40" i="15" s="1"/>
  <c r="Q71" i="15"/>
  <c r="J13" i="15"/>
  <c r="J23" i="15" s="1"/>
  <c r="J16" i="15" s="1"/>
  <c r="J25" i="15" s="1"/>
  <c r="Q72" i="44"/>
  <c r="J15" i="44"/>
  <c r="J25" i="44" s="1"/>
  <c r="J18" i="44" s="1"/>
  <c r="J27" i="44" s="1"/>
  <c r="C43" i="44"/>
  <c r="C32" i="44"/>
  <c r="C42" i="44" s="1"/>
  <c r="C25" i="43"/>
  <c r="C24" i="43" s="1"/>
  <c r="C28" i="43" s="1"/>
  <c r="C30" i="43" s="1"/>
  <c r="C32" i="43" s="1"/>
  <c r="B2" i="43" s="1"/>
  <c r="J70" i="39"/>
  <c r="I72" i="39"/>
  <c r="E4" i="67"/>
  <c r="C27" i="46"/>
  <c r="L67" i="40"/>
  <c r="M65" i="40"/>
  <c r="C26" i="46"/>
  <c r="L51" i="15"/>
  <c r="E7" i="67"/>
  <c r="C36" i="12" l="1"/>
  <c r="B2" i="12" s="1"/>
  <c r="Q70" i="15"/>
  <c r="Q69" i="15" s="1"/>
  <c r="J39" i="15"/>
  <c r="J40" i="15" s="1"/>
  <c r="C44" i="44"/>
  <c r="C45" i="44" s="1"/>
  <c r="B2" i="44" s="1"/>
  <c r="B4" i="44" s="1"/>
  <c r="Q71" i="44"/>
  <c r="Q70" i="44" s="1"/>
  <c r="B4" i="43"/>
  <c r="B3" i="43"/>
  <c r="B5" i="43"/>
  <c r="K70" i="39"/>
  <c r="J72" i="39"/>
  <c r="E3" i="67"/>
  <c r="Q68" i="15"/>
  <c r="L57" i="15"/>
  <c r="L60" i="15" s="1"/>
  <c r="M67" i="40"/>
  <c r="J9" i="40" s="1"/>
  <c r="N65" i="40"/>
  <c r="N67" i="40" s="1"/>
  <c r="Q48" i="15"/>
  <c r="Q54" i="15" s="1"/>
  <c r="Q66" i="15"/>
  <c r="C43" i="15"/>
  <c r="Q57" i="15"/>
  <c r="B2" i="15"/>
  <c r="B3" i="15" s="1"/>
  <c r="J42" i="15"/>
  <c r="J43" i="15" s="1"/>
  <c r="B2" i="46"/>
  <c r="C70" i="15"/>
  <c r="C46" i="15"/>
  <c r="B7" i="67"/>
  <c r="D19" i="9"/>
  <c r="B3" i="12"/>
  <c r="B5" i="12"/>
  <c r="B4" i="12"/>
  <c r="L44" i="9" l="1"/>
  <c r="B3" i="44"/>
  <c r="B5" i="44"/>
  <c r="K72" i="39"/>
  <c r="L70" i="39"/>
  <c r="B2" i="67"/>
  <c r="B3" i="46"/>
  <c r="D4" i="46"/>
  <c r="B4" i="46"/>
  <c r="AC9" i="40"/>
  <c r="V44" i="40" s="1"/>
  <c r="I44" i="40" s="1"/>
  <c r="W9" i="40"/>
  <c r="F9" i="40"/>
  <c r="H9" i="40"/>
  <c r="Q58" i="15"/>
  <c r="Q63" i="15" s="1"/>
  <c r="Q67" i="15"/>
  <c r="Q76" i="15" s="1"/>
  <c r="D20" i="9"/>
  <c r="D21" i="9"/>
  <c r="M70" i="39" l="1"/>
  <c r="L72" i="39"/>
  <c r="I48" i="40"/>
  <c r="J48" i="40" s="1"/>
  <c r="B3" i="67"/>
  <c r="B4" i="67"/>
  <c r="S9" i="40"/>
  <c r="AA9" i="40"/>
  <c r="R44" i="40" s="1"/>
  <c r="AB9" i="40"/>
  <c r="T44" i="40" s="1"/>
  <c r="G44" i="40" s="1"/>
  <c r="U9" i="40"/>
  <c r="F9" i="39" l="1"/>
  <c r="M72" i="39"/>
  <c r="N70" i="39"/>
  <c r="N72" i="39" s="1"/>
  <c r="R45" i="40"/>
  <c r="E44" i="40"/>
  <c r="G49" i="40"/>
  <c r="H49" i="40" s="1"/>
  <c r="G48" i="40"/>
  <c r="H48" i="40" s="1"/>
  <c r="J9" i="39" l="1"/>
  <c r="AC9" i="39" s="1"/>
  <c r="V49" i="39" s="1"/>
  <c r="I49" i="39" s="1"/>
  <c r="H9" i="39"/>
  <c r="AA9" i="39"/>
  <c r="R49" i="39" s="1"/>
  <c r="S9" i="39"/>
  <c r="E48" i="40"/>
  <c r="F48" i="40" s="1"/>
  <c r="E49" i="40"/>
  <c r="F49" i="40" s="1"/>
  <c r="I49" i="40"/>
  <c r="J49" i="40" s="1"/>
  <c r="C45" i="40"/>
  <c r="C44" i="40"/>
  <c r="W9" i="39" l="1"/>
  <c r="U9" i="39"/>
  <c r="AB9" i="39"/>
  <c r="T49" i="39" s="1"/>
  <c r="G49" i="39" s="1"/>
  <c r="E49" i="39"/>
  <c r="I54" i="39" s="1"/>
  <c r="J54" i="39" s="1"/>
  <c r="I53" i="39"/>
  <c r="J53"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R50" i="39" l="1"/>
  <c r="C50" i="39" s="1"/>
  <c r="E53" i="39"/>
  <c r="F53" i="39" s="1"/>
  <c r="E54" i="39"/>
  <c r="F54" i="39" s="1"/>
  <c r="G53" i="39"/>
  <c r="H53" i="39" s="1"/>
  <c r="G54" i="39"/>
  <c r="H54" i="39" s="1"/>
  <c r="B4" i="40"/>
  <c r="B5" i="40"/>
  <c r="B3" i="40"/>
  <c r="C49" i="39" l="1"/>
  <c r="B64" i="39"/>
  <c r="F64" i="39" s="1"/>
  <c r="B65" i="39"/>
  <c r="F65" i="39" s="1"/>
  <c r="B58" i="39"/>
  <c r="F58" i="39" s="1"/>
  <c r="B62" i="39"/>
  <c r="F62" i="39" s="1"/>
  <c r="B67" i="39"/>
  <c r="F67" i="39" s="1"/>
  <c r="B66" i="39"/>
  <c r="F66" i="39" s="1"/>
  <c r="B61" i="39"/>
  <c r="F61" i="39" s="1"/>
  <c r="B59" i="39"/>
  <c r="F59" i="39" s="1"/>
  <c r="B63" i="39"/>
  <c r="F63" i="39" s="1"/>
  <c r="B60" i="39"/>
  <c r="F60" i="39" s="1"/>
  <c r="F68" i="39"/>
  <c r="B2" i="39" s="1"/>
  <c r="C19" i="9"/>
  <c r="L43" i="9" l="1"/>
  <c r="G19" i="9"/>
  <c r="D22" i="9"/>
  <c r="B3" i="39"/>
  <c r="B4" i="39"/>
  <c r="B5" i="39"/>
  <c r="C20" i="9"/>
  <c r="C21" i="9"/>
  <c r="G20" i="9" l="1"/>
  <c r="G21" i="9"/>
  <c r="C32" i="9"/>
  <c r="G22" i="9"/>
  <c r="N43" i="9"/>
  <c r="C33" i="9" l="1"/>
  <c r="C42" i="9"/>
  <c r="C35" i="9"/>
  <c r="F42" i="9" s="1"/>
  <c r="O43" i="9"/>
  <c r="O38" i="9"/>
  <c r="C34" i="9"/>
  <c r="M38" i="9" l="1"/>
  <c r="K27" i="9" s="1"/>
  <c r="E42" i="9"/>
  <c r="P5" i="54" s="1"/>
  <c r="B46" i="63" s="1"/>
  <c r="D14" i="66"/>
  <c r="D63" i="9"/>
  <c r="R5" i="54"/>
  <c r="B48" i="63" s="1"/>
  <c r="N68" i="9"/>
  <c r="K26" i="9"/>
  <c r="K25" i="9"/>
  <c r="N38" i="9"/>
  <c r="K28" i="9" s="1"/>
  <c r="D42" i="9"/>
  <c r="Q5" i="54" s="1"/>
  <c r="B47" i="63" s="1"/>
  <c r="F14" i="66" l="1"/>
  <c r="B5" i="66"/>
  <c r="E14" i="66"/>
  <c r="D70" i="9"/>
  <c r="C96" i="9"/>
  <c r="C91" i="9" s="1"/>
  <c r="D77" i="9"/>
  <c r="N75" i="9" s="1"/>
  <c r="C90" i="9"/>
  <c r="C97" i="9" s="1"/>
  <c r="D71" i="9"/>
  <c r="D66" i="9" s="1"/>
  <c r="N72" i="9" s="1"/>
  <c r="C103" i="9"/>
  <c r="C111" i="9"/>
  <c r="C104" i="9" s="1"/>
  <c r="C82" i="9"/>
  <c r="C81" i="9" s="1"/>
  <c r="C85" i="9" s="1"/>
  <c r="C86" i="9" s="1"/>
  <c r="D72" i="9" s="1"/>
  <c r="C98" i="9" l="1"/>
  <c r="E98" i="9" s="1"/>
  <c r="E99" i="9" s="1"/>
  <c r="C113" i="9"/>
  <c r="C5" i="66"/>
  <c r="D5" i="66"/>
  <c r="C99" i="9" l="1"/>
  <c r="C114" i="9"/>
  <c r="E114" i="9" s="1"/>
  <c r="E115"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<sst xmlns="http://schemas.openxmlformats.org/spreadsheetml/2006/main" count="7350" uniqueCount="3141">
  <si>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</si>
  <si>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</si>
  <si>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</si>
  <si>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</si>
  <si>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</si>
  <si>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</si>
  <si>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</si>
  <si>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</si>
  <si>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</si>
  <si>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</si>
  <si>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</si>
  <si>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</si>
  <si>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</si>
  <si>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</si>
  <si>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</si>
  <si>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</si>
  <si>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</si>
  <si>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</si>
  <si>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</si>
  <si>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</si>
  <si>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</si>
  <si>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</si>
  <si>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</si>
  <si>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</si>
  <si>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</si>
  <si>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</si>
  <si>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</si>
  <si>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</si>
  <si>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</si>
  <si>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</si>
  <si>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</si>
  <si>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</si>
  <si>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</si>
  <si>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</si>
  <si>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</si>
  <si>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</si>
  <si>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</si>
  <si>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</si>
  <si>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</si>
  <si>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</si>
  <si>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</si>
  <si>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</si>
  <si>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</si>
  <si>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</si>
  <si>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</si>
  <si>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</si>
  <si>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</si>
  <si>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</si>
  <si>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</si>
  <si>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</si>
  <si>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</si>
  <si>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</si>
  <si>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</si>
  <si>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</si>
  <si>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</si>
  <si>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</si>
  <si>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</si>
  <si>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</si>
  <si>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</si>
  <si>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</si>
  <si>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</si>
  <si>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</si>
  <si>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</si>
  <si>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</si>
  <si>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</si>
  <si>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</si>
  <si>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</si>
  <si>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</si>
  <si>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</si>
  <si>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</si>
  <si>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</si>
  <si>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</si>
  <si>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</si>
  <si>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</si>
  <si>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</si>
  <si>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</si>
  <si>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</si>
  <si>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</si>
  <si>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</si>
  <si>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</si>
  <si>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</si>
  <si>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</si>
  <si>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</si>
  <si>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</si>
  <si>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</si>
  <si>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</si>
  <si>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</si>
  <si>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</si>
  <si>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</si>
  <si>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</si>
  <si>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</si>
  <si>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</si>
  <si>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</si>
  <si>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</si>
  <si>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</si>
  <si>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</si>
  <si>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</si>
  <si>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</si>
  <si>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</si>
  <si>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</si>
  <si>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</si>
  <si>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</si>
  <si>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</si>
  <si>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</si>
  <si>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</si>
  <si>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</si>
  <si>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</si>
  <si>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</si>
  <si>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</si>
  <si>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</si>
  <si>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</si>
  <si>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</si>
  <si>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</si>
  <si>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</si>
  <si>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</si>
  <si>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</si>
  <si>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</si>
  <si>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</si>
  <si>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</si>
  <si>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</si>
  <si>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</si>
  <si>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</si>
  <si>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</si>
  <si>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</si>
  <si>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</si>
  <si>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</si>
  <si>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</si>
  <si>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</si>
  <si>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</si>
  <si>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</si>
  <si>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</si>
  <si>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</si>
  <si>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</si>
  <si>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</si>
  <si>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</si>
  <si>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</si>
  <si>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</si>
  <si>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</si>
  <si>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</si>
  <si>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</si>
  <si>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</si>
  <si>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</si>
  <si>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</si>
  <si>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</si>
  <si>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</si>
  <si>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</si>
  <si>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</si>
  <si>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</si>
  <si>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</si>
  <si>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</si>
  <si>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</si>
  <si>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</si>
  <si>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</si>
  <si>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</si>
  <si>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</si>
  <si>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</si>
  <si>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</si>
  <si>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</si>
  <si>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</si>
  <si>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</si>
  <si>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</si>
  <si>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</si>
  <si>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</si>
  <si>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</si>
  <si>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</si>
  <si>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</si>
  <si>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</si>
  <si>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</si>
  <si>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</si>
  <si>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</si>
  <si>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</si>
  <si>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</si>
  <si>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</si>
  <si>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</si>
  <si>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</si>
  <si>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</si>
  <si>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</si>
  <si>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</si>
  <si>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</si>
  <si>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</si>
  <si>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</si>
  <si>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</si>
  <si>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</si>
  <si>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</si>
  <si>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</si>
  <si>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</si>
  <si>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</si>
  <si>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</si>
  <si>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</si>
  <si>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</si>
  <si>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</si>
  <si>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</si>
  <si>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</si>
  <si>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</si>
  <si>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</si>
  <si>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</si>
  <si>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</si>
  <si>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</si>
  <si>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</si>
  <si>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</si>
  <si>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</si>
  <si>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</si>
  <si>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</si>
  <si>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</si>
  <si>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</si>
  <si>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</si>
  <si>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</si>
  <si>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</si>
  <si>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</si>
  <si>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</si>
  <si>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</si>
  <si>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</si>
  <si>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</si>
  <si>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</si>
  <si>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</si>
  <si>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</si>
  <si>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</si>
  <si>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</si>
  <si>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</si>
  <si>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</si>
  <si>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</si>
  <si>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</si>
  <si>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</si>
  <si>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</si>
  <si>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</si>
  <si>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</si>
  <si>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</si>
  <si>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</si>
  <si>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</si>
  <si>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</si>
  <si>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</si>
  <si>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</si>
  <si>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</si>
  <si>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</si>
  <si>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</si>
  <si>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</si>
  <si>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</si>
  <si>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</si>
  <si>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</si>
  <si>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</si>
  <si>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</si>
  <si>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</si>
  <si>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</si>
  <si>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</si>
  <si>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</si>
  <si>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</si>
  <si>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</si>
  <si>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</si>
  <si>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</si>
  <si>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</si>
  <si>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</si>
  <si>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</si>
  <si>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</si>
  <si>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</si>
  <si>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</si>
  <si>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</si>
  <si>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</si>
  <si>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</si>
  <si>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</si>
  <si>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</si>
  <si>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</si>
  <si>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</si>
  <si>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</si>
  <si>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</si>
  <si>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</si>
  <si>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</si>
  <si>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</si>
  <si>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</si>
  <si>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</si>
  <si>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</si>
  <si>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</si>
  <si>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</si>
  <si>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</si>
  <si>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</si>
  <si>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</si>
  <si>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</si>
  <si>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</si>
  <si>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</si>
  <si>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</si>
  <si>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</si>
  <si>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</si>
  <si>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</si>
  <si>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</si>
  <si>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</si>
  <si>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</si>
  <si>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</si>
  <si>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</si>
  <si>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</si>
  <si>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</si>
  <si>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</si>
  <si>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</si>
  <si>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</si>
  <si>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</si>
  <si>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</si>
  <si>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</si>
  <si>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</si>
  <si>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</si>
  <si>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</si>
  <si>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</si>
  <si>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</si>
  <si>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</si>
  <si>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</si>
  <si>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</si>
  <si>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</si>
  <si>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</si>
  <si>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</si>
  <si>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</si>
  <si>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</si>
  <si>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</si>
  <si>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</si>
  <si>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</si>
  <si>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</si>
  <si>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</si>
  <si>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</si>
  <si>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</si>
  <si>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</si>
  <si>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</si>
  <si>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</si>
  <si>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</si>
  <si>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</si>
  <si>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</si>
  <si>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</si>
  <si>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</si>
  <si>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</si>
  <si>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</si>
  <si>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</si>
  <si>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</si>
  <si>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</si>
  <si>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</si>
  <si>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</si>
  <si>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</si>
  <si>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</si>
  <si>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</si>
  <si>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</si>
  <si>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</si>
  <si>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</si>
  <si>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</si>
  <si>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</si>
  <si>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</si>
  <si>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</si>
  <si>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</si>
  <si>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</si>
  <si>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</si>
  <si>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</si>
  <si>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</si>
  <si>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</si>
  <si>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</si>
  <si>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</si>
  <si>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</si>
  <si>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</si>
  <si>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</si>
  <si>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</si>
  <si>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</si>
  <si>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</si>
  <si>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</si>
  <si>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</si>
  <si>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</si>
  <si>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</si>
  <si>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</si>
  <si>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</si>
  <si>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</si>
  <si>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</si>
  <si>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</si>
  <si>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</si>
  <si>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</si>
  <si>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</si>
  <si>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</si>
  <si>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</si>
  <si>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</si>
  <si>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</si>
  <si>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</si>
  <si>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</si>
  <si>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</si>
  <si>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</si>
  <si>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</si>
  <si>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</si>
  <si>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</si>
  <si>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</si>
  <si>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</si>
  <si>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</si>
  <si>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</si>
  <si>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</si>
  <si>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</si>
  <si>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</si>
  <si>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</si>
  <si>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</si>
  <si>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</si>
  <si>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</si>
  <si>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</si>
  <si>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</si>
  <si>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</si>
  <si>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</si>
  <si>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</si>
  <si>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</si>
  <si>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</si>
  <si>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</si>
  <si>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</si>
  <si>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</si>
  <si>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</si>
  <si>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</si>
  <si>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</si>
  <si>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</si>
  <si>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</si>
  <si>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</si>
  <si>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</si>
  <si>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</si>
  <si>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</si>
  <si>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</si>
  <si>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</si>
  <si>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</si>
  <si>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</si>
  <si>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</si>
  <si>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</si>
  <si>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</si>
  <si>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</si>
  <si>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</si>
  <si>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</si>
  <si>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</si>
  <si>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</si>
  <si>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</si>
  <si>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</si>
  <si>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</si>
  <si>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</si>
  <si>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</si>
  <si>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</si>
  <si>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</si>
  <si>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</si>
  <si>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</si>
  <si>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</si>
  <si>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</si>
  <si>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</si>
  <si>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</si>
  <si>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</si>
  <si>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</si>
  <si>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</si>
  <si>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</si>
  <si>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</si>
  <si>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</si>
  <si>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</si>
  <si>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</si>
  <si>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</si>
  <si>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</si>
  <si>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</si>
  <si>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</si>
  <si>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</si>
  <si>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</si>
  <si>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</si>
  <si>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</si>
  <si>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</si>
  <si>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</si>
  <si>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</si>
  <si>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</si>
  <si>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</si>
  <si>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</si>
  <si>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</si>
  <si>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</si>
  <si>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</si>
  <si>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</si>
  <si>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</si>
  <si>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</si>
  <si>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</si>
  <si>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</si>
  <si>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</si>
  <si>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</si>
  <si>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</si>
  <si>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</si>
  <si>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</si>
  <si>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</si>
  <si>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</si>
  <si>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</si>
  <si>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</si>
  <si>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</si>
  <si>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</si>
  <si>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</si>
  <si>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</si>
  <si>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</si>
  <si>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</si>
  <si>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</si>
  <si>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</si>
  <si>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</si>
  <si>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</si>
  <si>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</si>
  <si>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</si>
  <si>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</si>
  <si>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</si>
  <si>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</si>
  <si>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</si>
  <si>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</si>
  <si>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</si>
  <si>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</si>
  <si>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</si>
  <si>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</si>
  <si>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</si>
  <si>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</si>
  <si>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</si>
  <si>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</si>
  <si>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</si>
  <si>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</si>
  <si>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</si>
  <si>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</si>
  <si>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</si>
  <si>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</si>
  <si>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</si>
  <si>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</si>
  <si>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</si>
  <si>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</si>
  <si>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</si>
  <si>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</si>
  <si>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</si>
  <si>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</si>
  <si>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</si>
  <si>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</si>
  <si>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</si>
  <si>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</si>
  <si>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</si>
  <si>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</si>
  <si>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</si>
  <si>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</si>
  <si>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</si>
  <si>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</si>
  <si>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</si>
  <si>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</si>
  <si>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</si>
  <si>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</si>
  <si>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</si>
  <si>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</si>
  <si>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</si>
  <si>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</si>
  <si>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</si>
  <si>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</si>
  <si>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</si>
  <si>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</si>
  <si>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</si>
  <si>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</si>
  <si>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</si>
  <si>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</si>
  <si>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</si>
  <si>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</si>
  <si>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</si>
  <si>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</si>
  <si>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</si>
  <si>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</si>
  <si>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</si>
  <si>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</si>
  <si>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</si>
  <si>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</si>
  <si>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</si>
  <si>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</si>
  <si>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</si>
  <si>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</si>
  <si>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</si>
  <si>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</si>
  <si>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</si>
  <si>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</si>
  <si>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</si>
  <si>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</si>
  <si>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</si>
  <si>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</si>
  <si>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</si>
  <si>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</si>
  <si>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</si>
  <si>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</si>
  <si>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</si>
  <si>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</si>
  <si>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</si>
  <si>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</si>
  <si>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</si>
  <si>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</si>
  <si>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</si>
  <si>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</si>
  <si>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</si>
  <si>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</si>
  <si>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</si>
  <si>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</si>
  <si>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</si>
  <si>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</si>
  <si>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</si>
  <si>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</si>
  <si>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</si>
  <si>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</si>
  <si>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</si>
  <si>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</si>
  <si>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</si>
  <si>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</si>
  <si>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</si>
  <si>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</si>
  <si>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</si>
  <si>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</si>
  <si>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</si>
  <si>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</si>
  <si>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</si>
  <si>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</si>
  <si>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</si>
  <si>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</si>
  <si>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</si>
  <si>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</si>
  <si>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</si>
  <si>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</si>
  <si>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</si>
  <si>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</si>
  <si>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</si>
  <si>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</si>
  <si>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</si>
  <si>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</si>
  <si>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</si>
  <si>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</si>
  <si>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</si>
  <si>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</si>
  <si>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</si>
  <si>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</si>
  <si>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</si>
  <si>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</si>
  <si>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</si>
  <si>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</si>
  <si>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</si>
  <si>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</si>
  <si>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</si>
  <si>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</si>
  <si>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</si>
  <si>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</si>
  <si>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</si>
  <si>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</si>
  <si>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</si>
  <si>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</si>
  <si>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</si>
  <si>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</si>
  <si>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</si>
  <si>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</si>
  <si>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</si>
  <si>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</si>
  <si>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</si>
  <si>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</si>
  <si>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</si>
  <si>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</si>
  <si>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</si>
  <si>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</si>
  <si>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</si>
  <si>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</si>
  <si>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</si>
  <si>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</si>
  <si>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</si>
  <si>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</si>
  <si>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</si>
  <si>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</si>
  <si>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</si>
  <si>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</si>
  <si>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</si>
  <si>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</si>
  <si>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</si>
  <si>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</si>
  <si>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</si>
  <si>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</si>
  <si>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</si>
  <si>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</si>
  <si>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</si>
  <si>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</si>
  <si>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</si>
  <si>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</si>
  <si>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</si>
  <si>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</si>
  <si>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</si>
  <si>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</si>
  <si>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</si>
  <si>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</si>
  <si>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</si>
  <si>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</si>
  <si>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</si>
  <si>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</si>
  <si>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</si>
  <si>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</si>
  <si>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</si>
  <si>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</si>
  <si>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</si>
  <si>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</si>
  <si>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</si>
  <si>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</si>
  <si>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</si>
  <si>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</si>
  <si>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</si>
  <si>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</si>
  <si>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</si>
  <si>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</si>
  <si>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</si>
  <si>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</si>
  <si>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</si>
  <si>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</si>
  <si>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</si>
  <si>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</si>
  <si>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</si>
  <si>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</si>
  <si>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</si>
  <si>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</si>
  <si>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</si>
  <si>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</si>
  <si>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</si>
  <si>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</si>
  <si>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</si>
  <si>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</si>
  <si>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</si>
  <si>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</si>
  <si>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</si>
  <si>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</si>
  <si>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</si>
  <si>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</si>
  <si>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</si>
  <si>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</si>
  <si>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</si>
  <si>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</si>
  <si>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</si>
  <si>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</si>
  <si>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</si>
  <si>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</si>
  <si>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</si>
  <si>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</si>
  <si>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</si>
  <si>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</si>
  <si>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</si>
  <si>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</si>
  <si>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</si>
  <si>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</si>
  <si>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</si>
  <si>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</si>
  <si>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</si>
  <si>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</si>
  <si>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</si>
  <si>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</si>
  <si>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</si>
  <si>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</si>
  <si>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</si>
  <si>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</si>
  <si>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</si>
  <si>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</si>
  <si>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</si>
  <si>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</si>
  <si>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</si>
  <si>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</si>
  <si>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</si>
  <si>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</si>
  <si>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</si>
  <si>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</si>
  <si>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</si>
  <si>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</si>
  <si>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</si>
  <si>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</si>
  <si>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</si>
  <si>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</si>
  <si>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</si>
  <si>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</si>
  <si>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</si>
  <si>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</si>
  <si>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</si>
  <si>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</si>
  <si>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</si>
  <si>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</si>
  <si>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</si>
  <si>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</si>
  <si>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</si>
  <si>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</si>
  <si>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</si>
  <si>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</si>
  <si>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</si>
  <si>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</si>
  <si>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</si>
  <si>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</si>
  <si>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</si>
  <si>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</si>
  <si>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</si>
  <si>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</si>
  <si>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</si>
  <si>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</si>
  <si>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</si>
  <si>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</si>
  <si>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</si>
  <si>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</si>
  <si>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</si>
  <si>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</si>
  <si>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</si>
  <si>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</si>
  <si>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</si>
  <si>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</si>
  <si>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</si>
  <si>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</si>
  <si>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</si>
  <si>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</si>
  <si>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</si>
  <si>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</si>
  <si>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</si>
  <si>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</si>
  <si>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</si>
  <si>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</si>
  <si>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</si>
  <si>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</si>
  <si>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</si>
  <si>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</si>
  <si>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</si>
  <si>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</si>
  <si>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</si>
  <si>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</si>
  <si>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</si>
  <si>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</si>
  <si>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</si>
  <si>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</si>
  <si>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</si>
  <si>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</si>
  <si>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</si>
  <si>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</si>
  <si>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</si>
  <si>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</si>
  <si>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</si>
  <si>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</si>
  <si>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</si>
  <si>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</si>
  <si>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</si>
  <si>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</si>
  <si>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</si>
  <si>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</si>
  <si>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</si>
  <si>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</si>
  <si>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</si>
  <si>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</si>
  <si>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</si>
  <si>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</si>
  <si>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</si>
  <si>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</si>
  <si>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</si>
  <si>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</si>
  <si>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</si>
  <si>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</si>
  <si>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</si>
  <si>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</si>
  <si>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</si>
  <si>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</si>
  <si>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</si>
  <si>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</si>
  <si>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</si>
  <si>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</si>
  <si>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</si>
  <si>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</si>
  <si>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</si>
  <si>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</si>
  <si>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</si>
  <si>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</si>
  <si>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</si>
  <si>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</si>
  <si>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</si>
  <si>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</si>
  <si>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</si>
  <si>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</si>
  <si>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</si>
  <si>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</si>
  <si>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</si>
  <si>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</si>
  <si>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</si>
  <si>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</si>
  <si>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</si>
  <si>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</si>
  <si>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</si>
  <si>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</si>
  <si>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</si>
  <si>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</si>
  <si>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</si>
  <si>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</si>
  <si>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</si>
  <si>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</si>
  <si>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</si>
  <si>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</si>
  <si>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</si>
  <si>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</si>
  <si>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</si>
  <si>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</si>
  <si>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</si>
  <si>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</si>
  <si>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</si>
  <si>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</si>
  <si>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</si>
  <si>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</si>
  <si>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</si>
  <si>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</si>
  <si>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</si>
  <si>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</si>
  <si>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</si>
  <si>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</si>
  <si>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</si>
  <si>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</si>
  <si>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</si>
  <si>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</si>
  <si>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</si>
  <si>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</si>
  <si>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</si>
  <si>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</si>
  <si>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</si>
  <si>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</si>
  <si>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</si>
  <si>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</si>
  <si>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</si>
  <si>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</si>
  <si>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</si>
  <si>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</si>
  <si>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</si>
  <si>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</si>
  <si>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</si>
  <si>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</si>
  <si>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</si>
  <si>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</si>
  <si>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</si>
  <si>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</si>
  <si>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</si>
  <si>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</si>
  <si>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</si>
  <si>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</si>
  <si>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</si>
  <si>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</si>
  <si>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</si>
  <si>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</si>
  <si>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</si>
  <si>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</si>
  <si>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</si>
  <si>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</si>
  <si>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</si>
  <si>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</si>
  <si>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</si>
  <si>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</si>
  <si>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</si>
  <si>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</si>
  <si>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</si>
  <si>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</si>
  <si>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</si>
  <si>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</si>
  <si>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</si>
  <si>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</si>
  <si>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</si>
  <si>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</si>
  <si>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</si>
  <si>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</si>
  <si>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</si>
  <si>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</si>
  <si>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</si>
  <si>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</si>
  <si>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</si>
  <si>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</si>
  <si>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</si>
  <si>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</si>
  <si>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</si>
  <si>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</si>
  <si>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</si>
  <si>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</si>
  <si>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</si>
  <si>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</si>
  <si>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</si>
  <si>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</si>
  <si>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</si>
  <si>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</si>
  <si>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</si>
  <si>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</si>
  <si>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</si>
  <si>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</si>
  <si>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</si>
  <si>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</si>
  <si>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</si>
  <si>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</si>
  <si>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</si>
  <si>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</si>
  <si>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</si>
  <si>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</si>
  <si>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</si>
  <si>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</si>
  <si>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</si>
  <si>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</si>
  <si>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</si>
  <si>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</si>
  <si>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</si>
  <si>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</si>
  <si>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</si>
  <si>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</si>
  <si>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</si>
  <si>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</si>
  <si>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</si>
  <si>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</si>
  <si>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</si>
  <si>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</si>
  <si>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</si>
  <si>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</si>
  <si>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</si>
  <si>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</si>
  <si>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</si>
  <si>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</si>
  <si>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</si>
  <si>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</si>
  <si>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</si>
  <si>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</si>
  <si>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</si>
  <si>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</si>
  <si>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</si>
  <si>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</si>
  <si>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</si>
  <si>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</si>
  <si>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</si>
  <si>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</si>
  <si>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</si>
  <si>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</si>
  <si>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</si>
  <si>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</si>
  <si>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</si>
  <si>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</si>
  <si>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</si>
  <si>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</si>
  <si>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</si>
  <si>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</si>
  <si>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</si>
  <si>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</si>
  <si>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</si>
  <si>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</si>
  <si>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</si>
  <si>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</si>
  <si>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</si>
  <si>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</si>
  <si>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</si>
  <si>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</si>
  <si>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</si>
  <si>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</si>
  <si>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</si>
  <si>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</si>
  <si>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</si>
  <si>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</si>
  <si>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</si>
  <si>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</si>
  <si>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</si>
  <si>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</si>
  <si>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</si>
  <si>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</si>
  <si>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</si>
  <si>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</si>
  <si>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</si>
  <si>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</si>
  <si>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</si>
  <si>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</si>
  <si>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</si>
  <si>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</si>
  <si>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</si>
  <si>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</si>
  <si>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</si>
  <si>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</si>
  <si>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</si>
  <si>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</si>
  <si>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</si>
  <si>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</si>
  <si>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</si>
  <si>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</si>
  <si>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</si>
  <si>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</si>
  <si>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</si>
  <si>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</si>
  <si>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</si>
  <si>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</si>
  <si>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</si>
  <si>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</si>
  <si>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</si>
  <si>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</si>
  <si>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</si>
  <si>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</si>
  <si>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</si>
  <si>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</si>
  <si>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</si>
  <si>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</si>
  <si>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</si>
  <si>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</si>
  <si>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</si>
  <si>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</si>
  <si>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</si>
  <si>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</si>
  <si>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</si>
  <si>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</si>
  <si>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</si>
  <si>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</si>
  <si>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</si>
  <si>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</si>
  <si>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</si>
  <si>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</si>
  <si>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</si>
  <si>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</si>
  <si>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</si>
  <si>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</si>
  <si>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</si>
  <si>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</si>
  <si>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</si>
  <si>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</si>
  <si>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</si>
  <si>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</si>
  <si>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</si>
  <si>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</si>
  <si>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</si>
  <si>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</si>
  <si>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</si>
  <si>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</si>
  <si>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</si>
  <si>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</si>
  <si>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</si>
  <si>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</si>
  <si>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</si>
  <si>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</si>
  <si>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</si>
  <si>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</si>
  <si>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</si>
  <si>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</si>
  <si>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</si>
  <si>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</si>
  <si>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</si>
  <si>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</si>
  <si>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</si>
  <si>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</si>
  <si>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</si>
  <si>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</si>
  <si>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</si>
  <si>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</si>
  <si>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</si>
  <si>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</si>
  <si>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</si>
  <si>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</si>
  <si>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</si>
  <si>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</si>
  <si>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</si>
  <si>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</si>
  <si>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</si>
  <si>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</si>
  <si>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</si>
  <si>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</si>
  <si>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</si>
  <si>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</si>
  <si>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</si>
  <si>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</si>
  <si>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</si>
  <si>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</si>
  <si>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</si>
  <si>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</si>
  <si>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</si>
  <si>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</si>
  <si>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</si>
  <si>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</si>
  <si>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</si>
  <si>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</si>
  <si>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</si>
  <si>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</si>
  <si>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</si>
  <si>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</si>
  <si>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</si>
  <si>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</si>
  <si>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</si>
  <si>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</si>
  <si>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</si>
  <si>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</si>
  <si>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</si>
  <si>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</si>
  <si>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</si>
  <si>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</si>
  <si>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</si>
  <si>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</si>
  <si>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</si>
  <si>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</si>
  <si>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</si>
  <si>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</si>
  <si>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</si>
  <si>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</si>
  <si>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</si>
  <si>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</si>
  <si>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</si>
  <si>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</si>
  <si>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</si>
  <si>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</si>
  <si>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</si>
  <si>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</si>
  <si>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</si>
  <si>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</si>
  <si>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</si>
  <si>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</si>
  <si>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</si>
  <si>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</si>
  <si>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</si>
  <si>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</si>
  <si>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</si>
  <si>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</si>
  <si>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</si>
  <si>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</si>
  <si>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</si>
  <si>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</si>
  <si>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</si>
  <si>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</si>
  <si>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</si>
  <si>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</si>
  <si>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</si>
  <si>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</si>
  <si>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</si>
  <si>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</si>
  <si>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</si>
  <si>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</si>
  <si>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</si>
  <si>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</si>
  <si>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</si>
  <si>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</si>
  <si>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</si>
  <si>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</si>
  <si>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</si>
  <si>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</si>
  <si>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</si>
  <si>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</si>
  <si>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</si>
  <si>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</si>
  <si>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</si>
  <si>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</si>
  <si>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</si>
  <si>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</si>
  <si>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</si>
  <si>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</si>
  <si>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</si>
  <si>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</si>
  <si>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</si>
  <si>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</si>
  <si>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</si>
  <si>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</si>
  <si>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</si>
  <si>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</si>
  <si>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</si>
  <si>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</si>
  <si>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</si>
  <si>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</si>
  <si>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</si>
  <si>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</si>
  <si>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</si>
  <si>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</si>
  <si>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</si>
  <si>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</si>
  <si>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</si>
  <si>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</si>
  <si>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</si>
  <si>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</si>
  <si>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</si>
  <si>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</si>
  <si>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</si>
  <si>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</si>
  <si>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</si>
  <si>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</si>
  <si>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</si>
  <si>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</si>
  <si>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</si>
  <si>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</si>
  <si>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</si>
  <si>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</si>
  <si>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</si>
  <si>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</si>
  <si>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</si>
  <si>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</si>
  <si>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</si>
  <si>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</si>
  <si>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</si>
  <si>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</si>
  <si>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</si>
  <si>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</si>
  <si>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</si>
  <si>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</si>
  <si>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</si>
  <si>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</si>
  <si>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</si>
  <si>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</si>
  <si>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</si>
  <si>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</si>
  <si>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</si>
  <si>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</si>
  <si>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</si>
  <si>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</si>
  <si>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</si>
  <si>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</si>
  <si>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</si>
  <si>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</si>
  <si>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</si>
  <si>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</si>
  <si>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</si>
  <si>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</si>
  <si>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</si>
  <si>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</si>
  <si>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</si>
  <si>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</si>
  <si>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</si>
  <si>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</si>
  <si>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</si>
  <si>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</si>
  <si>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</si>
  <si>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</si>
  <si>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</si>
  <si>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</si>
  <si>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</si>
  <si>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</si>
  <si>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</si>
  <si>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</si>
  <si>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</si>
  <si>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</si>
  <si>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</si>
  <si>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</si>
  <si>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</si>
  <si>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</si>
  <si>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</si>
  <si>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</si>
  <si>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</si>
  <si>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</si>
  <si>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</si>
  <si>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</si>
  <si>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</si>
  <si>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</si>
  <si>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</si>
  <si>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</si>
  <si>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</si>
  <si>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</si>
  <si>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</si>
  <si>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</si>
  <si>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</si>
  <si>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</si>
  <si>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</si>
  <si>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</si>
  <si>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</si>
  <si>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</si>
  <si>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</si>
  <si>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</si>
  <si>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</si>
  <si>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</si>
  <si>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</si>
  <si>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</si>
  <si>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</si>
  <si>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</si>
  <si>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</si>
  <si>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</si>
  <si>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</si>
  <si>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</si>
  <si>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</si>
  <si>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</si>
  <si>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</si>
  <si>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</si>
  <si>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</si>
  <si>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</si>
  <si>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</si>
  <si>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</si>
  <si>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</si>
  <si>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</si>
  <si>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</si>
  <si>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</si>
  <si>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</si>
  <si>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</si>
  <si>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</si>
  <si>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</si>
  <si>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</si>
  <si>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</si>
  <si>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</si>
  <si>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</si>
  <si>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</si>
  <si>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</si>
  <si>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</si>
  <si>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</si>
  <si>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</si>
  <si>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</si>
  <si>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</si>
  <si>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</si>
  <si>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</si>
  <si>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</si>
  <si>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</si>
  <si>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</si>
  <si>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</si>
  <si>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</si>
  <si>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</si>
  <si>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</si>
  <si>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</si>
  <si>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</si>
  <si>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</si>
  <si>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</si>
  <si>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</si>
  <si>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</si>
  <si>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</si>
  <si>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</si>
  <si>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</si>
  <si>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</si>
  <si>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</si>
  <si>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</si>
  <si>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</si>
  <si>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</si>
  <si>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</si>
  <si>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</si>
  <si>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</si>
  <si>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</si>
  <si>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</si>
  <si>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</si>
  <si>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</si>
  <si>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</si>
  <si>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</si>
  <si>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</si>
  <si>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</si>
  <si>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</si>
  <si>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</si>
  <si>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</si>
  <si>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</si>
  <si>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</si>
  <si>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</si>
  <si>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</si>
  <si>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</si>
  <si>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</si>
  <si>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</si>
  <si>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</si>
  <si>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</si>
  <si>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</si>
  <si>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</si>
  <si>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</si>
  <si>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</si>
  <si>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</si>
  <si>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</si>
  <si>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</si>
  <si>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</si>
  <si>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</si>
  <si>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</si>
  <si>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</si>
  <si>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</si>
  <si>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</si>
  <si>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</si>
  <si>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</si>
  <si>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</si>
  <si>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</si>
  <si>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</si>
  <si>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</si>
  <si>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</si>
  <si>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</si>
  <si>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</si>
  <si>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</si>
  <si>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</si>
  <si>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</si>
  <si>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</si>
  <si>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</si>
  <si>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</si>
  <si>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</si>
  <si>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</si>
  <si>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</si>
  <si>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</si>
  <si>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</si>
  <si>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</si>
  <si>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</si>
  <si>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</si>
  <si>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</si>
  <si>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</si>
  <si>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</si>
  <si>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</si>
  <si>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</si>
  <si>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</si>
  <si>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</si>
  <si>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</si>
  <si>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</si>
  <si>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</si>
  <si>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</si>
  <si>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</si>
  <si>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</si>
  <si>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</si>
  <si>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</si>
  <si>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</si>
  <si>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</si>
  <si>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</si>
  <si>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</si>
  <si>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</si>
  <si>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</si>
  <si>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</si>
  <si>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</si>
  <si>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</si>
  <si>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</si>
  <si>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</si>
  <si>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</si>
  <si>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</si>
  <si>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</si>
  <si>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</si>
  <si>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</si>
  <si>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</si>
  <si>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</si>
  <si>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</si>
  <si>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</si>
  <si>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</si>
  <si>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</si>
  <si>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</si>
  <si>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</si>
  <si>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</si>
  <si>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</si>
  <si>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</si>
  <si>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</si>
  <si>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</si>
  <si>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</si>
  <si>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</si>
  <si>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</si>
  <si>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</si>
  <si>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</si>
  <si>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</si>
  <si>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</si>
  <si>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</si>
  <si>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</si>
  <si>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</si>
  <si>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</si>
  <si>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</si>
  <si>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</si>
  <si>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</si>
  <si>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</si>
  <si>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</si>
  <si>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</si>
  <si>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</si>
  <si>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</si>
  <si>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</si>
  <si>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</si>
  <si>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</si>
  <si>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</si>
  <si>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</si>
  <si>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</si>
  <si>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</si>
  <si>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</si>
  <si>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</si>
  <si>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</si>
  <si>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</si>
  <si>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</si>
  <si>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</si>
  <si>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</si>
  <si>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</si>
  <si>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</si>
  <si>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</si>
  <si>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</si>
  <si>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</si>
  <si>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</si>
  <si>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</si>
  <si>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</si>
  <si>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</si>
  <si>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</si>
  <si>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</si>
  <si>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</si>
  <si>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</si>
  <si>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</si>
  <si>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</si>
  <si>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</si>
  <si>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</si>
  <si>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</si>
  <si>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</si>
  <si>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</si>
  <si>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</si>
  <si>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</si>
  <si>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</si>
  <si>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</si>
  <si>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</si>
  <si>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</si>
  <si>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</si>
  <si>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</si>
  <si>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</si>
  <si>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</si>
  <si>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</si>
  <si>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</si>
  <si>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</si>
  <si>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</si>
  <si>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</si>
  <si>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</si>
  <si>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</si>
  <si>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</si>
  <si>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</si>
  <si>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</si>
  <si>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</si>
  <si>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</si>
  <si>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</si>
  <si>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</si>
  <si>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</si>
  <si>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</si>
  <si>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</si>
  <si>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</si>
  <si>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</si>
  <si>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</si>
  <si>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</si>
  <si>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</si>
  <si>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</si>
  <si>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</si>
  <si>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</si>
  <si>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</si>
  <si>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</si>
  <si>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</si>
  <si>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</si>
  <si>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</si>
  <si>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</si>
  <si>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</si>
  <si>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</si>
  <si>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</si>
  <si>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</si>
  <si>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</si>
  <si>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</si>
  <si>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</si>
  <si>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</si>
  <si>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</si>
  <si>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</si>
  <si>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</si>
  <si>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</si>
  <si>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</si>
  <si>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</si>
  <si>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</si>
  <si>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</si>
  <si>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</si>
  <si>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</si>
  <si>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</si>
  <si>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</si>
  <si>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</si>
  <si>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</si>
  <si>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</si>
  <si>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</si>
  <si>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</si>
  <si>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</si>
  <si>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</si>
  <si>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</si>
  <si>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</si>
  <si>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</si>
  <si>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</si>
  <si>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</si>
  <si>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</si>
  <si>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</si>
  <si>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</si>
  <si>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</si>
  <si>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</si>
  <si>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</si>
  <si>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</si>
  <si>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</si>
  <si>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</si>
  <si>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</si>
  <si>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</si>
  <si>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</si>
  <si>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</si>
  <si>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</si>
  <si>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</si>
  <si>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</si>
  <si>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</si>
  <si>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</si>
  <si>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</si>
  <si>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</si>
  <si>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</si>
  <si>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</si>
  <si>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</si>
  <si>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</si>
  <si>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</si>
  <si>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</si>
  <si>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</si>
  <si>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</si>
  <si>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</si>
  <si>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</si>
  <si>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</si>
  <si>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</si>
  <si>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</si>
  <si>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</si>
  <si>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</si>
  <si>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</si>
  <si>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</si>
  <si>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</si>
  <si>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</si>
  <si>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</si>
  <si>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</si>
  <si>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</si>
  <si>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</si>
  <si>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</si>
  <si>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</si>
  <si>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</si>
  <si>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</si>
  <si>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</si>
  <si>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</si>
  <si>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</si>
  <si>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</si>
  <si>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</si>
  <si>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</si>
  <si>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</si>
  <si>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</si>
  <si>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</si>
  <si>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</si>
  <si>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</si>
  <si>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</si>
  <si>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</si>
  <si>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</si>
  <si>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</si>
  <si>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</si>
  <si>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</si>
  <si>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</si>
  <si>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</si>
  <si>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</si>
  <si>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</si>
  <si>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</si>
  <si>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</si>
  <si>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</si>
  <si>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</si>
  <si>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</si>
  <si>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</si>
  <si>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</si>
  <si>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</si>
  <si>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</si>
  <si>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</si>
  <si>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</si>
  <si>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</si>
  <si>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</si>
  <si>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</si>
  <si>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</si>
  <si>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</si>
  <si>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</si>
  <si>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</si>
  <si>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</si>
  <si>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</si>
  <si>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</si>
  <si>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</si>
  <si>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</si>
  <si>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</si>
  <si>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</si>
  <si>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</si>
  <si>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</si>
  <si>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</si>
  <si>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</si>
  <si>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</si>
  <si>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</si>
  <si>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</si>
  <si>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</si>
  <si>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</si>
  <si>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</si>
  <si>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</si>
  <si>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</si>
  <si>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</si>
  <si>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</si>
  <si>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</si>
  <si>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</si>
  <si>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</si>
  <si>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</si>
  <si>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</si>
  <si>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</si>
  <si>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</si>
  <si>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</si>
  <si>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</si>
  <si>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</si>
  <si>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</si>
  <si>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</si>
  <si>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</si>
  <si>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</si>
  <si>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</si>
  <si>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</si>
  <si>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</si>
  <si>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</si>
  <si>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</si>
  <si>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</si>
  <si>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</si>
  <si>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</si>
  <si>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</si>
  <si>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</si>
  <si>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</si>
  <si>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</si>
  <si>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</si>
  <si>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</si>
  <si>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</si>
  <si>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</si>
  <si>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</si>
  <si>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</si>
  <si>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</si>
  <si>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</si>
  <si>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</si>
  <si>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</si>
  <si>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</si>
  <si>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</si>
  <si>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</si>
  <si>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</si>
  <si>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</si>
  <si>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</si>
  <si>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</si>
  <si>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</si>
  <si>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</si>
  <si>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</si>
  <si>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</si>
  <si>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</si>
  <si>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</si>
  <si>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</si>
  <si>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</si>
  <si>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</si>
  <si>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</si>
  <si>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</si>
  <si>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</si>
  <si>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</si>
  <si>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</si>
  <si>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</si>
  <si>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</si>
  <si>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</si>
  <si>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</si>
  <si>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</si>
  <si>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</si>
  <si>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</si>
  <si>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</si>
  <si>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</si>
  <si>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</si>
  <si>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</si>
  <si>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</si>
  <si>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</si>
  <si>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</si>
  <si>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</si>
  <si>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</si>
  <si>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</si>
  <si>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</si>
  <si>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</si>
  <si>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</si>
  <si>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</si>
  <si>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</si>
  <si>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</si>
  <si>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</si>
  <si>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</si>
  <si>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</si>
  <si>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</si>
  <si>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</si>
  <si>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</si>
  <si>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</si>
  <si>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</si>
  <si>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</si>
  <si>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</si>
  <si>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</si>
  <si>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</si>
  <si>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</si>
  <si>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</si>
  <si>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</si>
  <si>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</si>
  <si>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</si>
  <si>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</si>
  <si>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</si>
  <si>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</si>
  <si>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</si>
  <si>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</si>
  <si>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</si>
  <si>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</si>
  <si>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</si>
  <si>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</si>
  <si>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</si>
  <si>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</si>
  <si>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</si>
  <si>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</si>
  <si>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</si>
  <si>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</si>
  <si>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</si>
  <si>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</si>
  <si>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</si>
  <si>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</si>
  <si>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</si>
  <si>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</si>
  <si>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</si>
  <si>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</si>
  <si>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</si>
  <si>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</si>
  <si>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</si>
  <si>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</si>
  <si>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</si>
  <si>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</si>
  <si>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</si>
  <si>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</si>
  <si>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</si>
  <si>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</si>
  <si>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</si>
  <si>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</si>
  <si>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</si>
  <si>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</si>
  <si>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</si>
  <si>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</si>
  <si>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</si>
  <si>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</si>
  <si>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</si>
  <si>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</si>
  <si>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</si>
  <si>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</si>
  <si>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</si>
  <si>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</si>
  <si>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</si>
  <si>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</si>
  <si>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</si>
  <si>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</si>
  <si>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</si>
  <si>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</si>
  <si>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</si>
  <si>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</si>
  <si>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</si>
  <si>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</si>
  <si>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</si>
  <si>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</si>
  <si>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</si>
  <si>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</si>
  <si>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</si>
  <si>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</si>
  <si>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</si>
  <si>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</si>
  <si>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</si>
  <si>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</si>
  <si>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</si>
  <si>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</si>
  <si>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</si>
  <si>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</si>
  <si>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</si>
  <si>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</si>
  <si>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</si>
  <si>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</si>
  <si>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</si>
  <si>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</si>
  <si>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</si>
  <si>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</si>
  <si>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</si>
  <si>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</si>
  <si>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</si>
  <si>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</si>
  <si>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</si>
  <si>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</si>
  <si>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</si>
  <si>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</si>
  <si>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</si>
  <si>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</si>
  <si>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</si>
  <si>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</si>
  <si>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</si>
  <si>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</si>
  <si>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</si>
  <si>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</si>
  <si>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</si>
  <si>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</si>
  <si>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</si>
  <si>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</si>
  <si>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</si>
  <si>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</si>
  <si>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</si>
  <si>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</si>
  <si>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</si>
  <si>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</si>
  <si>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</si>
  <si>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</si>
  <si>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</si>
  <si>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</si>
  <si>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</si>
  <si>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</si>
  <si>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</si>
  <si>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</si>
  <si>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</si>
  <si>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</si>
  <si>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</si>
  <si>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</si>
  <si>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</si>
  <si>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</si>
  <si>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</si>
  <si>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</si>
  <si>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</si>
  <si>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</si>
  <si>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</si>
  <si>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</si>
  <si>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</si>
  <si>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</si>
  <si>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</si>
  <si>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</si>
  <si>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</si>
  <si>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</si>
  <si>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</si>
  <si>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</si>
  <si>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</si>
  <si>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</si>
  <si>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</si>
  <si>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</si>
  <si>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</si>
  <si>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</si>
  <si>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</si>
  <si>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</si>
  <si>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</si>
  <si>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</si>
  <si>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</si>
  <si>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</si>
  <si>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</si>
  <si>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</si>
  <si>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</si>
  <si>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</si>
  <si>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</si>
  <si>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</si>
  <si>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</si>
  <si>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</si>
  <si>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</si>
  <si>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</si>
  <si>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</si>
  <si>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</si>
  <si>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</si>
  <si>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</si>
  <si>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</si>
  <si>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</si>
  <si>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</si>
  <si>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</si>
  <si>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</si>
  <si>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</si>
  <si>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</si>
  <si>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</si>
  <si>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</si>
  <si>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</si>
  <si>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</si>
  <si>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</si>
  <si>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</si>
  <si>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</si>
  <si>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</si>
  <si>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</si>
  <si>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</si>
  <si>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</si>
  <si>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</si>
  <si>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</si>
  <si>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</si>
  <si>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</si>
  <si>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</si>
  <si>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</si>
  <si>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</si>
  <si>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</si>
  <si>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</si>
  <si>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</si>
  <si>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</si>
  <si>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</si>
  <si>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</si>
  <si>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</si>
  <si>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</si>
  <si>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</si>
  <si>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</si>
  <si>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</si>
  <si>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</si>
  <si>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</si>
  <si>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</si>
  <si>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</si>
  <si>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</si>
  <si>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</si>
  <si>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</si>
  <si>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</si>
  <si>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</si>
  <si>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</si>
  <si>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</si>
  <si>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</si>
  <si>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</si>
  <si>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</si>
  <si>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</si>
  <si>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</si>
  <si>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</si>
  <si>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</si>
  <si>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</si>
  <si>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</si>
  <si>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</si>
  <si>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</si>
  <si>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</si>
  <si>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</si>
  <si>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</si>
  <si>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</si>
  <si>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</si>
  <si>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</si>
  <si>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</si>
  <si>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</si>
  <si>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</si>
  <si>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</si>
  <si>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</si>
  <si>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</si>
  <si>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</si>
  <si>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</si>
  <si>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</si>
  <si>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</si>
  <si>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</si>
  <si>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</si>
  <si>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</si>
  <si>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</si>
  <si>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</si>
  <si>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</si>
  <si>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</si>
  <si>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</si>
  <si>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</si>
  <si>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</si>
  <si>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</si>
  <si>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</si>
  <si>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</si>
  <si>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</si>
  <si>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</si>
  <si>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</si>
  <si>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</si>
  <si>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</si>
  <si>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</si>
  <si>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</si>
  <si>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</si>
  <si>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</si>
  <si>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</si>
  <si>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</si>
  <si>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</si>
  <si>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</si>
  <si>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</si>
  <si>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</si>
  <si>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</si>
  <si>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</si>
  <si>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</si>
  <si>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</si>
  <si>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</si>
  <si>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</si>
  <si>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</si>
  <si>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</si>
  <si>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</si>
  <si>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</si>
  <si>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</si>
  <si>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</si>
  <si>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</si>
  <si>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</si>
  <si>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</si>
  <si>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</si>
  <si>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</si>
  <si>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</si>
  <si>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</si>
  <si>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</si>
  <si>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</si>
  <si>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</si>
  <si>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</si>
  <si>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</si>
  <si>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</si>
  <si>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</si>
  <si>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</si>
  <si>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</si>
  <si>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</si>
  <si>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</si>
  <si>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</si>
  <si>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</si>
  <si>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</si>
  <si>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</si>
  <si>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</si>
  <si>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</si>
  <si>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</si>
  <si>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</si>
  <si>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</si>
  <si>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</si>
  <si>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</si>
  <si>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</si>
  <si>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</si>
  <si>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</si>
  <si>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</si>
  <si>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</si>
  <si>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</si>
  <si>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</si>
  <si>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</si>
  <si>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</si>
  <si>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</si>
  <si>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</si>
  <si>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</si>
  <si>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</si>
  <si>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</si>
  <si>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</si>
  <si>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</si>
  <si>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</si>
  <si>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</si>
  <si>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</si>
  <si>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</si>
  <si>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</si>
  <si>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</si>
  <si>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</si>
  <si>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</si>
  <si>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</si>
  <si>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</si>
  <si>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</si>
  <si>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</si>
  <si>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</si>
  <si>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</si>
  <si>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</si>
  <si>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</si>
  <si>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</si>
  <si>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</si>
  <si>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</si>
  <si>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</si>
  <si>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</si>
  <si>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</si>
  <si>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</si>
  <si>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</si>
  <si>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</si>
  <si>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</si>
  <si>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</si>
  <si>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</si>
  <si>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</si>
  <si>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</si>
  <si>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</si>
  <si>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</si>
  <si>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</si>
  <si>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</si>
  <si>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</si>
  <si>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</si>
  <si>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</si>
  <si>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</si>
  <si>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</si>
  <si>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</si>
  <si>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</si>
  <si>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</si>
  <si>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</si>
  <si>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</si>
  <si>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</si>
  <si>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</si>
  <si>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</si>
  <si>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</si>
  <si>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</si>
  <si>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</si>
  <si>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</si>
  <si>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</si>
  <si>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</si>
  <si>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</si>
  <si>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</si>
  <si>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</si>
  <si>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</si>
  <si>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</si>
  <si>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</si>
  <si>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</si>
  <si>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</si>
  <si>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</si>
  <si>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</si>
  <si>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</si>
  <si>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</si>
  <si>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</si>
  <si>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</si>
  <si>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</si>
  <si>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</si>
  <si>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</si>
  <si>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</si>
  <si>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</si>
  <si>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</si>
  <si>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</si>
  <si>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</si>
  <si>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</si>
  <si>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</si>
  <si>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</si>
  <si>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</si>
  <si>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</si>
  <si>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</si>
  <si>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</si>
  <si>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</si>
  <si>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</si>
  <si>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</si>
  <si>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</si>
  <si>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</si>
  <si>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</si>
  <si>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</si>
  <si>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</si>
  <si>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</si>
  <si>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</si>
  <si>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</si>
  <si>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</si>
  <si>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</si>
  <si>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</si>
  <si>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</si>
  <si>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</si>
  <si>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</si>
  <si>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</si>
  <si>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</si>
  <si>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</si>
  <si>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</si>
  <si>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</si>
  <si>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</si>
  <si>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</si>
  <si>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</si>
  <si>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</si>
  <si>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</si>
  <si>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</si>
  <si>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</si>
  <si>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</si>
  <si>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</si>
  <si>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</si>
  <si>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</si>
  <si>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</si>
  <si>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</si>
  <si>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</si>
  <si>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</si>
  <si>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</si>
  <si>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</si>
  <si>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</si>
  <si>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</si>
  <si>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</si>
  <si>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</si>
  <si>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</si>
  <si>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</si>
  <si>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</si>
  <si>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</si>
  <si>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</si>
  <si>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</si>
  <si>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</si>
  <si>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</si>
  <si>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</si>
  <si>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</si>
  <si>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</si>
  <si>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</si>
  <si>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</si>
  <si>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</si>
  <si>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</si>
  <si>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</si>
  <si>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</si>
  <si>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</si>
  <si>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</si>
  <si>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</si>
  <si>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</si>
  <si>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</si>
  <si>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</si>
  <si>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</si>
  <si>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</si>
  <si>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</si>
  <si>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</si>
  <si>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</si>
  <si>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</si>
  <si>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</si>
  <si>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</si>
  <si>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</si>
  <si>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</si>
  <si>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</si>
  <si>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</si>
  <si>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</si>
  <si>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</si>
  <si>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</si>
  <si>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</si>
  <si>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</si>
  <si>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</si>
  <si>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</si>
  <si>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</si>
  <si>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</si>
  <si>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</si>
  <si>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</si>
  <si>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</si>
  <si>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</si>
  <si>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</si>
  <si>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</si>
  <si>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</si>
  <si>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</si>
  <si>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</si>
  <si>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</si>
  <si>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</si>
  <si>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</si>
  <si>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</si>
  <si>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</si>
  <si>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</si>
  <si>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</si>
  <si>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</si>
  <si>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</si>
  <si>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</si>
  <si>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</si>
  <si>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</si>
  <si>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</si>
  <si>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</si>
  <si>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</si>
  <si>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</si>
  <si>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</si>
  <si>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</si>
  <si>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</si>
  <si>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</si>
  <si>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</si>
  <si>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</si>
  <si>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</si>
  <si>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</si>
  <si>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</si>
  <si>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</si>
  <si>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</si>
  <si>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</si>
  <si>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</si>
  <si>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</si>
  <si>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</si>
  <si>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</si>
  <si>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</si>
  <si>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</si>
  <si>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</si>
  <si>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</si>
  <si>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</si>
  <si>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</si>
  <si>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</si>
  <si>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</si>
  <si>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</si>
  <si>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</si>
  <si>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</si>
  <si>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</si>
  <si>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</si>
  <si>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</si>
  <si>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</si>
  <si>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</si>
  <si>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</si>
  <si>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</si>
  <si>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</si>
  <si>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</si>
  <si>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</si>
  <si>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</si>
  <si>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</si>
  <si>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</si>
  <si>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</si>
  <si>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</si>
  <si>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</si>
  <si>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</si>
  <si>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</si>
  <si>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</si>
  <si>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</si>
  <si>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</si>
  <si>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</si>
  <si>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</si>
  <si>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</si>
  <si>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</si>
  <si>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</si>
  <si>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</si>
  <si>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</si>
  <si>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</si>
  <si>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</si>
  <si>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</si>
  <si>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</si>
  <si>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</si>
  <si>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</si>
  <si>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</si>
  <si>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</si>
  <si>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</si>
  <si>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</si>
  <si>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</si>
  <si>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</si>
  <si>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</si>
  <si>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</si>
  <si>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</si>
  <si>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</si>
  <si>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</si>
  <si>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</si>
  <si>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</si>
  <si>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</si>
  <si>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</si>
  <si>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</si>
  <si>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</si>
  <si>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</si>
  <si>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</si>
  <si>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</si>
  <si>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</si>
  <si>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</si>
  <si>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</si>
  <si>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</si>
  <si>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</si>
  <si>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</si>
  <si>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</si>
  <si>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</si>
  <si>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</si>
  <si>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</si>
  <si>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</si>
  <si>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</si>
  <si>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</si>
  <si>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</si>
  <si>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</si>
  <si>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</si>
  <si>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</si>
  <si>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</si>
  <si>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</si>
  <si>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</si>
  <si>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</si>
  <si>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</si>
  <si>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</si>
  <si>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</si>
  <si>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</si>
  <si>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</si>
  <si>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</si>
  <si>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</si>
  <si>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</si>
  <si>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</si>
  <si>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</si>
  <si>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</si>
  <si>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</si>
  <si>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</si>
  <si>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</si>
  <si>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</si>
  <si>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</si>
  <si>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</si>
  <si>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</si>
  <si>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</si>
  <si>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</si>
  <si>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</si>
  <si>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</si>
  <si>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</si>
  <si>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</si>
  <si>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</si>
  <si>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</si>
  <si>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</si>
  <si>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</si>
  <si>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</si>
  <si>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</si>
  <si>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</si>
  <si>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</si>
  <si>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</si>
  <si>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</si>
  <si>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</si>
  <si>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</si>
  <si>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</si>
  <si>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</si>
  <si>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</si>
  <si>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</si>
  <si>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</si>
  <si>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</si>
  <si>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</si>
  <si>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</si>
  <si>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</si>
  <si>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</si>
  <si>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</si>
  <si>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</si>
  <si>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</si>
  <si>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</si>
  <si>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</si>
  <si>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</si>
  <si>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</si>
  <si>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</si>
  <si>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</si>
  <si>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</si>
  <si>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</si>
  <si>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</si>
  <si>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</si>
  <si>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</si>
  <si>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</si>
  <si>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</si>
  <si>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</si>
  <si>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</si>
  <si>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</si>
  <si>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</si>
  <si>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</si>
  <si>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</si>
  <si>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</si>
  <si>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</si>
  <si>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</si>
  <si>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</si>
  <si>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</si>
  <si>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</si>
  <si>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</si>
  <si>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</si>
  <si>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</si>
  <si>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</si>
  <si>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</si>
  <si>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</si>
  <si>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</si>
  <si>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</si>
  <si>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</si>
  <si>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</si>
  <si>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</si>
  <si>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</si>
  <si>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</si>
  <si>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</si>
  <si>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</si>
  <si>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</si>
  <si>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</si>
  <si>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</si>
  <si>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</si>
  <si>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</si>
  <si>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</si>
  <si>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</si>
  <si>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</si>
  <si>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</si>
  <si>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</si>
  <si>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</si>
  <si>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</si>
  <si>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</si>
  <si>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</si>
  <si>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</si>
  <si>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</si>
  <si>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</si>
  <si>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</si>
  <si>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</si>
  <si>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</si>
  <si>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</si>
  <si>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</si>
  <si>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</si>
  <si>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</si>
  <si>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</si>
  <si>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</si>
  <si>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</si>
  <si>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</si>
  <si>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</si>
  <si>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</si>
  <si>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</si>
  <si>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</si>
  <si>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</si>
  <si>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</si>
  <si>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</si>
  <si>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</si>
  <si>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</si>
  <si>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</si>
  <si>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</si>
  <si>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</si>
  <si>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</si>
  <si>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</si>
  <si>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</si>
  <si>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</si>
  <si>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</si>
  <si>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</si>
  <si>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</si>
  <si>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</si>
  <si>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</si>
  <si>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</si>
  <si>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</si>
  <si>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</si>
  <si>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</si>
  <si>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</si>
  <si>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</si>
  <si>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</si>
  <si>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</si>
  <si>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</si>
  <si>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</si>
  <si>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</si>
  <si>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</si>
  <si>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</si>
  <si>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</si>
  <si>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</si>
  <si>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</si>
  <si>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</si>
  <si>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</si>
  <si>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</si>
  <si>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</si>
  <si>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</si>
  <si>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</si>
  <si>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</si>
  <si>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</si>
  <si>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</si>
  <si>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</si>
  <si>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</si>
  <si>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</si>
  <si>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</si>
  <si>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</si>
  <si>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</si>
  <si>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</si>
  <si>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</si>
  <si>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</si>
  <si>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</si>
  <si>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</si>
  <si>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</si>
  <si>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</si>
  <si>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</si>
  <si>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</si>
  <si>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</si>
  <si>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</si>
  <si>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</si>
  <si>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</si>
  <si>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</si>
  <si>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</si>
  <si>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</si>
  <si>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</si>
  <si>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</si>
  <si>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</si>
  <si>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</si>
  <si>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</si>
  <si>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</si>
  <si>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</si>
  <si>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</si>
  <si>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</si>
  <si>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</si>
  <si>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</si>
  <si>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</si>
  <si>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</si>
  <si>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</si>
  <si>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</si>
  <si>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</si>
  <si>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</si>
  <si>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</si>
  <si>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</si>
  <si>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</si>
  <si>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</si>
  <si>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</si>
  <si>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</si>
  <si>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</si>
  <si>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</si>
  <si>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</si>
  <si>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</si>
  <si>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</si>
  <si>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</si>
  <si>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</si>
  <si>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</si>
  <si>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</si>
  <si>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</si>
  <si>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</si>
  <si>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</si>
  <si>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</si>
  <si>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</si>
  <si>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</si>
  <si>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</si>
  <si>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</si>
  <si>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</si>
  <si>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</si>
  <si>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</si>
  <si>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</si>
  <si>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</si>
  <si>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</si>
  <si>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</si>
  <si>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</si>
  <si>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</si>
  <si>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</si>
  <si>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</si>
  <si>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</si>
  <si>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</si>
  <si>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</si>
  <si>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</si>
  <si>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</si>
  <si>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</si>
  <si>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</si>
  <si>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</si>
  <si>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</si>
  <si>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</si>
  <si>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</si>
  <si>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</si>
  <si>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</si>
  <si>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</si>
  <si>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</si>
  <si>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</si>
  <si>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</si>
  <si>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</si>
  <si>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</si>
  <si>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</si>
  <si>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</si>
  <si>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</si>
  <si>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</si>
  <si>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</si>
  <si>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</si>
  <si>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</si>
  <si>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</si>
  <si>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</si>
  <si>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</si>
  <si>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</si>
  <si>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</si>
  <si>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</si>
  <si>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</si>
  <si>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</si>
  <si>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</si>
  <si>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</si>
  <si>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</si>
  <si>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</si>
  <si>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</si>
  <si>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</si>
  <si>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</si>
  <si>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</si>
  <si>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</si>
  <si>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</si>
  <si>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</si>
  <si>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</si>
  <si>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</si>
  <si>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</si>
  <si>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</si>
  <si>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</si>
  <si>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</si>
  <si>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</si>
  <si>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</si>
  <si>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</si>
  <si>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</si>
  <si>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</si>
  <si>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</si>
  <si>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</si>
  <si>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</si>
  <si>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</si>
  <si>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</si>
  <si>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</si>
  <si>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</si>
  <si>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</si>
  <si>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</si>
  <si>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</si>
  <si>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</si>
  <si>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</si>
  <si>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</si>
  <si>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</si>
  <si>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</si>
  <si>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</si>
  <si>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</si>
  <si>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</si>
  <si>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</si>
  <si>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</si>
  <si>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</si>
  <si>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</si>
  <si>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</si>
  <si>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</si>
  <si>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</si>
  <si>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</si>
  <si>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</si>
  <si>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</si>
  <si>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</si>
  <si>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</si>
  <si>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</si>
  <si>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</si>
  <si>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</si>
  <si>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</si>
  <si>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</si>
  <si>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</si>
  <si>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</si>
  <si>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</si>
  <si>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</si>
  <si>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</si>
  <si>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</si>
  <si>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</si>
  <si>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</si>
  <si>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</si>
  <si>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</si>
  <si>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</si>
  <si>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</si>
  <si>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</si>
  <si>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</si>
  <si>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</si>
  <si>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</si>
  <si>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</si>
  <si>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</si>
  <si>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</si>
  <si>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</si>
  <si>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</si>
  <si>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</si>
  <si>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</si>
  <si>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</si>
  <si>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</si>
  <si>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</si>
  <si>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</si>
  <si>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</si>
  <si>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</si>
  <si>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</si>
  <si>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</si>
  <si>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</si>
  <si>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</si>
  <si>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</si>
  <si>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</si>
  <si>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</si>
  <si>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</si>
  <si>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</si>
  <si>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</si>
  <si>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</si>
  <si>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</si>
  <si>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</si>
  <si>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</si>
  <si>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</si>
  <si>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</si>
  <si>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</si>
  <si>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</si>
  <si>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</si>
  <si>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</si>
  <si>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</si>
  <si>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</si>
  <si>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</si>
  <si>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</si>
  <si>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</si>
  <si>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</si>
  <si>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</si>
  <si>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</si>
  <si>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</si>
  <si>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</si>
  <si>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</si>
  <si>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</si>
  <si>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</si>
  <si>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</si>
  <si>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</si>
  <si>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</si>
  <si>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</si>
  <si>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</si>
  <si>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</si>
  <si>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</si>
  <si>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</si>
  <si>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</si>
  <si>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</si>
  <si>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</si>
  <si>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</si>
  <si>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</si>
  <si>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</si>
  <si>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</si>
  <si>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</si>
  <si>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</si>
  <si>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</si>
  <si>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</si>
  <si>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</si>
  <si>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</si>
  <si>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</si>
  <si>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</si>
  <si>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</si>
  <si>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</si>
  <si>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</si>
  <si>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</si>
  <si>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</si>
  <si>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</si>
  <si>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</si>
  <si>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</si>
  <si>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</si>
  <si>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</si>
  <si>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</si>
  <si>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</si>
  <si>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</si>
  <si>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</si>
  <si>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</si>
  <si>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</si>
  <si>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</si>
  <si>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</si>
  <si>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</si>
  <si>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</si>
  <si>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</si>
  <si>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</si>
  <si>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</si>
  <si>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</si>
  <si>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</si>
  <si>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</si>
  <si>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</si>
  <si>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</si>
  <si>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</si>
  <si>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</si>
  <si>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</si>
  <si>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</si>
  <si>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</si>
  <si>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</si>
  <si>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</si>
  <si>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</si>
  <si>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</si>
  <si>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</si>
  <si>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</si>
  <si>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</si>
  <si>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</si>
  <si>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</si>
  <si>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</si>
  <si>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</si>
  <si>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</si>
  <si>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</si>
  <si>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</si>
  <si>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</si>
  <si>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</si>
  <si>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</si>
  <si>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</si>
  <si>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</si>
  <si>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</si>
  <si>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</si>
  <si>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</si>
  <si>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</si>
  <si>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</si>
  <si>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</si>
  <si>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</si>
  <si>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</si>
  <si>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</si>
  <si>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</si>
  <si>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</si>
  <si>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</si>
  <si>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</si>
  <si>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</si>
  <si>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</si>
  <si>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</si>
  <si>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</si>
  <si>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</si>
  <si>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</si>
  <si>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</si>
  <si>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</si>
  <si>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</si>
  <si>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</si>
  <si>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</si>
  <si>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</si>
  <si>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</si>
  <si>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</si>
  <si>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</si>
  <si>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</si>
  <si>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</si>
  <si>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</si>
  <si>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</si>
  <si>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</si>
  <si>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</si>
  <si>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</si>
  <si>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</si>
  <si>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</si>
  <si>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</si>
  <si>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</si>
  <si>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</si>
  <si>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</si>
  <si>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</si>
  <si>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</si>
  <si>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</si>
  <si>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</si>
  <si>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</si>
  <si>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</si>
  <si>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</si>
  <si>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</si>
  <si>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</si>
  <si>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</si>
  <si>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</si>
  <si>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</si>
  <si>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</si>
  <si>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</si>
  <si>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</si>
  <si>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</si>
  <si>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</si>
  <si>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</si>
  <si>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</si>
  <si>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</si>
  <si>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</si>
  <si>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</si>
  <si>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</si>
  <si>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</si>
  <si>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</si>
  <si>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</si>
  <si>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</si>
  <si>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</si>
  <si>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</si>
  <si>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</si>
  <si>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</si>
  <si>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</si>
  <si>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</si>
  <si>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</si>
  <si>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</si>
  <si>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</si>
  <si>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</si>
  <si>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</si>
  <si>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</si>
  <si>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</si>
  <si>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</si>
  <si>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</si>
  <si>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</si>
  <si>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</si>
  <si>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</si>
  <si>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</si>
  <si>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</si>
  <si>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</si>
  <si>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</si>
  <si>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</si>
  <si>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出让</t>
  </si>
  <si>
    <t>符合</t>
  </si>
  <si>
    <t>一致</t>
  </si>
  <si>
    <t>高层住宅</t>
  </si>
  <si>
    <t>高层住宅</t>
    <phoneticPr fontId="3" type="noConversion"/>
  </si>
  <si>
    <t>地上</t>
  </si>
  <si>
    <t>普通住宅</t>
  </si>
  <si>
    <t>高层住宅</t>
    <phoneticPr fontId="7" type="noConversion"/>
  </si>
  <si>
    <t>0</t>
    <phoneticPr fontId="3" type="noConversion"/>
  </si>
  <si>
    <t>0</t>
    <phoneticPr fontId="3" type="noConversion"/>
  </si>
  <si>
    <t>不动产比较法（高层住宅）</t>
  </si>
  <si>
    <t>地块名称</t>
  </si>
  <si>
    <t>城市</t>
  </si>
  <si>
    <t>用地性质</t>
  </si>
  <si>
    <t>建设用地面积(㎡)</t>
  </si>
  <si>
    <t>规划建筑面积(㎡)</t>
  </si>
  <si>
    <t>出让方式</t>
  </si>
  <si>
    <t>截止日期</t>
  </si>
  <si>
    <t>起始价(万元)</t>
  </si>
  <si>
    <t>成交价(万元)</t>
  </si>
  <si>
    <t>成交楼面价(元/㎡)</t>
  </si>
  <si>
    <t>地面价</t>
    <phoneticPr fontId="3" type="noConversion"/>
  </si>
  <si>
    <t>溢价率</t>
  </si>
  <si>
    <t>受让单位</t>
  </si>
  <si>
    <t>双山北路以北,世纪西路以西</t>
  </si>
  <si>
    <t>济南市</t>
  </si>
  <si>
    <t>住宅用地</t>
  </si>
  <si>
    <t>大于或等于1.5并且小于或等于2</t>
  </si>
  <si>
    <t>挂牌</t>
  </si>
  <si>
    <t>2018-05-24</t>
  </si>
  <si>
    <t>已成交,竞得人未知</t>
  </si>
  <si>
    <t>世纪东路以东,东昌大道以南</t>
  </si>
  <si>
    <t>大于或等于1.4并且小于或等于1.7</t>
  </si>
  <si>
    <t>福康路以南,百合花园以西</t>
  </si>
  <si>
    <t>大于或等于1.5并且小于或等于1.8</t>
  </si>
  <si>
    <t>中康</t>
  </si>
  <si>
    <t>双山街道办事处,三涧溪村土地</t>
  </si>
  <si>
    <t>大于或等于1并且小于或等于1.5</t>
  </si>
  <si>
    <t>世茂</t>
  </si>
  <si>
    <t>福安路以南,世纪西路以东</t>
  </si>
  <si>
    <t>鑫苑</t>
  </si>
  <si>
    <t>双山北路以南,石河街以西</t>
  </si>
  <si>
    <t>2018-04-19</t>
  </si>
  <si>
    <t>济南市章丘区城市建设综合开发公司</t>
  </si>
  <si>
    <t>经十东路以北,双山北路以南,气象局以东</t>
  </si>
  <si>
    <t>大于或等于1.2并且小于或等于1.6</t>
  </si>
  <si>
    <t>济南东城建设置业有限公司</t>
  </si>
  <si>
    <t>官庄街道办事处官庄村</t>
  </si>
  <si>
    <t>大于或等于1.3并且小于或等于2</t>
  </si>
  <si>
    <t>2018-03-16</t>
  </si>
  <si>
    <t>济南官庄惠泽房产置业有限公司</t>
  </si>
  <si>
    <t>济青路以北,山东明化置业以西</t>
  </si>
  <si>
    <t>大于或等于1.5并且小于或等于2.2</t>
  </si>
  <si>
    <t>2018-02-09</t>
  </si>
  <si>
    <t>山东明化置业有限公司</t>
  </si>
  <si>
    <t>济青路以北,山东明化置业以南</t>
  </si>
  <si>
    <t>大于或等于1.8并且小于或等于2.5</t>
  </si>
  <si>
    <t>石河街以东,铁路以南</t>
  </si>
  <si>
    <t>济南元贺置业有限公司</t>
  </si>
  <si>
    <t>济青路以北,山东明化置业以北</t>
  </si>
  <si>
    <t>大于或等于2.2并且小于或等于3</t>
  </si>
  <si>
    <t>济青路以北,规划路以西山东明化置业以北</t>
  </si>
  <si>
    <t>济青路以北,绣水大街北延以西地块一</t>
  </si>
  <si>
    <t>大于或等于1.3并且小于或等于1.6</t>
  </si>
  <si>
    <t>石河街以东,鲁能公馆以北</t>
  </si>
  <si>
    <t>山东鲁能朱家峪开发有限公司</t>
  </si>
  <si>
    <t>工业四路以东,怡馨花园以南</t>
  </si>
  <si>
    <t>大于或等于1.8并且小于或等于2.3</t>
  </si>
  <si>
    <t>济南泉信国开置业有限公司</t>
  </si>
  <si>
    <t>双山大街以东,铁路货场以南</t>
  </si>
  <si>
    <t>2018-02-08</t>
  </si>
  <si>
    <t>雅居乐地产</t>
  </si>
  <si>
    <t>世纪大道以北,滨湖以东原马安村</t>
  </si>
  <si>
    <t>大于或等于2并且小于或等于2.2</t>
  </si>
  <si>
    <t>2018-01-29</t>
  </si>
  <si>
    <t>华侨城</t>
  </si>
  <si>
    <t>双山街道办事处原西琅沟村村址</t>
  </si>
  <si>
    <t>大于或等于1.3并且小于或等于1.8</t>
  </si>
  <si>
    <t>双山街道办事处原西琅沟村村</t>
  </si>
  <si>
    <t>胶济铁路以南,宏昌置业以北</t>
  </si>
  <si>
    <t>大于或等于1并且小于或等于1.3</t>
  </si>
  <si>
    <t>2017-11-16</t>
  </si>
  <si>
    <t>济南增富房地产开发有限公司</t>
  </si>
  <si>
    <t>双山北路以北,质量检测中心以东</t>
  </si>
  <si>
    <t>济南中康房地产开发有限公司</t>
  </si>
  <si>
    <t>创业路以南,工业一路以东</t>
  </si>
  <si>
    <t>中国重汽集团房地产开发有限公司</t>
  </si>
  <si>
    <t>双山大街以西,齐鲁涧桥以北</t>
  </si>
  <si>
    <t>大于或等于1并且小于或等于1.4</t>
  </si>
  <si>
    <t>文祖街道办事处驻地,文祖敬老院以南地块</t>
  </si>
  <si>
    <t>2017-06-12</t>
  </si>
  <si>
    <t>山东文德置业有限公司</t>
  </si>
  <si>
    <t>绣水大街以东,双山街道办事处原贺套村</t>
  </si>
  <si>
    <t>碧桂园</t>
  </si>
  <si>
    <t>S244路以东,原南皋埠村土地</t>
  </si>
  <si>
    <t>大于或等于1并且小于或等于1.2</t>
  </si>
  <si>
    <t>埠村办事处驻地,中学路以北</t>
  </si>
  <si>
    <t>大于或等于1.2并且小于或等于1.5</t>
  </si>
  <si>
    <t>济南颐海房地产开发有限公司</t>
  </si>
  <si>
    <t>世纪东路以西,规划山泉路以南</t>
  </si>
  <si>
    <t>大于或等于1并且小于或等于2.5</t>
  </si>
  <si>
    <t>章丘正大天源置业有限公司</t>
  </si>
  <si>
    <t>文祖街道办事处驻地文祖北村</t>
  </si>
  <si>
    <t>2017-02-20</t>
  </si>
  <si>
    <t>济南天欣房地产开发有限责任公司</t>
  </si>
  <si>
    <t>09路以东,绣源河以西季官村土地宗地二</t>
  </si>
  <si>
    <t>济南璞园置业有限公司</t>
  </si>
  <si>
    <t>09路以东,绣源河以西季官村土地宗地一</t>
  </si>
  <si>
    <t>09路以东,绣源河以西季官村土地宗地七</t>
  </si>
  <si>
    <t>和昌</t>
  </si>
  <si>
    <t>09路以东,绣源河以西季官村土地宗地五</t>
  </si>
  <si>
    <t>09路以东,大站水库以西季官村土地宗地一</t>
  </si>
  <si>
    <t>济南骏泉房地产开发有限公司</t>
  </si>
  <si>
    <t>09路以东,大站水库以西季官村土地宗地三</t>
  </si>
  <si>
    <t>09路以东,绣源河以西季官村土地宗地三</t>
  </si>
  <si>
    <t>09路以东,绣源河以西季官村土地宗地六</t>
  </si>
  <si>
    <t>09路以东,大站水库以西季官村土地宗地二</t>
  </si>
  <si>
    <t>09路以东,绣源河以西季官村土地宗地四</t>
  </si>
  <si>
    <t>住宅</t>
    <phoneticPr fontId="26" type="noConversion"/>
  </si>
  <si>
    <r>
      <t>70</t>
    </r>
    <r>
      <rPr>
        <sz val="11"/>
        <color indexed="8"/>
        <rFont val="宋体"/>
        <family val="3"/>
        <charset val="134"/>
      </rPr>
      <t>年</t>
    </r>
    <phoneticPr fontId="26" type="noConversion"/>
  </si>
  <si>
    <t>较差</t>
  </si>
  <si>
    <t>一般</t>
  </si>
  <si>
    <t>较好</t>
  </si>
  <si>
    <t>七通</t>
  </si>
  <si>
    <t>双面临街</t>
  </si>
  <si>
    <t>单面临街</t>
  </si>
  <si>
    <t>城市次干道</t>
    <phoneticPr fontId="26" type="noConversion"/>
  </si>
  <si>
    <t>较规整</t>
    <phoneticPr fontId="26" type="noConversion"/>
  </si>
  <si>
    <t>一般</t>
    <phoneticPr fontId="26" type="noConversion"/>
  </si>
  <si>
    <t>三通</t>
    <phoneticPr fontId="26" type="noConversion"/>
  </si>
  <si>
    <t>单位面积地价</t>
  </si>
  <si>
    <t>城市支路</t>
    <phoneticPr fontId="26" type="noConversion"/>
  </si>
  <si>
    <t>较差</t>
    <phoneticPr fontId="26" type="noConversion"/>
  </si>
  <si>
    <t>城市主干道</t>
    <phoneticPr fontId="26" type="noConversion"/>
  </si>
  <si>
    <t>城市支路</t>
    <phoneticPr fontId="26" type="noConversion"/>
  </si>
  <si>
    <t>售价</t>
  </si>
  <si>
    <t>中铁诺德名城</t>
    <phoneticPr fontId="3" type="noConversion"/>
  </si>
  <si>
    <t>中康绿城百合花园</t>
    <phoneticPr fontId="3" type="noConversion"/>
  </si>
  <si>
    <t>鲁能公馆</t>
    <phoneticPr fontId="3" type="noConversion"/>
  </si>
  <si>
    <t>世纪大道以南，工业二路以北</t>
    <phoneticPr fontId="3" type="noConversion"/>
  </si>
  <si>
    <t>福康路以南，世纪西路以西</t>
    <phoneticPr fontId="3" type="noConversion"/>
  </si>
  <si>
    <t>唐王山路以北</t>
    <phoneticPr fontId="3" type="noConversion"/>
  </si>
  <si>
    <t>住宅</t>
    <phoneticPr fontId="21" type="noConversion"/>
  </si>
  <si>
    <t>60-70（含）</t>
  </si>
  <si>
    <t>高层板楼</t>
    <phoneticPr fontId="21" type="noConversion"/>
  </si>
  <si>
    <t>钢混</t>
    <phoneticPr fontId="21" type="noConversion"/>
  </si>
  <si>
    <t>较好</t>
    <phoneticPr fontId="21" type="noConversion"/>
  </si>
  <si>
    <t>精装</t>
    <phoneticPr fontId="21" type="noConversion"/>
  </si>
  <si>
    <t>专业物业</t>
    <phoneticPr fontId="21" type="noConversion"/>
  </si>
  <si>
    <t>七通</t>
    <phoneticPr fontId="21" type="noConversion"/>
  </si>
  <si>
    <t>毛坯</t>
    <phoneticPr fontId="21" type="noConversion"/>
  </si>
  <si>
    <t>精装修</t>
    <phoneticPr fontId="21" type="noConversion"/>
  </si>
  <si>
    <t>一般</t>
    <phoneticPr fontId="21" type="noConversion"/>
  </si>
  <si>
    <t>普通装修</t>
    <phoneticPr fontId="21" type="noConversion"/>
  </si>
  <si>
    <t>项目全部</t>
  </si>
  <si>
    <t>土地</t>
  </si>
  <si>
    <t>剩余法-待开发</t>
  </si>
  <si>
    <t>比较法-住宅、综合</t>
  </si>
  <si>
    <r>
      <t>比较法</t>
    </r>
    <r>
      <rPr>
        <sz val="11"/>
        <color theme="1"/>
        <rFont val="Arial"/>
        <family val="2"/>
      </rPr>
      <t>-</t>
    </r>
    <r>
      <rPr>
        <sz val="11"/>
        <color theme="1"/>
        <rFont val="宋体"/>
        <family val="3"/>
        <charset val="134"/>
      </rPr>
      <t>住宅、综合</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</si>
</sst>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127" fillId="0" borderId="0" xfId="0" applyFont="1" applyAlignment="1"/>
    <xf numFmtId="0" fontId="0" fillId="17" borderId="0" xfId="0" applyFill="1" applyAlignment="1"/>
    <xf numFmtId="0" fontId="0" fillId="18" borderId="0" xfId="0" applyFill="1" applyAlignment="1"/>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84" fillId="2" borderId="20" xfId="0" applyFont="1" applyFill="1" applyBorder="1" applyAlignment="1" applyProtection="1">
      <alignment horizontal="center" vertical="center" wrapText="1"/>
      <protection locked="0"/>
    </xf>
    <xf numFmtId="0" fontId="167" fillId="0" borderId="0" xfId="0" applyFont="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66675</xdr:rowOff>
    </xdr:from>
    <xdr:to>
      <xdr:col>6</xdr:col>
      <xdr:colOff>151505</xdr:colOff>
      <xdr:row>28</xdr:row>
      <xdr:rowOff>161313</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66675"/>
          <a:ext cx="7161905" cy="4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9</xdr:col>
      <xdr:colOff>52388</xdr:colOff>
      <xdr:row>17</xdr:row>
      <xdr:rowOff>33338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6157913" cy="2947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42863</xdr:rowOff>
    </xdr:from>
    <xdr:to>
      <xdr:col>9</xdr:col>
      <xdr:colOff>71438</xdr:colOff>
      <xdr:row>35</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8963"/>
          <a:ext cx="6243638" cy="298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123825</xdr:rowOff>
    </xdr:from>
    <xdr:to>
      <xdr:col>9</xdr:col>
      <xdr:colOff>109538</xdr:colOff>
      <xdr:row>53</xdr:row>
      <xdr:rowOff>90488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296025"/>
          <a:ext cx="6281738" cy="2881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271463</xdr:colOff>
      <xdr:row>0</xdr:row>
      <xdr:rowOff>38100</xdr:rowOff>
    </xdr:from>
    <xdr:to>
      <xdr:col>22</xdr:col>
      <xdr:colOff>245269</xdr:colOff>
      <xdr:row>24</xdr:row>
      <xdr:rowOff>71438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43663" y="38100"/>
          <a:ext cx="8889206" cy="4148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42013平方米。根据《建设工程规划许可证》[]、《出让合同》[]，估价对象规划建筑面积为117636.4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本次评估为委托估价方了解标的物之市场价格提供参考依据而评估出让国有建设用地使用权市场价格。</v>
      </c>
    </row>
    <row r="10" spans="1:55" s="2876" customFormat="1">
      <c r="A10" s="2877" t="s">
        <v>2660</v>
      </c>
      <c r="B10" s="2878" t="str">
        <f>'预评函-1'!A11</f>
        <v>2018年6月25日（评估专业人员勘察现场之日）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根据《国有土地使用证》[]，估价对象（分摊）出让国有建设用地使用权面积为42013平方米。根据《建设工程规划许可证》[]、《出让合同》[]，估价对象规划建筑面积为117636.4平方米。</v>
      </c>
    </row>
    <row r="16" spans="1:55" s="2876" customFormat="1">
      <c r="A16" s="2877" t="s">
        <v>2670</v>
      </c>
      <c r="B16" s="2878" t="str">
        <f>'预评函-1'!A22</f>
        <v>本次估价对象为出让国有建设用地使用权，《国有土地使用证》[]证载土地终止日期为住宅2088年6月10日。截至估价期日，出让国有建设用地使用权剩余土地使用年限为。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2674</v>
      </c>
      <c r="B20" s="2878" t="str">
        <f>'预评函-1'!A27</f>
        <v>——</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估价期日：2018年6月25日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42013</v>
      </c>
    </row>
    <row r="44" spans="1:2">
      <c r="A44" s="2877" t="s">
        <v>2741</v>
      </c>
      <c r="B44" s="2878" t="str">
        <f>'预评函-2'!O3</f>
        <v>规划建筑面积/㎡</v>
      </c>
    </row>
    <row r="45" spans="1:2">
      <c r="A45" s="2877" t="s">
        <v>2723</v>
      </c>
      <c r="B45" s="2878">
        <f>'预评函-2'!O5</f>
        <v>117636.4</v>
      </c>
    </row>
    <row r="46" spans="1:2">
      <c r="A46" s="2877" t="s">
        <v>2724</v>
      </c>
      <c r="B46" s="2878">
        <f ca="1">'预评函-2'!P5</f>
        <v>8330</v>
      </c>
    </row>
    <row r="47" spans="1:2">
      <c r="A47" s="2877" t="s">
        <v>2725</v>
      </c>
      <c r="B47" s="2878">
        <f ca="1">'预评函-2'!Q5</f>
        <v>2975</v>
      </c>
    </row>
    <row r="48" spans="1:2">
      <c r="A48" s="2877" t="s">
        <v>2726</v>
      </c>
      <c r="B48" s="2878">
        <f ca="1">'预评函-2'!R5</f>
        <v>34996</v>
      </c>
    </row>
    <row r="49" spans="1:2">
      <c r="A49" s="2877" t="s">
        <v>2742</v>
      </c>
      <c r="B49" s="2878" t="str">
        <f>'预评函-2'!A6</f>
        <v>抵押价格</v>
      </c>
    </row>
    <row r="50" spans="1:2">
      <c r="A50" s="2877" t="s">
        <v>2727</v>
      </c>
      <c r="B50" s="2878" t="str">
        <f>'预评函-2'!R6</f>
        <v>——</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2.本次评估设定估价对象宗地权属无争议，未被查封或者以其他形式限制其房地产权利，未设定抵押权等他项权利，不涉及第三方权利义务。</v>
      </c>
    </row>
    <row r="60" spans="1:2">
      <c r="A60" s="2877" t="s">
        <v>2683</v>
      </c>
      <c r="B60" s="2878" t="str">
        <f>'预评函-3'!A9</f>
        <v>——</v>
      </c>
    </row>
    <row r="61" spans="1:2">
      <c r="A61" s="2877" t="s">
        <v>2685</v>
      </c>
      <c r="B61" s="2878" t="str">
        <f>'预评函-3'!A10</f>
        <v>——</v>
      </c>
    </row>
    <row r="62" spans="1:2">
      <c r="A62" s="2877" t="s">
        <v>2684</v>
      </c>
      <c r="B62" s="2878" t="str">
        <f>'预评函-3'!A11</f>
        <v>——</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v>
      </c>
    </row>
    <row r="66" spans="1:2">
      <c r="A66" s="2877" t="s">
        <v>2689</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C14" sqref="C1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24" t="str">
        <f>IF(B10="北京市","北京市",C10)&amp;F10&amp;B16&amp;"国有建设用地使用权"&amp;B9&amp;"预评估"</f>
        <v>出让国有建设用地使用权预评估</v>
      </c>
      <c r="C1" s="3225"/>
      <c r="D1" s="3225"/>
      <c r="E1" s="3225"/>
      <c r="F1" s="3225"/>
      <c r="G1" s="3225"/>
      <c r="H1" s="3225"/>
      <c r="I1" s="3226"/>
      <c r="J1" s="1692"/>
      <c r="K1" s="2454"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43276</v>
      </c>
      <c r="C3" s="1661" t="s">
        <v>1996</v>
      </c>
      <c r="D3" s="1660">
        <v>43276</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950</v>
      </c>
      <c r="G4" s="1844">
        <f>SUMIF(土地估价师,F4,估价师及机构信息!E3:E24)</f>
        <v>0</v>
      </c>
      <c r="H4" s="1841" t="s">
        <v>950</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30"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31"/>
      <c r="E9" s="1672"/>
      <c r="F9" s="1745"/>
      <c r="G9" s="1740"/>
      <c r="H9" s="1740"/>
      <c r="I9" s="1741"/>
      <c r="J9" s="1692"/>
      <c r="K9" s="1772"/>
      <c r="L9" s="1721"/>
      <c r="M9" s="1721"/>
      <c r="N9" s="1692"/>
      <c r="O9" s="1693"/>
      <c r="P9" s="1692"/>
      <c r="Q9" s="1692"/>
      <c r="R9" s="1692"/>
      <c r="S9" s="1692"/>
      <c r="T9" s="1692"/>
      <c r="U9" s="1692"/>
    </row>
    <row r="10" spans="1:21" ht="15" thickTop="1">
      <c r="A10" s="1742" t="s">
        <v>2000</v>
      </c>
      <c r="B10" s="1717"/>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27"/>
      <c r="C12" s="3228"/>
      <c r="D12" s="3229"/>
      <c r="E12" s="1697" t="s">
        <v>2062</v>
      </c>
      <c r="F12" s="3245" t="s">
        <v>2891</v>
      </c>
      <c r="G12" s="3246"/>
      <c r="H12" s="3246"/>
      <c r="I12" s="3247"/>
      <c r="J12" s="1692"/>
      <c r="K12" s="1772"/>
      <c r="L12" s="1721"/>
      <c r="M12" s="1721"/>
      <c r="N12" s="1692"/>
      <c r="O12" s="1693"/>
      <c r="P12" s="1692"/>
      <c r="Q12" s="1692"/>
      <c r="R12" s="1692"/>
      <c r="S12" s="1692"/>
      <c r="T12" s="1692"/>
      <c r="U12" s="1692"/>
    </row>
    <row r="13" spans="1:21">
      <c r="A13" s="1685" t="s">
        <v>2060</v>
      </c>
      <c r="B13" s="3227"/>
      <c r="C13" s="3228"/>
      <c r="D13" s="3229"/>
      <c r="E13" s="1697" t="s">
        <v>2062</v>
      </c>
      <c r="F13" s="3245" t="s">
        <v>2892</v>
      </c>
      <c r="G13" s="3246"/>
      <c r="H13" s="3246"/>
      <c r="I13" s="3247"/>
      <c r="J13" s="1692"/>
      <c r="K13" s="1772"/>
      <c r="L13" s="1721"/>
      <c r="M13" s="1721"/>
      <c r="N13" s="1692"/>
      <c r="O13" s="1693"/>
      <c r="P13" s="1692"/>
      <c r="Q13" s="1692"/>
      <c r="R13" s="1692"/>
      <c r="S13" s="1692"/>
      <c r="T13" s="1692"/>
      <c r="U13" s="1692"/>
    </row>
    <row r="14" spans="1:21">
      <c r="A14" s="1659" t="s">
        <v>2063</v>
      </c>
      <c r="B14" s="1697"/>
      <c r="C14" s="1843" t="s">
        <v>2984</v>
      </c>
      <c r="D14" s="1731" t="str">
        <f>IF(C14="不一致","是否符合证载地类范围","")</f>
        <v/>
      </c>
      <c r="E14" s="1697"/>
      <c r="F14" s="1788" t="s">
        <v>2983</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2982</v>
      </c>
      <c r="C16" s="1697" t="s">
        <v>1949</v>
      </c>
      <c r="D16" s="2645" t="s">
        <v>1950</v>
      </c>
      <c r="E16" s="1720"/>
      <c r="F16" s="1720"/>
      <c r="G16" s="1720"/>
      <c r="H16" s="1720"/>
      <c r="I16" s="1684" t="s">
        <v>1955</v>
      </c>
      <c r="J16" s="1692"/>
      <c r="K16" s="2455" t="str">
        <f>IF(D17="","",D16&amp;TEXT(D17,"yyyy年m月d日;;"))</f>
        <v>住宅2088年6月10日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68829</v>
      </c>
      <c r="E17" s="1698"/>
      <c r="F17" s="1698"/>
      <c r="G17" s="1698"/>
      <c r="H17" s="1698"/>
      <c r="I17" s="1698"/>
      <c r="J17" s="1692"/>
      <c r="K17" s="2454" t="str">
        <f>CONCATENATE(K16,L16,M16,N16,O16,P16,Q16,R16,S16,T16,,U16)</f>
        <v>住宅2088年6月10日</v>
      </c>
      <c r="L17" s="1721"/>
      <c r="M17" s="1721"/>
      <c r="N17" s="1692"/>
      <c r="O17" s="1693"/>
      <c r="P17" s="1692"/>
      <c r="Q17" s="1692"/>
      <c r="R17" s="1692"/>
      <c r="S17" s="1692"/>
      <c r="T17" s="1692"/>
      <c r="U17" s="1692"/>
    </row>
    <row r="18" spans="1:21">
      <c r="A18" s="1761"/>
      <c r="B18" s="1680"/>
      <c r="C18" s="1681" t="s">
        <v>1957</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70</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2"/>
      <c r="E20" s="3243"/>
      <c r="F20" s="3243"/>
      <c r="G20" s="3243"/>
      <c r="H20" s="3243"/>
      <c r="I20" s="3244"/>
      <c r="J20" s="1692"/>
      <c r="K20" s="1772"/>
      <c r="L20" s="1721"/>
      <c r="M20" s="1721"/>
      <c r="N20" s="1692"/>
      <c r="O20" s="1693"/>
      <c r="P20" s="1692"/>
      <c r="Q20" s="1692"/>
      <c r="R20" s="1692"/>
      <c r="S20" s="1692"/>
      <c r="T20" s="1692"/>
      <c r="U20" s="1692"/>
    </row>
    <row r="21" spans="1:21">
      <c r="A21" s="1761" t="s">
        <v>1959</v>
      </c>
      <c r="B21" s="1762" t="s">
        <v>1960</v>
      </c>
      <c r="C21" s="1757">
        <f>'数据-汇总表'!E3</f>
        <v>117636.4</v>
      </c>
      <c r="D21" s="1758" t="s">
        <v>1961</v>
      </c>
      <c r="E21" s="3232" t="s">
        <v>1999</v>
      </c>
      <c r="F21" s="3233"/>
      <c r="G21" s="3233"/>
      <c r="H21" s="3233"/>
      <c r="I21" s="3234"/>
      <c r="J21" s="1692"/>
      <c r="K21" s="1772"/>
      <c r="L21" s="1721"/>
      <c r="M21" s="1721"/>
      <c r="N21" s="1692"/>
      <c r="O21" s="1693"/>
      <c r="P21" s="1692"/>
      <c r="Q21" s="1692"/>
      <c r="R21" s="1692"/>
      <c r="S21" s="1692"/>
      <c r="T21" s="1692"/>
      <c r="U21" s="1692"/>
    </row>
    <row r="22" spans="1:21">
      <c r="A22" s="3145" t="s">
        <v>950</v>
      </c>
      <c r="B22" s="1659" t="s">
        <v>1962</v>
      </c>
      <c r="C22" s="1684">
        <f>'数据-汇总表'!D3</f>
        <v>42013</v>
      </c>
      <c r="D22" s="1685" t="s">
        <v>1961</v>
      </c>
      <c r="E22" s="3232" t="s">
        <v>2893</v>
      </c>
      <c r="F22" s="3233"/>
      <c r="G22" s="3233"/>
      <c r="H22" s="3233"/>
      <c r="I22" s="3234"/>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35" t="s">
        <v>1967</v>
      </c>
      <c r="C24" s="3236"/>
      <c r="D24" s="3237" t="s">
        <v>1968</v>
      </c>
      <c r="E24" s="3238"/>
      <c r="F24" s="1706" t="s">
        <v>1969</v>
      </c>
      <c r="G24" s="1692"/>
      <c r="H24" s="1692"/>
      <c r="I24" s="1705"/>
      <c r="J24" s="1692"/>
      <c r="K24" s="3223"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950</v>
      </c>
      <c r="F25" s="1710"/>
      <c r="G25" s="1692"/>
      <c r="H25" s="1692"/>
      <c r="I25" s="1705"/>
      <c r="J25" s="1692"/>
      <c r="K25" s="32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0" t="s">
        <v>2002</v>
      </c>
      <c r="B31" s="1762" t="s">
        <v>2003</v>
      </c>
      <c r="C31" s="3248"/>
      <c r="D31" s="3249"/>
      <c r="E31" s="1692"/>
      <c r="F31" s="1692"/>
      <c r="G31" s="1692"/>
      <c r="H31" s="1692"/>
      <c r="I31" s="1705"/>
      <c r="J31" s="1692"/>
      <c r="K31" s="2457"/>
      <c r="L31" s="1692"/>
      <c r="M31" s="1692"/>
      <c r="N31" s="1692"/>
      <c r="O31" s="1692"/>
      <c r="P31" s="1692"/>
      <c r="Q31" s="1692"/>
      <c r="R31" s="1692"/>
      <c r="S31" s="1692"/>
      <c r="T31" s="1692"/>
      <c r="U31" s="1692"/>
    </row>
    <row r="32" spans="1:21">
      <c r="A32" s="3250"/>
      <c r="B32" s="1659" t="s">
        <v>2004</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50"/>
      <c r="B33" s="1659" t="s">
        <v>2005</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1"/>
      <c r="B34" s="1659" t="s">
        <v>2006</v>
      </c>
      <c r="C34" s="3252"/>
      <c r="D34" s="3253"/>
      <c r="E34" s="1692"/>
      <c r="F34" s="1692"/>
      <c r="G34" s="1692"/>
      <c r="H34" s="1692"/>
      <c r="I34" s="1705"/>
      <c r="J34" s="1692"/>
      <c r="K34" s="2457"/>
      <c r="L34" s="1692"/>
      <c r="M34" s="1692"/>
      <c r="N34" s="1692"/>
      <c r="O34" s="1692"/>
      <c r="P34" s="1692"/>
      <c r="Q34" s="1692"/>
      <c r="R34" s="1692"/>
      <c r="S34" s="1692"/>
      <c r="T34" s="1692"/>
      <c r="U34" s="1692"/>
    </row>
    <row r="35" spans="1:21">
      <c r="A35" s="3254" t="s">
        <v>845</v>
      </c>
      <c r="B35" s="1720"/>
      <c r="C35" s="1774" t="str">
        <f>IF(B35="场地平整","——","具体情况：")</f>
        <v>具体情况：</v>
      </c>
      <c r="D35" s="3256"/>
      <c r="E35" s="3257"/>
      <c r="F35" s="3257"/>
      <c r="G35" s="3257"/>
      <c r="H35" s="3257"/>
      <c r="I35" s="3258"/>
      <c r="J35" s="1692"/>
      <c r="K35" s="1773"/>
      <c r="L35" s="1721"/>
      <c r="M35" s="1721"/>
      <c r="N35" s="1692"/>
      <c r="O35" s="1693"/>
      <c r="P35" s="1692"/>
      <c r="Q35" s="1692"/>
      <c r="R35" s="1692"/>
      <c r="S35" s="1692"/>
      <c r="T35" s="1692"/>
      <c r="U35" s="1692"/>
    </row>
    <row r="36" spans="1:21">
      <c r="A36" s="3250"/>
      <c r="B36" s="3259" t="s">
        <v>2055</v>
      </c>
      <c r="C36" s="3260"/>
      <c r="D36" s="1790"/>
      <c r="E36" s="3261"/>
      <c r="F36" s="3261"/>
      <c r="G36" s="1685" t="str">
        <f>IF(B35="场地未平整","估价结果处理","")</f>
        <v/>
      </c>
      <c r="H36" s="3262"/>
      <c r="I36" s="3262"/>
      <c r="J36" s="1692"/>
      <c r="K36" s="1773"/>
      <c r="L36" s="1721"/>
      <c r="M36" s="1721"/>
      <c r="N36" s="1692"/>
      <c r="O36" s="1693"/>
      <c r="P36" s="1692"/>
      <c r="Q36" s="1692"/>
      <c r="R36" s="1692"/>
      <c r="S36" s="1692"/>
      <c r="T36" s="1692"/>
      <c r="U36" s="1692"/>
    </row>
    <row r="37" spans="1:21" ht="28.5">
      <c r="A37" s="3250"/>
      <c r="B37" s="3239"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250"/>
      <c r="B38" s="3240"/>
      <c r="C38" s="1667" t="s">
        <v>848</v>
      </c>
      <c r="D38" s="1789">
        <f>ROUNDDOWN(MIN(('数据-取费表'!$B$2-D37)/365,D34),1)</f>
        <v>118.5</v>
      </c>
      <c r="E38" s="1725" t="s">
        <v>849</v>
      </c>
      <c r="F38" s="1692"/>
      <c r="G38" s="1692"/>
      <c r="H38" s="1692"/>
      <c r="I38" s="1705"/>
      <c r="J38" s="1692"/>
      <c r="K38" s="1773"/>
      <c r="L38" s="1692"/>
      <c r="M38" s="1692"/>
      <c r="N38" s="1692"/>
      <c r="O38" s="1692"/>
      <c r="P38" s="1692"/>
      <c r="Q38" s="1692"/>
      <c r="R38" s="1692"/>
      <c r="S38" s="1692"/>
      <c r="T38" s="1692"/>
      <c r="U38" s="1692"/>
    </row>
    <row r="39" spans="1:21">
      <c r="A39" s="3251"/>
      <c r="B39" s="324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22" t="s">
        <v>1986</v>
      </c>
      <c r="T40" s="1729" t="str">
        <f>NUMBERSTRING(7-K40,1)&amp;"通"</f>
        <v>七通</v>
      </c>
      <c r="U40" s="1692"/>
    </row>
    <row r="41" spans="1:21">
      <c r="A41" s="1661"/>
      <c r="B41" s="3255" t="s">
        <v>1720</v>
      </c>
      <c r="C41" s="3255"/>
      <c r="D41" s="3255"/>
      <c r="E41" s="3255"/>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2"/>
      <c r="T41" s="1731" t="str">
        <f>IF(T40="一通",L41,IF(T40="二通",M41,IF(T40="三通",N41,IF(T40="四通",O41,IF(T40="五通",P41,IF(T40="六通",Q41,R41))))))</f>
        <v>、、、、、、</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P1" sqref="AP1:AS104857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hidden="1" customWidth="1"/>
    <col min="12"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9" width="9.5" style="14" hidden="1" customWidth="1"/>
    <col min="40" max="41" width="9.5" style="14" customWidth="1"/>
    <col min="4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165</v>
      </c>
      <c r="AZ2" s="2359" t="s">
        <v>2334</v>
      </c>
      <c r="BA2" s="2360"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42013</v>
      </c>
      <c r="B3" s="21">
        <f>IF(C3="否",G5-AT5,G5)</f>
        <v>117636.4</v>
      </c>
      <c r="C3" s="22" t="s">
        <v>1677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5" t="s">
        <v>166</v>
      </c>
      <c r="B5" s="987"/>
      <c r="C5" s="987"/>
      <c r="D5" s="994"/>
      <c r="E5" s="26" t="s">
        <v>1</v>
      </c>
      <c r="F5" s="26">
        <f>SUM(F13:F572)</f>
        <v>0</v>
      </c>
      <c r="G5" s="26">
        <f>SUM(G13:G572)</f>
        <v>117636.4</v>
      </c>
      <c r="H5" s="26">
        <f t="shared" ref="H5:AT5" si="0">SUM(H13:H641)</f>
        <v>74623.399999999994</v>
      </c>
      <c r="I5" s="26">
        <f t="shared" si="0"/>
        <v>74623.399999999994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43013</v>
      </c>
      <c r="AD5" s="26">
        <f t="shared" si="0"/>
        <v>1000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42013</v>
      </c>
      <c r="AO5" s="26">
        <f t="shared" si="0"/>
        <v>0</v>
      </c>
      <c r="AP5" s="26">
        <f t="shared" si="0"/>
        <v>0</v>
      </c>
      <c r="AQ5" s="26">
        <f t="shared" si="0"/>
        <v>0</v>
      </c>
      <c r="AR5" s="26">
        <f t="shared" si="0"/>
        <v>0</v>
      </c>
      <c r="AS5" s="26">
        <f t="shared" si="0"/>
        <v>0</v>
      </c>
      <c r="AT5" s="26">
        <f t="shared" si="0"/>
        <v>0</v>
      </c>
      <c r="AU5" s="986"/>
      <c r="AV5" s="25" t="s">
        <v>166</v>
      </c>
      <c r="AW5" s="987"/>
      <c r="AX5" s="987"/>
      <c r="AY5" s="27" t="s">
        <v>3</v>
      </c>
      <c r="AZ5" s="28">
        <f t="shared" ref="AZ5:BT5" si="1">SUM(AZ13:AZ641)</f>
        <v>117636.4</v>
      </c>
      <c r="BA5" s="28">
        <f t="shared" si="1"/>
        <v>74623.399999999994</v>
      </c>
      <c r="BB5" s="28">
        <f t="shared" si="1"/>
        <v>74623.399999999994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43013</v>
      </c>
      <c r="BM5" s="28">
        <f t="shared" si="1"/>
        <v>1000</v>
      </c>
      <c r="BN5" s="28">
        <f t="shared" si="1"/>
        <v>0</v>
      </c>
      <c r="BO5" s="28">
        <f t="shared" si="1"/>
        <v>0</v>
      </c>
      <c r="BP5" s="28">
        <f t="shared" si="1"/>
        <v>0</v>
      </c>
      <c r="BQ5" s="28">
        <f t="shared" si="1"/>
        <v>0</v>
      </c>
      <c r="BR5" s="28">
        <f t="shared" si="1"/>
        <v>42013</v>
      </c>
      <c r="BS5" s="28">
        <f t="shared" si="1"/>
        <v>0</v>
      </c>
      <c r="BT5" s="29">
        <f t="shared" si="1"/>
        <v>0</v>
      </c>
    </row>
    <row r="6" spans="1:72" s="36" customFormat="1" ht="12.75">
      <c r="A6" s="25" t="s">
        <v>167</v>
      </c>
      <c r="B6" s="30"/>
      <c r="C6" s="30"/>
      <c r="D6" s="31"/>
      <c r="E6" s="26">
        <f>H6+AC6+AT6</f>
        <v>42012.99</v>
      </c>
      <c r="F6" s="26" t="s">
        <v>1</v>
      </c>
      <c r="G6" s="26" t="s">
        <v>2</v>
      </c>
      <c r="H6" s="32">
        <f>SUMIF(I$12:AB$12,"总值",I6:AB6)</f>
        <v>26651.21</v>
      </c>
      <c r="I6" s="26">
        <f t="shared" ref="I6:AB6" si="2">ROUND($A$3*I5/$B$3,2)</f>
        <v>26651.21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15361.779999999999</v>
      </c>
      <c r="AD6" s="26">
        <f t="shared" ref="AD6:AS6" si="3">ROUND($A$3*AD5/$B$3,2)</f>
        <v>357.14</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15004.64</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42013</v>
      </c>
      <c r="AZ6" s="26" t="s">
        <v>3</v>
      </c>
      <c r="BA6" s="26">
        <f>ROUND($AY$6*BA5/$AZ$5,2)</f>
        <v>26651.21</v>
      </c>
      <c r="BB6" s="26">
        <f>ROUND($AY$6*BB5/$AZ$5,2)</f>
        <v>26651.21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15361.79</v>
      </c>
      <c r="BM6" s="26">
        <f t="shared" si="5"/>
        <v>357.14</v>
      </c>
      <c r="BN6" s="26">
        <f t="shared" si="5"/>
        <v>0</v>
      </c>
      <c r="BO6" s="26">
        <f t="shared" si="5"/>
        <v>0</v>
      </c>
      <c r="BP6" s="26">
        <f t="shared" si="5"/>
        <v>0</v>
      </c>
      <c r="BQ6" s="26">
        <f t="shared" si="5"/>
        <v>0</v>
      </c>
      <c r="BR6" s="26">
        <f t="shared" si="5"/>
        <v>15004.64</v>
      </c>
      <c r="BS6" s="26">
        <f t="shared" si="5"/>
        <v>0</v>
      </c>
      <c r="BT6" s="35">
        <f t="shared" si="5"/>
        <v>0</v>
      </c>
    </row>
    <row r="7" spans="1:72" s="17"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175</v>
      </c>
      <c r="AV7" s="40" t="s">
        <v>176</v>
      </c>
      <c r="AW7" s="41" t="s">
        <v>177</v>
      </c>
      <c r="AX7" s="40" t="s">
        <v>178</v>
      </c>
      <c r="AY7" s="987"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99"/>
      <c r="K8" s="999"/>
      <c r="L8" s="999"/>
      <c r="M8" s="999"/>
      <c r="N8" s="999"/>
      <c r="O8" s="999"/>
      <c r="P8" s="999"/>
      <c r="Q8" s="999"/>
      <c r="R8" s="999"/>
      <c r="S8" s="999"/>
      <c r="T8" s="999"/>
      <c r="U8" s="999"/>
      <c r="V8" s="48"/>
      <c r="W8" s="999"/>
      <c r="X8" s="999"/>
      <c r="Y8" s="999"/>
      <c r="Z8" s="999"/>
      <c r="AA8" s="48"/>
      <c r="AB8" s="49"/>
      <c r="AC8" s="50" t="s">
        <v>182</v>
      </c>
      <c r="AD8" s="51"/>
      <c r="AE8" s="42"/>
      <c r="AF8" s="999"/>
      <c r="AG8" s="999"/>
      <c r="AH8" s="999"/>
      <c r="AI8" s="999"/>
      <c r="AJ8" s="999"/>
      <c r="AK8" s="999"/>
      <c r="AL8" s="999"/>
      <c r="AM8" s="999"/>
      <c r="AN8" s="999"/>
      <c r="AO8" s="999"/>
      <c r="AP8" s="999"/>
      <c r="AQ8" s="999"/>
      <c r="AR8" s="999"/>
      <c r="AS8" s="2296"/>
      <c r="AT8" s="2327" t="s">
        <v>853</v>
      </c>
      <c r="AU8" s="44" t="s">
        <v>183</v>
      </c>
      <c r="AV8" s="54"/>
      <c r="AW8" s="1001"/>
      <c r="AX8" s="54"/>
      <c r="AY8" s="41" t="s">
        <v>184</v>
      </c>
      <c r="AZ8" s="998" t="s">
        <v>185</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186</v>
      </c>
      <c r="I9" s="3017" t="s">
        <v>2987</v>
      </c>
      <c r="J9" s="50"/>
      <c r="K9" s="3017"/>
      <c r="L9" s="50"/>
      <c r="M9" s="3017"/>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85" t="s">
        <v>189</v>
      </c>
      <c r="AQ9" s="1187"/>
      <c r="AR9" s="1185" t="s">
        <v>190</v>
      </c>
      <c r="AS9" s="2328"/>
      <c r="AT9" s="44"/>
      <c r="AU9" s="44" t="s">
        <v>192</v>
      </c>
      <c r="AV9" s="54"/>
      <c r="AW9" s="1001"/>
      <c r="AX9" s="54"/>
      <c r="AY9" s="61"/>
      <c r="AZ9" s="61" t="s">
        <v>193</v>
      </c>
      <c r="BA9" s="62" t="s">
        <v>194</v>
      </c>
      <c r="BB9" s="63"/>
      <c r="BC9" s="993"/>
      <c r="BD9" s="993"/>
      <c r="BE9" s="993"/>
      <c r="BF9" s="993"/>
      <c r="BG9" s="993"/>
      <c r="BH9" s="993"/>
      <c r="BI9" s="993"/>
      <c r="BJ9" s="993"/>
      <c r="BK9" s="64"/>
      <c r="BL9" s="25" t="s">
        <v>195</v>
      </c>
      <c r="BM9" s="999"/>
      <c r="BN9" s="47"/>
      <c r="BO9" s="999"/>
      <c r="BP9" s="999"/>
      <c r="BQ9" s="999"/>
      <c r="BR9" s="999"/>
      <c r="BS9" s="999"/>
      <c r="BT9" s="55"/>
    </row>
    <row r="10" spans="1:72" s="56" customFormat="1" ht="12.75">
      <c r="A10" s="44"/>
      <c r="B10" s="44"/>
      <c r="C10" s="44"/>
      <c r="D10" s="44"/>
      <c r="E10" s="44"/>
      <c r="F10" s="44"/>
      <c r="G10" s="54"/>
      <c r="H10" s="61"/>
      <c r="I10" s="3017" t="s">
        <v>921</v>
      </c>
      <c r="J10" s="50"/>
      <c r="K10" s="3019"/>
      <c r="L10" s="50"/>
      <c r="M10" s="3019"/>
      <c r="N10" s="50"/>
      <c r="O10" s="65"/>
      <c r="P10" s="50"/>
      <c r="Q10" s="65"/>
      <c r="R10" s="50"/>
      <c r="S10" s="65"/>
      <c r="T10" s="50"/>
      <c r="U10" s="65"/>
      <c r="V10" s="50"/>
      <c r="W10" s="65"/>
      <c r="X10" s="50"/>
      <c r="Y10" s="65"/>
      <c r="Z10" s="50"/>
      <c r="AA10" s="65"/>
      <c r="AB10" s="50"/>
      <c r="AC10" s="54"/>
      <c r="AD10" s="2313" t="s">
        <v>2318</v>
      </c>
      <c r="AE10" s="2335"/>
      <c r="AF10" s="2313" t="s">
        <v>2318</v>
      </c>
      <c r="AG10" s="2335"/>
      <c r="AH10" s="2313" t="s">
        <v>2319</v>
      </c>
      <c r="AI10" s="2335"/>
      <c r="AJ10" s="25" t="s">
        <v>2332</v>
      </c>
      <c r="AK10" s="2332"/>
      <c r="AL10" s="2313" t="s">
        <v>2320</v>
      </c>
      <c r="AM10" s="2314"/>
      <c r="AN10" s="25" t="s">
        <v>196</v>
      </c>
      <c r="AO10" s="60"/>
      <c r="AP10" s="1185" t="s">
        <v>197</v>
      </c>
      <c r="AQ10" s="1187"/>
      <c r="AR10" s="1185" t="s">
        <v>197</v>
      </c>
      <c r="AS10" s="1187"/>
      <c r="AT10" s="44"/>
      <c r="AU10" s="44"/>
      <c r="AV10" s="54"/>
      <c r="AW10" s="1001"/>
      <c r="AX10" s="54"/>
      <c r="AY10" s="61"/>
      <c r="AZ10" s="61"/>
      <c r="BA10" s="66" t="s">
        <v>191</v>
      </c>
      <c r="BB10" s="67" t="str">
        <f>I9</f>
        <v>地上</v>
      </c>
      <c r="BC10" s="68">
        <f>K9</f>
        <v>0</v>
      </c>
      <c r="BD10" s="68">
        <f>M9</f>
        <v>0</v>
      </c>
      <c r="BE10" s="68">
        <f>O9</f>
        <v>0</v>
      </c>
      <c r="BF10" s="68">
        <f>Q9</f>
        <v>0</v>
      </c>
      <c r="BG10" s="68">
        <f>S9</f>
        <v>0</v>
      </c>
      <c r="BH10" s="68">
        <f>U9</f>
        <v>0</v>
      </c>
      <c r="BI10" s="68">
        <f>W9</f>
        <v>0</v>
      </c>
      <c r="BJ10" s="68">
        <f>Y9</f>
        <v>0</v>
      </c>
      <c r="BK10" s="68">
        <f>AA9</f>
        <v>0</v>
      </c>
      <c r="BL10" s="53" t="s">
        <v>191</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2988</v>
      </c>
      <c r="J11" s="70"/>
      <c r="K11" s="3018"/>
      <c r="L11" s="70"/>
      <c r="M11" s="69"/>
      <c r="N11" s="70"/>
      <c r="O11" s="69"/>
      <c r="P11" s="70"/>
      <c r="Q11" s="69"/>
      <c r="R11" s="70"/>
      <c r="S11" s="69"/>
      <c r="T11" s="70"/>
      <c r="U11" s="69"/>
      <c r="V11" s="70"/>
      <c r="W11" s="69"/>
      <c r="X11" s="70"/>
      <c r="Y11" s="69"/>
      <c r="Z11" s="70"/>
      <c r="AA11" s="69"/>
      <c r="AB11" s="70"/>
      <c r="AC11" s="54"/>
      <c r="AD11" s="2333" t="s">
        <v>2331</v>
      </c>
      <c r="AE11" s="1000"/>
      <c r="AF11" s="2333" t="s">
        <v>2331</v>
      </c>
      <c r="AG11" s="1000"/>
      <c r="AH11" s="2333" t="s">
        <v>2330</v>
      </c>
      <c r="AI11" s="2334"/>
      <c r="AJ11" s="2333" t="s">
        <v>2330</v>
      </c>
      <c r="AK11" s="2332"/>
      <c r="AL11" s="998"/>
      <c r="AM11" s="1000"/>
      <c r="AN11" s="998"/>
      <c r="AO11" s="1000"/>
      <c r="AP11" s="1186"/>
      <c r="AQ11" s="1188"/>
      <c r="AR11" s="1186"/>
      <c r="AS11" s="1188"/>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6" t="s">
        <v>199</v>
      </c>
      <c r="W12" s="16" t="s">
        <v>198</v>
      </c>
      <c r="X12" s="16" t="s">
        <v>199</v>
      </c>
      <c r="Y12" s="16" t="s">
        <v>198</v>
      </c>
      <c r="Z12" s="16" t="s">
        <v>199</v>
      </c>
      <c r="AA12" s="16" t="s">
        <v>198</v>
      </c>
      <c r="AB12" s="16" t="s">
        <v>199</v>
      </c>
      <c r="AC12" s="74"/>
      <c r="AD12" s="994" t="s">
        <v>198</v>
      </c>
      <c r="AE12" s="16" t="s">
        <v>199</v>
      </c>
      <c r="AF12" s="16" t="s">
        <v>198</v>
      </c>
      <c r="AG12" s="16" t="s">
        <v>199</v>
      </c>
      <c r="AH12" s="16" t="s">
        <v>198</v>
      </c>
      <c r="AI12" s="16" t="s">
        <v>199</v>
      </c>
      <c r="AJ12" s="16" t="s">
        <v>198</v>
      </c>
      <c r="AK12" s="16" t="s">
        <v>199</v>
      </c>
      <c r="AL12" s="16" t="s">
        <v>198</v>
      </c>
      <c r="AM12" s="16" t="s">
        <v>199</v>
      </c>
      <c r="AN12" s="16" t="s">
        <v>198</v>
      </c>
      <c r="AO12" s="16" t="s">
        <v>199</v>
      </c>
      <c r="AP12" s="1184" t="s">
        <v>198</v>
      </c>
      <c r="AQ12" s="1184" t="s">
        <v>199</v>
      </c>
      <c r="AR12" s="1190" t="s">
        <v>198</v>
      </c>
      <c r="AS12" s="1189" t="s">
        <v>199</v>
      </c>
      <c r="AT12" s="75"/>
      <c r="AU12" s="71"/>
      <c r="AV12" s="76"/>
      <c r="AW12" s="41"/>
      <c r="AX12" s="76"/>
      <c r="AY12" s="77"/>
      <c r="AZ12" s="61"/>
      <c r="BA12" s="66"/>
      <c r="BB12" s="52" t="str">
        <f>I11</f>
        <v>普通住宅</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3012"/>
      <c r="B13" s="3012"/>
      <c r="C13" s="3012" t="s">
        <v>2986</v>
      </c>
      <c r="D13" s="3013" t="s">
        <v>1677</v>
      </c>
      <c r="E13" s="26">
        <f t="shared" ref="E13:E20" si="6">IF($C$3="是",ROUND($A$3*G13/$B$3,2),ROUND($A$3*(G13-AT13)/$B$3,2))</f>
        <v>42013</v>
      </c>
      <c r="F13" s="80"/>
      <c r="G13" s="81">
        <f t="shared" ref="G13:G20" si="7">H13+AC13+AT13</f>
        <v>117636.4</v>
      </c>
      <c r="H13" s="32">
        <f t="shared" ref="H13:H20" si="8">SUMIF(I$12:AB$12,"总值",I13:AB13)</f>
        <v>74623.399999999994</v>
      </c>
      <c r="I13" s="3016">
        <f>ROUND(A3*1.8-1000,2)</f>
        <v>74623.399999999994</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43013</v>
      </c>
      <c r="AD13" s="3020">
        <v>1000</v>
      </c>
      <c r="AE13" s="3020"/>
      <c r="AF13" s="3020"/>
      <c r="AG13" s="3020"/>
      <c r="AH13" s="3020"/>
      <c r="AI13" s="3020"/>
      <c r="AJ13" s="3020"/>
      <c r="AK13" s="3020"/>
      <c r="AL13" s="3020"/>
      <c r="AM13" s="3020"/>
      <c r="AN13" s="3020">
        <v>42013</v>
      </c>
      <c r="AO13" s="3020"/>
      <c r="AP13" s="3020"/>
      <c r="AQ13" s="3020"/>
      <c r="AR13" s="3020"/>
      <c r="AS13" s="3020"/>
      <c r="AT13" s="3021"/>
      <c r="AU13" s="3022"/>
      <c r="AV13" s="16">
        <f t="shared" ref="AV13:AX20" si="10">A13</f>
        <v>0</v>
      </c>
      <c r="AW13" s="16">
        <f t="shared" si="10"/>
        <v>0</v>
      </c>
      <c r="AX13" s="16" t="str">
        <f t="shared" si="10"/>
        <v>高层住宅</v>
      </c>
      <c r="AY13" s="994">
        <f t="shared" ref="AY13:AY20" si="11">ROUND($AY$6*AZ13/$AZ$5,2)</f>
        <v>42013</v>
      </c>
      <c r="AZ13" s="26">
        <f t="shared" ref="AZ13:AZ20" si="12">BA13+BL13</f>
        <v>117636.4</v>
      </c>
      <c r="BA13" s="26">
        <f t="shared" ref="BA13:BA20" si="13">SUM(BB13:BK13)</f>
        <v>74623.399999999994</v>
      </c>
      <c r="BB13" s="26">
        <f t="shared" ref="BB13:BB20" si="14">IF($D13="是",I13-J13,0)</f>
        <v>74623.399999999994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43013</v>
      </c>
      <c r="BM13" s="26">
        <f t="shared" ref="BM13:BM20" si="25">IF($D13="是",AD13-AE13,0)</f>
        <v>1000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42013</v>
      </c>
      <c r="BS13" s="26">
        <f t="shared" ref="BS13:BS20" si="31">IF($D13="是",AP13-AQ13,0)</f>
        <v>0</v>
      </c>
      <c r="BT13" s="35">
        <f t="shared" ref="BT13:BT20" si="32">IF($D13="是",AR13-AS13,0)</f>
        <v>0</v>
      </c>
    </row>
    <row r="14" spans="1:72" s="17" customFormat="1" ht="12.75">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I8" sqref="I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200</v>
      </c>
      <c r="B1" s="1983"/>
      <c r="C1" s="1983"/>
      <c r="D1" s="1983"/>
      <c r="E1" s="1983"/>
      <c r="F1" s="1983"/>
      <c r="G1" s="1983"/>
      <c r="H1" s="1983"/>
      <c r="I1" s="1983"/>
      <c r="J1" s="1983"/>
      <c r="K1" s="1983"/>
      <c r="L1" s="1983"/>
    </row>
    <row r="2" spans="1:16" ht="15">
      <c r="A2" s="3274" t="s">
        <v>201</v>
      </c>
      <c r="B2" s="3274"/>
      <c r="C2" s="3274"/>
      <c r="D2" s="1974" t="s">
        <v>202</v>
      </c>
      <c r="E2" s="105" t="s">
        <v>203</v>
      </c>
      <c r="F2" s="1983"/>
      <c r="G2" s="1196"/>
      <c r="H2" s="1197"/>
      <c r="I2" s="1198" t="s">
        <v>855</v>
      </c>
      <c r="J2" s="1983"/>
      <c r="K2" s="1983"/>
      <c r="L2" s="1983"/>
    </row>
    <row r="3" spans="1:16" ht="15.75" thickBot="1">
      <c r="A3" s="3275" t="s">
        <v>204</v>
      </c>
      <c r="B3" s="3275"/>
      <c r="C3" s="3275"/>
      <c r="D3" s="106">
        <f>'数据-基础表'!AY6</f>
        <v>42013</v>
      </c>
      <c r="E3" s="106">
        <f>'数据-基础表'!AZ5</f>
        <v>117636.4</v>
      </c>
      <c r="F3" s="1983"/>
      <c r="G3" s="279" t="s">
        <v>856</v>
      </c>
      <c r="H3" s="274" t="s">
        <v>857</v>
      </c>
      <c r="I3" s="1975">
        <f>ROUND('数据-基础表'!B3/'数据-基础表'!A3,2)</f>
        <v>2.8</v>
      </c>
      <c r="J3" s="1983"/>
      <c r="K3" s="1983"/>
      <c r="L3" s="1983"/>
    </row>
    <row r="4" spans="1:16" ht="15">
      <c r="A4" s="3276"/>
      <c r="B4" s="3277"/>
      <c r="C4" s="3278"/>
      <c r="D4" s="107" t="s">
        <v>202</v>
      </c>
      <c r="E4" s="108" t="s">
        <v>203</v>
      </c>
      <c r="F4" s="1983"/>
      <c r="G4" s="1199"/>
      <c r="H4" s="274" t="s">
        <v>858</v>
      </c>
      <c r="I4" s="1975">
        <f>ROUND(SUMIF('数据-基础表'!I9:AS9,"地上",'数据-基础表'!I5:AS5)/'数据-基础表'!A3,2)</f>
        <v>1.8</v>
      </c>
      <c r="J4" s="1983"/>
      <c r="K4" s="1983"/>
      <c r="L4" s="1983"/>
    </row>
    <row r="5" spans="1:16">
      <c r="A5" s="109" t="s">
        <v>205</v>
      </c>
      <c r="B5" s="3279" t="s">
        <v>228</v>
      </c>
      <c r="C5" s="3279"/>
      <c r="D5" s="110">
        <f>ROUND($D$3*E5/$E$3,2)</f>
        <v>26651.21</v>
      </c>
      <c r="E5" s="111">
        <f>SUMIF('数据-基础表'!$11:$11,"住宅",'数据-基础表'!$5:$5)</f>
        <v>74623.399999999994</v>
      </c>
      <c r="F5" s="1983"/>
      <c r="G5" s="279" t="s">
        <v>859</v>
      </c>
      <c r="H5" s="274" t="s">
        <v>857</v>
      </c>
      <c r="I5" s="1975">
        <f>ROUND(E31/D31,2)</f>
        <v>2.8</v>
      </c>
      <c r="J5" s="1983"/>
      <c r="K5" s="1983"/>
      <c r="L5" s="1983"/>
    </row>
    <row r="6" spans="1:16" ht="15" thickBot="1">
      <c r="A6" s="112"/>
      <c r="B6" s="3279" t="s">
        <v>206</v>
      </c>
      <c r="C6" s="3279"/>
      <c r="D6" s="110">
        <f>ROUND($D$3*E6/$E$3,2)</f>
        <v>15361.79</v>
      </c>
      <c r="E6" s="111">
        <f>E3-E5</f>
        <v>43013</v>
      </c>
      <c r="F6" s="1983"/>
      <c r="G6" s="1199"/>
      <c r="H6" s="274" t="s">
        <v>858</v>
      </c>
      <c r="I6" s="1975">
        <f>ROUND(F31/D31,2)</f>
        <v>1.8</v>
      </c>
      <c r="J6" s="1983"/>
      <c r="K6" s="1983"/>
      <c r="L6" s="1983"/>
    </row>
    <row r="7" spans="1:16" ht="15">
      <c r="A7" s="3271"/>
      <c r="B7" s="3272"/>
      <c r="C7" s="3273"/>
      <c r="D7" s="107" t="s">
        <v>202</v>
      </c>
      <c r="E7" s="113" t="s">
        <v>229</v>
      </c>
      <c r="F7" s="1983"/>
      <c r="G7" s="1154" t="s">
        <v>1644</v>
      </c>
      <c r="H7" s="1155"/>
      <c r="I7" s="1845">
        <f>I6</f>
        <v>1.8</v>
      </c>
      <c r="J7" s="1983"/>
      <c r="K7" s="1983"/>
      <c r="L7" s="1983"/>
    </row>
    <row r="8" spans="1:16">
      <c r="A8" s="109" t="s">
        <v>207</v>
      </c>
      <c r="B8" s="114" t="s">
        <v>208</v>
      </c>
      <c r="C8" s="110" t="s">
        <v>209</v>
      </c>
      <c r="D8" s="110">
        <f t="shared" ref="D8:D15" si="0">ROUND($D$3*E8/$E$3,2)</f>
        <v>26651.21</v>
      </c>
      <c r="E8" s="115">
        <f>SUMIF('数据-基础表'!BB10:BK10,"地上",'数据-基础表'!BB5:BK5)</f>
        <v>74623.399999999994</v>
      </c>
      <c r="F8" s="1983"/>
      <c r="G8" s="1985"/>
      <c r="H8" s="1985"/>
      <c r="I8" s="1983"/>
      <c r="J8" s="1983"/>
      <c r="K8" s="1983"/>
      <c r="L8" s="1983"/>
    </row>
    <row r="9" spans="1:16">
      <c r="A9" s="116"/>
      <c r="B9" s="117"/>
      <c r="C9" s="110" t="s">
        <v>210</v>
      </c>
      <c r="D9" s="110">
        <f t="shared" si="0"/>
        <v>357.14</v>
      </c>
      <c r="E9" s="118">
        <f>'数据-基础表'!AD13</f>
        <v>1000</v>
      </c>
      <c r="F9" s="1983"/>
      <c r="G9" s="1985"/>
      <c r="H9" s="1985"/>
      <c r="I9" s="1983"/>
      <c r="J9" s="1983"/>
      <c r="K9" s="1983"/>
      <c r="L9" s="1983"/>
    </row>
    <row r="10" spans="1:16">
      <c r="A10" s="116"/>
      <c r="B10" s="117"/>
      <c r="C10" s="110" t="s">
        <v>211</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2328</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212</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2335</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230</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231</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213</v>
      </c>
      <c r="D16" s="114">
        <f>SUM(D8:D15)</f>
        <v>27008.35</v>
      </c>
      <c r="E16" s="119">
        <f>SUM(E8:E15)</f>
        <v>75623.399999999994</v>
      </c>
      <c r="F16" s="1983"/>
      <c r="G16" s="1985"/>
      <c r="H16" s="966" t="s">
        <v>217</v>
      </c>
      <c r="I16" s="967"/>
      <c r="J16" s="1983"/>
      <c r="K16" s="3265" t="s">
        <v>2567</v>
      </c>
      <c r="L16" s="3266"/>
      <c r="M16" s="3266"/>
      <c r="N16" s="3266"/>
      <c r="O16" s="3266"/>
      <c r="P16" s="3267"/>
    </row>
    <row r="17" spans="1:19" ht="15">
      <c r="A17" s="120" t="s">
        <v>214</v>
      </c>
      <c r="B17" s="121" t="s">
        <v>215</v>
      </c>
      <c r="C17" s="2297" t="s">
        <v>2314</v>
      </c>
      <c r="D17" s="107" t="s">
        <v>202</v>
      </c>
      <c r="E17" s="123" t="s">
        <v>203</v>
      </c>
      <c r="F17" s="124"/>
      <c r="G17" s="1364"/>
      <c r="H17" s="968" t="s">
        <v>216</v>
      </c>
      <c r="I17" s="969" t="s">
        <v>2313</v>
      </c>
      <c r="J17" s="1983"/>
      <c r="K17" s="3268" t="s">
        <v>2568</v>
      </c>
      <c r="L17" s="3269"/>
      <c r="M17" s="3270"/>
      <c r="N17" s="3268" t="s">
        <v>2569</v>
      </c>
      <c r="O17" s="3269"/>
      <c r="P17" s="3270"/>
      <c r="R17" s="2298" t="s">
        <v>2312</v>
      </c>
      <c r="S17" s="143"/>
    </row>
    <row r="18" spans="1:19" ht="15">
      <c r="A18" s="116"/>
      <c r="B18" s="127"/>
      <c r="C18" s="128"/>
      <c r="D18" s="2641"/>
      <c r="E18" s="129" t="s">
        <v>218</v>
      </c>
      <c r="F18" s="130" t="s">
        <v>219</v>
      </c>
      <c r="G18" s="1365" t="s">
        <v>220</v>
      </c>
      <c r="H18" s="970" t="s">
        <v>221</v>
      </c>
      <c r="I18" s="971" t="s">
        <v>222</v>
      </c>
      <c r="J18" s="1983"/>
      <c r="K18" s="2604" t="s">
        <v>2570</v>
      </c>
      <c r="L18" s="2605" t="s">
        <v>2571</v>
      </c>
      <c r="M18" s="2606" t="s">
        <v>2572</v>
      </c>
      <c r="N18" s="2604" t="s">
        <v>2570</v>
      </c>
      <c r="O18" s="2605" t="s">
        <v>2571</v>
      </c>
      <c r="P18" s="2606" t="s">
        <v>2572</v>
      </c>
      <c r="R18" s="2299" t="s">
        <v>2310</v>
      </c>
      <c r="S18" s="2299" t="s">
        <v>2311</v>
      </c>
    </row>
    <row r="19" spans="1:19">
      <c r="A19" s="132"/>
      <c r="B19" s="114" t="s">
        <v>223</v>
      </c>
      <c r="C19" s="3023" t="s">
        <v>2989</v>
      </c>
      <c r="D19" s="110">
        <f t="shared" ref="D19:D26" si="1">ROUND($D$3*E19/$E$3,2)</f>
        <v>26651.21</v>
      </c>
      <c r="E19" s="133">
        <f t="shared" ref="E19:E26" si="2">SUM(F19:G19)</f>
        <v>74623.399999999994</v>
      </c>
      <c r="F19" s="134">
        <f>'数据-基础表'!I13</f>
        <v>74623.399999999994</v>
      </c>
      <c r="G19" s="1366">
        <v>0</v>
      </c>
      <c r="H19" s="972">
        <f>ROUND($D$3*I19/$E$3,2)</f>
        <v>15361.79</v>
      </c>
      <c r="I19" s="115">
        <f>IF($I$17="自定义",P19,M19)</f>
        <v>43013</v>
      </c>
      <c r="J19" s="1983"/>
      <c r="K19" s="2607">
        <f t="shared" ref="K19:K26" si="3">ROUND(E$28*E19/E$27,2)</f>
        <v>42013</v>
      </c>
      <c r="L19" s="274">
        <f t="shared" ref="L19:L26" si="4">ROUND(IF(COUNTIF(C19,"*住宅*")&gt;0,E$29*E19/E$32,0),2)</f>
        <v>1000</v>
      </c>
      <c r="M19" s="2608">
        <f>K19+L19</f>
        <v>43013</v>
      </c>
      <c r="N19" s="2609"/>
      <c r="O19" s="2610"/>
      <c r="P19" s="2611">
        <f>N19+O19</f>
        <v>0</v>
      </c>
      <c r="R19" s="274">
        <f t="shared" ref="R19:S26" si="5">D19+H19</f>
        <v>42013</v>
      </c>
      <c r="S19" s="2300">
        <f t="shared" si="5"/>
        <v>117636.4</v>
      </c>
    </row>
    <row r="20" spans="1:19" hidden="1">
      <c r="A20" s="137"/>
      <c r="B20" s="114" t="s">
        <v>224</v>
      </c>
      <c r="C20" s="3023"/>
      <c r="D20" s="110">
        <f t="shared" si="1"/>
        <v>0</v>
      </c>
      <c r="E20" s="133">
        <f t="shared" si="2"/>
        <v>0</v>
      </c>
      <c r="F20" s="134"/>
      <c r="G20" s="1366"/>
      <c r="H20" s="972">
        <f t="shared" ref="H20:H26" si="6">ROUND($D$3*I20/$E$3,2)</f>
        <v>0</v>
      </c>
      <c r="I20" s="115">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hidden="1">
      <c r="A21" s="137"/>
      <c r="B21" s="114" t="s">
        <v>224</v>
      </c>
      <c r="C21" s="3023"/>
      <c r="D21" s="110">
        <f t="shared" si="1"/>
        <v>0</v>
      </c>
      <c r="E21" s="133">
        <f t="shared" si="2"/>
        <v>0</v>
      </c>
      <c r="F21" s="134"/>
      <c r="G21" s="1366"/>
      <c r="H21" s="972">
        <f t="shared" si="6"/>
        <v>0</v>
      </c>
      <c r="I21" s="115">
        <f t="shared" si="7"/>
        <v>0</v>
      </c>
      <c r="J21" s="1983"/>
      <c r="K21" s="2607">
        <f t="shared" si="3"/>
        <v>0</v>
      </c>
      <c r="L21" s="274">
        <f t="shared" si="4"/>
        <v>0</v>
      </c>
      <c r="M21" s="2608">
        <f t="shared" si="8"/>
        <v>0</v>
      </c>
      <c r="N21" s="2609"/>
      <c r="O21" s="2610"/>
      <c r="P21" s="2611">
        <f t="shared" si="9"/>
        <v>0</v>
      </c>
      <c r="R21" s="274">
        <f t="shared" si="5"/>
        <v>0</v>
      </c>
      <c r="S21" s="2300">
        <f t="shared" si="5"/>
        <v>0</v>
      </c>
    </row>
    <row r="22" spans="1:19" hidden="1">
      <c r="A22" s="137"/>
      <c r="B22" s="114" t="s">
        <v>224</v>
      </c>
      <c r="C22" s="1363"/>
      <c r="D22" s="110">
        <f t="shared" si="1"/>
        <v>0</v>
      </c>
      <c r="E22" s="133">
        <f t="shared" si="2"/>
        <v>0</v>
      </c>
      <c r="F22" s="139"/>
      <c r="G22" s="1367"/>
      <c r="H22" s="972">
        <f t="shared" si="6"/>
        <v>0</v>
      </c>
      <c r="I22" s="115">
        <f t="shared" si="7"/>
        <v>0</v>
      </c>
      <c r="J22" s="1983"/>
      <c r="K22" s="2607">
        <f t="shared" si="3"/>
        <v>0</v>
      </c>
      <c r="L22" s="274">
        <f t="shared" si="4"/>
        <v>0</v>
      </c>
      <c r="M22" s="2608">
        <f t="shared" si="8"/>
        <v>0</v>
      </c>
      <c r="N22" s="2609"/>
      <c r="O22" s="2610"/>
      <c r="P22" s="2611">
        <f t="shared" si="9"/>
        <v>0</v>
      </c>
      <c r="R22" s="274">
        <f t="shared" si="5"/>
        <v>0</v>
      </c>
      <c r="S22" s="2300">
        <f t="shared" si="5"/>
        <v>0</v>
      </c>
    </row>
    <row r="23" spans="1:19" hidden="1">
      <c r="A23" s="137"/>
      <c r="B23" s="114" t="s">
        <v>224</v>
      </c>
      <c r="C23" s="138"/>
      <c r="D23" s="110">
        <f>ROUND($D$3*E23/$E$3,2)</f>
        <v>0</v>
      </c>
      <c r="E23" s="133">
        <f>SUM(F23:G23)</f>
        <v>0</v>
      </c>
      <c r="F23" s="139"/>
      <c r="G23" s="1367"/>
      <c r="H23" s="972">
        <f>ROUND($D$3*I23/$E$3,2)</f>
        <v>0</v>
      </c>
      <c r="I23" s="115">
        <f t="shared" si="7"/>
        <v>0</v>
      </c>
      <c r="J23" s="1983"/>
      <c r="K23" s="2607">
        <f t="shared" si="3"/>
        <v>0</v>
      </c>
      <c r="L23" s="274">
        <f t="shared" si="4"/>
        <v>0</v>
      </c>
      <c r="M23" s="2608">
        <f t="shared" si="8"/>
        <v>0</v>
      </c>
      <c r="N23" s="2609"/>
      <c r="O23" s="2610"/>
      <c r="P23" s="2611">
        <f t="shared" si="9"/>
        <v>0</v>
      </c>
      <c r="R23" s="274">
        <f t="shared" si="5"/>
        <v>0</v>
      </c>
      <c r="S23" s="2300">
        <f t="shared" si="5"/>
        <v>0</v>
      </c>
    </row>
    <row r="24" spans="1:19" hidden="1">
      <c r="A24" s="137"/>
      <c r="B24" s="114" t="s">
        <v>224</v>
      </c>
      <c r="C24" s="138"/>
      <c r="D24" s="110">
        <f>ROUND($D$3*E24/$E$3,2)</f>
        <v>0</v>
      </c>
      <c r="E24" s="133">
        <f>SUM(F24:G24)</f>
        <v>0</v>
      </c>
      <c r="F24" s="139"/>
      <c r="G24" s="1367"/>
      <c r="H24" s="972">
        <f>ROUND($D$3*I24/$E$3,2)</f>
        <v>0</v>
      </c>
      <c r="I24" s="115">
        <f t="shared" si="7"/>
        <v>0</v>
      </c>
      <c r="J24" s="1983"/>
      <c r="K24" s="2607">
        <f t="shared" si="3"/>
        <v>0</v>
      </c>
      <c r="L24" s="274">
        <f t="shared" si="4"/>
        <v>0</v>
      </c>
      <c r="M24" s="2608">
        <f t="shared" si="8"/>
        <v>0</v>
      </c>
      <c r="N24" s="2609"/>
      <c r="O24" s="2610"/>
      <c r="P24" s="2611">
        <f t="shared" si="9"/>
        <v>0</v>
      </c>
      <c r="R24" s="274">
        <f t="shared" si="5"/>
        <v>0</v>
      </c>
      <c r="S24" s="2300">
        <f t="shared" si="5"/>
        <v>0</v>
      </c>
    </row>
    <row r="25" spans="1:19" hidden="1">
      <c r="A25" s="137"/>
      <c r="B25" s="114" t="s">
        <v>224</v>
      </c>
      <c r="C25" s="138"/>
      <c r="D25" s="110">
        <f t="shared" si="1"/>
        <v>0</v>
      </c>
      <c r="E25" s="133">
        <f t="shared" si="2"/>
        <v>0</v>
      </c>
      <c r="F25" s="139"/>
      <c r="G25" s="1367"/>
      <c r="H25" s="109">
        <f t="shared" si="6"/>
        <v>0</v>
      </c>
      <c r="I25" s="115">
        <f t="shared" si="7"/>
        <v>0</v>
      </c>
      <c r="J25" s="1983"/>
      <c r="K25" s="2607">
        <f t="shared" si="3"/>
        <v>0</v>
      </c>
      <c r="L25" s="274">
        <f t="shared" si="4"/>
        <v>0</v>
      </c>
      <c r="M25" s="2608">
        <f t="shared" si="8"/>
        <v>0</v>
      </c>
      <c r="N25" s="2609"/>
      <c r="O25" s="2610"/>
      <c r="P25" s="2611">
        <f t="shared" si="9"/>
        <v>0</v>
      </c>
      <c r="R25" s="274">
        <f t="shared" si="5"/>
        <v>0</v>
      </c>
      <c r="S25" s="2300">
        <f t="shared" si="5"/>
        <v>0</v>
      </c>
    </row>
    <row r="26" spans="1:19" hidden="1">
      <c r="A26" s="137"/>
      <c r="B26" s="114" t="s">
        <v>224</v>
      </c>
      <c r="C26" s="141"/>
      <c r="D26" s="110">
        <f t="shared" si="1"/>
        <v>0</v>
      </c>
      <c r="E26" s="133">
        <f t="shared" si="2"/>
        <v>0</v>
      </c>
      <c r="F26" s="139"/>
      <c r="G26" s="1367"/>
      <c r="H26" s="109">
        <f t="shared" si="6"/>
        <v>0</v>
      </c>
      <c r="I26" s="115">
        <f t="shared" si="7"/>
        <v>0</v>
      </c>
      <c r="J26" s="1983"/>
      <c r="K26" s="2612">
        <f t="shared" si="3"/>
        <v>0</v>
      </c>
      <c r="L26" s="279">
        <f t="shared" si="4"/>
        <v>0</v>
      </c>
      <c r="M26" s="145">
        <f t="shared" si="8"/>
        <v>0</v>
      </c>
      <c r="N26" s="2613"/>
      <c r="O26" s="2614"/>
      <c r="P26" s="2615">
        <f t="shared" si="9"/>
        <v>0</v>
      </c>
      <c r="R26" s="274">
        <f t="shared" si="5"/>
        <v>0</v>
      </c>
      <c r="S26" s="2300">
        <f t="shared" si="5"/>
        <v>0</v>
      </c>
    </row>
    <row r="27" spans="1:19" ht="15.75" thickBot="1">
      <c r="A27" s="137"/>
      <c r="B27" s="110"/>
      <c r="C27" s="126" t="s">
        <v>213</v>
      </c>
      <c r="D27" s="133">
        <f>SUM(D19:D26)</f>
        <v>26651.21</v>
      </c>
      <c r="E27" s="142">
        <f>IF(SUM(E19:E26)='数据-基础表'!BA5,SUM(E19:E26),IF(F27="地上面积有误","面积有误","地下面积有误"))</f>
        <v>74623.399999999994</v>
      </c>
      <c r="F27" s="133">
        <f>IF(SUM(F19:F26)=E8,SUM(F19:F26),"地上面积有误")</f>
        <v>74623.399999999994</v>
      </c>
      <c r="G27" s="111">
        <f>SUM(G19:G26)</f>
        <v>0</v>
      </c>
      <c r="H27" s="973">
        <f>SUM(H19:H26)</f>
        <v>15361.79</v>
      </c>
      <c r="I27" s="974">
        <f>SUM(I19:I26)</f>
        <v>43013</v>
      </c>
      <c r="J27" s="1983"/>
      <c r="K27" s="2616">
        <f>SUM(K19:K26)</f>
        <v>42013</v>
      </c>
      <c r="L27" s="2617">
        <f>SUM(L19:L26)</f>
        <v>1000</v>
      </c>
      <c r="M27" s="2618">
        <f>SUM(M19:M26)</f>
        <v>43013</v>
      </c>
      <c r="N27" s="2616">
        <f t="shared" ref="N27:O27" si="10">SUM(N19:N26)</f>
        <v>0</v>
      </c>
      <c r="O27" s="2617">
        <f t="shared" si="10"/>
        <v>0</v>
      </c>
      <c r="P27" s="2619">
        <f>SUM(P19:P26)</f>
        <v>0</v>
      </c>
      <c r="R27" s="2304">
        <f>IF(SUM(R19:R26)=$D$3,SUM(R19:R26),SUM(R19:R26)&amp;"误差"&amp;ROUND(SUM(R19:R26)-$D$3,2))</f>
        <v>42013</v>
      </c>
      <c r="S27" s="274">
        <f>IF(SUM(S19:S26)=$E$3,SUM(S19:S26),SUM(S19:S26)&amp;"误差"&amp;ROUND(SUM(S19:S26)-E3,2))</f>
        <v>117636.4</v>
      </c>
    </row>
    <row r="28" spans="1:19">
      <c r="A28" s="137"/>
      <c r="B28" s="114" t="s">
        <v>225</v>
      </c>
      <c r="C28" s="135" t="s">
        <v>226</v>
      </c>
      <c r="D28" s="110">
        <f>ROUND($D$3*E28/$E$3,2)</f>
        <v>15004.64</v>
      </c>
      <c r="E28" s="133">
        <f>SUM(F28:G28)</f>
        <v>42013</v>
      </c>
      <c r="F28" s="143">
        <f>'数据-基础表'!BQ5+'数据-基础表'!BS5</f>
        <v>0</v>
      </c>
      <c r="G28" s="144">
        <f>'数据-基础表'!BR5+'数据-基础表'!BT5</f>
        <v>42013</v>
      </c>
      <c r="H28" s="1983"/>
      <c r="I28" s="1983"/>
      <c r="J28" s="1983"/>
      <c r="K28" s="1983"/>
      <c r="L28" s="1983"/>
    </row>
    <row r="29" spans="1:19">
      <c r="A29" s="137"/>
      <c r="B29" s="114" t="s">
        <v>225</v>
      </c>
      <c r="C29" s="2312" t="s">
        <v>2321</v>
      </c>
      <c r="D29" s="110">
        <f>ROUND($D$3*E29/$E$3,2)</f>
        <v>357.14</v>
      </c>
      <c r="E29" s="133">
        <f>SUM(F29:G29)</f>
        <v>1000</v>
      </c>
      <c r="F29" s="143">
        <f>'数据-基础表'!BM5+'数据-基础表'!BO5</f>
        <v>1000</v>
      </c>
      <c r="G29" s="145">
        <f>'数据-基础表'!BN5+'数据-基础表'!BP5</f>
        <v>0</v>
      </c>
      <c r="H29" s="1983"/>
      <c r="I29" s="1983"/>
      <c r="J29" s="1983"/>
      <c r="K29" s="1983"/>
      <c r="L29" s="1983"/>
    </row>
    <row r="30" spans="1:19">
      <c r="A30" s="137"/>
      <c r="B30" s="110"/>
      <c r="C30" s="146" t="s">
        <v>213</v>
      </c>
      <c r="D30" s="133">
        <f>SUM(D28:D29)</f>
        <v>15361.779999999999</v>
      </c>
      <c r="E30" s="133">
        <f>SUM(E28:E29)</f>
        <v>43013</v>
      </c>
      <c r="F30" s="133">
        <f>SUM(F28:F29)</f>
        <v>1000</v>
      </c>
      <c r="G30" s="111">
        <f>SUM(G28:G29)</f>
        <v>42013</v>
      </c>
      <c r="H30" s="1983"/>
      <c r="I30" s="1983"/>
      <c r="J30" s="1983"/>
      <c r="K30" s="1983"/>
      <c r="L30" s="1983"/>
    </row>
    <row r="31" spans="1:19" ht="32.25" customHeight="1" thickBot="1">
      <c r="A31" s="1368"/>
      <c r="B31" s="1369" t="s">
        <v>227</v>
      </c>
      <c r="C31" s="2329" t="s">
        <v>2323</v>
      </c>
      <c r="D31" s="1370">
        <f>D27+D30</f>
        <v>42012.99</v>
      </c>
      <c r="E31" s="1370">
        <f>E27+E30</f>
        <v>117636.4</v>
      </c>
      <c r="F31" s="1371">
        <f>F27+F30</f>
        <v>75623.399999999994</v>
      </c>
      <c r="G31" s="1372">
        <f>G27+G30</f>
        <v>42013</v>
      </c>
      <c r="H31" s="1983"/>
      <c r="I31" s="1983"/>
      <c r="J31" s="1983"/>
      <c r="K31" s="1983"/>
      <c r="L31" s="1983"/>
    </row>
    <row r="32" spans="1:19">
      <c r="A32" s="1983"/>
      <c r="B32" s="2362" t="s">
        <v>2322</v>
      </c>
      <c r="C32" s="2646"/>
      <c r="D32" s="1199"/>
      <c r="E32" s="1199">
        <f>SUMIF(C19:C26,"*住宅*",E19:E26)</f>
        <v>74623.399999999994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16" activePane="bottomRight" state="frozen"/>
      <selection pane="topRight" activeCell="D1" sqref="D1"/>
      <selection pane="bottomLeft" activeCell="A4" sqref="A4"/>
      <selection pane="bottomRight" activeCell="A40" sqref="A40:A4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7" t="s">
        <v>232</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8" t="s">
        <v>233</v>
      </c>
      <c r="B2" s="2337">
        <f>项目基本情况!D3</f>
        <v>43276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862</v>
      </c>
      <c r="B4" s="151"/>
      <c r="C4" s="152"/>
      <c r="D4" s="1206"/>
      <c r="E4" s="1207" t="s">
        <v>863</v>
      </c>
      <c r="F4" s="152"/>
      <c r="G4" s="152"/>
      <c r="H4" s="152"/>
      <c r="I4" s="152"/>
      <c r="J4" s="153"/>
      <c r="K4" s="1208"/>
      <c r="L4" s="1209"/>
      <c r="M4" s="152"/>
      <c r="N4" s="1207"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5" t="s">
        <v>234</v>
      </c>
      <c r="C5" s="156" t="s">
        <v>235</v>
      </c>
      <c r="D5" s="157" t="s">
        <v>236</v>
      </c>
      <c r="E5" s="158" t="s">
        <v>237</v>
      </c>
      <c r="F5" s="159" t="s">
        <v>238</v>
      </c>
      <c r="G5" s="158" t="s">
        <v>239</v>
      </c>
      <c r="H5" s="158" t="s">
        <v>860</v>
      </c>
      <c r="I5" s="158" t="s">
        <v>861</v>
      </c>
      <c r="J5" s="160" t="s">
        <v>240</v>
      </c>
      <c r="K5" s="161" t="s">
        <v>241</v>
      </c>
      <c r="L5" s="162" t="s">
        <v>242</v>
      </c>
      <c r="M5" s="163" t="s">
        <v>243</v>
      </c>
      <c r="N5" s="1217" t="s">
        <v>2829</v>
      </c>
      <c r="O5" s="162" t="s">
        <v>244</v>
      </c>
      <c r="P5" s="164" t="s">
        <v>245</v>
      </c>
      <c r="Q5" s="165" t="s">
        <v>246</v>
      </c>
      <c r="R5" s="166" t="s">
        <v>247</v>
      </c>
      <c r="S5" s="2620" t="s">
        <v>2573</v>
      </c>
      <c r="T5" s="167" t="s">
        <v>248</v>
      </c>
      <c r="U5" s="168" t="s">
        <v>249</v>
      </c>
      <c r="V5" s="158" t="s">
        <v>250</v>
      </c>
      <c r="W5" s="158" t="s">
        <v>251</v>
      </c>
      <c r="X5" s="1817"/>
      <c r="Y5" s="169" t="s">
        <v>252</v>
      </c>
      <c r="Z5" s="170" t="s">
        <v>253</v>
      </c>
      <c r="AA5" s="158" t="s">
        <v>250</v>
      </c>
      <c r="AB5" s="158" t="s">
        <v>251</v>
      </c>
      <c r="AC5" s="1818"/>
      <c r="AD5" s="171" t="s">
        <v>252</v>
      </c>
      <c r="AE5" s="1" t="s">
        <v>868</v>
      </c>
      <c r="AF5" s="158" t="s">
        <v>254</v>
      </c>
      <c r="AG5" s="169" t="s">
        <v>255</v>
      </c>
      <c r="AH5" s="1818" t="s">
        <v>2324</v>
      </c>
      <c r="AI5" s="170" t="s">
        <v>2293</v>
      </c>
      <c r="AJ5" s="170" t="s">
        <v>256</v>
      </c>
      <c r="AK5" s="158" t="s">
        <v>257</v>
      </c>
      <c r="AL5" s="158" t="s">
        <v>258</v>
      </c>
      <c r="AM5" s="171" t="s">
        <v>259</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高层住宅</v>
      </c>
      <c r="B6" s="2336" t="str">
        <f>IF(A6=0,"","经营性")</f>
        <v>经营性</v>
      </c>
      <c r="C6" s="172" t="s">
        <v>921</v>
      </c>
      <c r="D6" s="2307">
        <f>SUMIF(项目基本情况!D$15:I$15,C6,项目基本情况!D$18:I$18)</f>
        <v>70</v>
      </c>
      <c r="E6" s="2308">
        <f>IF(B6="","",SUMIF(项目基本情况!D$15:I$15,C6,项目基本情况!D$17:I$17))</f>
        <v>68829</v>
      </c>
      <c r="F6" s="173">
        <f>SUMIF(项目基本情况!D$15:I$15,C6,项目基本情况!D$19:I$19)</f>
        <v>70</v>
      </c>
      <c r="G6" s="174">
        <f>IF(ISERROR(ROUND(POWER(1+H6,D6-F6)*(POWER(1+H6,F6)-1)/(POWER(1+H6,D6)-1),3)),0,ROUND(POWER(1+H6,D6-F6)*(POWER(1+H6,F6)-1)/(POWER(1+H6,D6)-1),3))</f>
        <v>1</v>
      </c>
      <c r="H6" s="3024">
        <v>4.4999999999999998E-2</v>
      </c>
      <c r="I6" s="3024">
        <v>0.05</v>
      </c>
      <c r="J6" s="175">
        <v>8.5000000000000006E-2</v>
      </c>
      <c r="K6" s="178">
        <f>SUMIF('数据-汇总表'!C$19:C$33,'数据-取费表'!A6,'数据-汇总表'!E$19:E$33)</f>
        <v>74623.399999999994</v>
      </c>
      <c r="L6" s="3025">
        <v>1800</v>
      </c>
      <c r="M6" s="176">
        <f t="shared" ref="M6:M14" si="0">ROUND(K6*L6/10000,0)</f>
        <v>13432</v>
      </c>
      <c r="N6" s="3026">
        <v>0</v>
      </c>
      <c r="O6" s="176">
        <f>IF($N$5="成新度","——",ROUND(M6*N6,0))</f>
        <v>0</v>
      </c>
      <c r="P6" s="177">
        <f>IF($N$5="成新度","——",M6-O6)</f>
        <v>13432</v>
      </c>
      <c r="Q6" s="3027">
        <v>0.1</v>
      </c>
      <c r="R6" s="178">
        <f>SUMIF('数据-汇总表'!C$19:C$33,A6,'数据-汇总表'!R$19:R$33)</f>
        <v>42013</v>
      </c>
      <c r="S6" s="131">
        <f>IF('数据-汇总表'!$I$17="按面积比例",SUMIF('数据-汇总表'!C$19:C$33,A6,'数据-汇总表'!K$19:K$33),SUMIF('数据-汇总表'!C$19:C$33,A6,'数据-汇总表'!N$19:N$33))</f>
        <v>42013</v>
      </c>
      <c r="T6" s="2233">
        <f>IF($T$4="按面积比例",IF(ISERROR(ROUND($M$14*S6/S$16,0)),"0",ROUND($M$14*S6/S$16,0)),"需自行计算录入")</f>
        <v>7562</v>
      </c>
      <c r="U6" s="179"/>
      <c r="V6" s="180"/>
      <c r="W6" s="180"/>
      <c r="X6" s="2320"/>
      <c r="Y6" s="181">
        <v>1</v>
      </c>
      <c r="Z6" s="182"/>
      <c r="AA6" s="175"/>
      <c r="AB6" s="175"/>
      <c r="AC6" s="2323"/>
      <c r="AD6" s="183"/>
      <c r="AE6" s="970">
        <f ca="1">IF(AN6="",0,SUMIF(INDIRECT("'"&amp;AN6&amp;"'"&amp;"!E:E"),$AE$5,INDIRECT("'"&amp;AN6&amp;"'"&amp;"!F:F")))</f>
        <v>0</v>
      </c>
      <c r="AF6" s="140"/>
      <c r="AG6" s="1211">
        <f>IF(AF6="",0,AE6-AF6)</f>
        <v>0</v>
      </c>
      <c r="AH6" s="140"/>
      <c r="AI6" s="186"/>
      <c r="AJ6" s="187"/>
      <c r="AK6" s="188">
        <v>1.4999999999999999E-2</v>
      </c>
      <c r="AL6" s="189">
        <v>2E-3</v>
      </c>
      <c r="AM6" s="3038">
        <v>0.02</v>
      </c>
      <c r="AN6" s="2391" t="s">
        <v>2992</v>
      </c>
      <c r="AO6" s="1999"/>
      <c r="AP6" s="1202">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hidden="1">
      <c r="A7" s="2301">
        <f>'数据-汇总表'!C20</f>
        <v>0</v>
      </c>
      <c r="B7" s="2336" t="str">
        <f t="shared" ref="B7:B13" si="1">IF(A7=0,"","经营性")</f>
        <v/>
      </c>
      <c r="C7" s="172"/>
      <c r="D7" s="2307">
        <f>SUMIF(项目基本情况!D$15:I$15,C7,项目基本情况!D$18:I$18)</f>
        <v>0</v>
      </c>
      <c r="E7" s="2308"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3">
        <f t="shared" ref="T7:T13" si="5">IF($T$4="按面积比例",IF(ISERROR(ROUND($M$14*S7/S$16,0)),"0",ROUND($M$14*S7/S$16,0)),"需自行计算录入")</f>
        <v>0</v>
      </c>
      <c r="U7" s="179"/>
      <c r="V7" s="180"/>
      <c r="W7" s="180"/>
      <c r="X7" s="2320"/>
      <c r="Y7" s="181"/>
      <c r="Z7" s="182"/>
      <c r="AA7" s="175"/>
      <c r="AB7" s="175"/>
      <c r="AC7" s="2323"/>
      <c r="AD7" s="183"/>
      <c r="AE7" s="970">
        <f t="shared" ref="AE7:AE13" ca="1" si="6">IF(AN7="",0,SUMIF(INDIRECT("'"&amp;AN7&amp;"'"&amp;"!E:E"),$AE$5,INDIRECT("'"&amp;AN7&amp;"'"&amp;"!F:F")))</f>
        <v>0</v>
      </c>
      <c r="AF7" s="140"/>
      <c r="AG7" s="1211">
        <f t="shared" ref="AG7:AG13" si="7">IF(AF7="",0,AE7-AF7)</f>
        <v>0</v>
      </c>
      <c r="AH7" s="140"/>
      <c r="AI7" s="186"/>
      <c r="AJ7" s="187"/>
      <c r="AK7" s="188"/>
      <c r="AL7" s="189"/>
      <c r="AM7" s="2389"/>
      <c r="AN7" s="2391"/>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3">
        <f t="shared" si="5"/>
        <v>0</v>
      </c>
      <c r="U8" s="179"/>
      <c r="V8" s="180"/>
      <c r="W8" s="180"/>
      <c r="X8" s="2320"/>
      <c r="Y8" s="181"/>
      <c r="Z8" s="182"/>
      <c r="AA8" s="175"/>
      <c r="AB8" s="175"/>
      <c r="AC8" s="2323"/>
      <c r="AD8" s="183"/>
      <c r="AE8" s="970">
        <f t="shared" ca="1" si="6"/>
        <v>0</v>
      </c>
      <c r="AF8" s="140"/>
      <c r="AG8" s="1211">
        <f t="shared" si="7"/>
        <v>0</v>
      </c>
      <c r="AH8" s="140"/>
      <c r="AI8" s="186"/>
      <c r="AJ8" s="187"/>
      <c r="AK8" s="188"/>
      <c r="AL8" s="189"/>
      <c r="AM8" s="238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2315</v>
      </c>
      <c r="B14" s="2305" t="s">
        <v>1678</v>
      </c>
      <c r="C14" s="2306" t="s">
        <v>2315</v>
      </c>
      <c r="D14" s="2307"/>
      <c r="E14" s="2308"/>
      <c r="F14" s="173"/>
      <c r="G14" s="174"/>
      <c r="H14" s="2309"/>
      <c r="I14" s="2309"/>
      <c r="J14" s="2309"/>
      <c r="K14" s="178">
        <f>SUMIF('数据-汇总表'!C$19:C$33,'数据-取费表'!A14,'数据-汇总表'!E$19:E$33)</f>
        <v>42013</v>
      </c>
      <c r="L14" s="192">
        <v>1800</v>
      </c>
      <c r="M14" s="176">
        <f t="shared" si="0"/>
        <v>7562</v>
      </c>
      <c r="N14" s="193">
        <v>0</v>
      </c>
      <c r="O14" s="176">
        <f t="shared" si="3"/>
        <v>0</v>
      </c>
      <c r="P14" s="177">
        <f t="shared" si="4"/>
        <v>7562</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1678</v>
      </c>
      <c r="C15" s="2306" t="s">
        <v>2316</v>
      </c>
      <c r="D15" s="2307"/>
      <c r="E15" s="2308"/>
      <c r="F15" s="173"/>
      <c r="G15" s="174"/>
      <c r="H15" s="2309"/>
      <c r="I15" s="2309"/>
      <c r="J15" s="2309"/>
      <c r="K15" s="178">
        <f>SUMIF('数据-汇总表'!C$19:C$33,'数据-取费表'!A15,'数据-汇总表'!E$19:E$33)</f>
        <v>1000</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7" t="s">
        <v>260</v>
      </c>
      <c r="B16" s="198"/>
      <c r="C16" s="199"/>
      <c r="D16" s="200"/>
      <c r="E16" s="198"/>
      <c r="F16" s="198"/>
      <c r="G16" s="201">
        <f>ROUND(SUMPRODUCT(G6:G13,K6:K13)/SUMPRODUCT((G6:G13&gt;0)*(K6:K13)),3)</f>
        <v>1</v>
      </c>
      <c r="H16" s="202">
        <f>ROUND(SUMPRODUCT(H6:H13,K6:K13)/SUMPRODUCT((H6:H13&gt;0)*(K6:K13)),3)</f>
        <v>4.4999999999999998E-2</v>
      </c>
      <c r="I16" s="203"/>
      <c r="J16" s="203"/>
      <c r="K16" s="204">
        <f>SUM(K6:K15)</f>
        <v>117636.4</v>
      </c>
      <c r="L16" s="205">
        <f>ROUND(M16*10000/SUM(K6:K14),0)</f>
        <v>1800</v>
      </c>
      <c r="M16" s="205">
        <f>SUM(M6:M14)</f>
        <v>20994</v>
      </c>
      <c r="N16" s="206">
        <f>ROUND(SUMPRODUCT(M6:M14,N6:N14)/M16,3)</f>
        <v>0</v>
      </c>
      <c r="O16" s="205">
        <f>SUM(O6:O14)</f>
        <v>0</v>
      </c>
      <c r="P16" s="205">
        <f>SUM(P6:P14)</f>
        <v>20994</v>
      </c>
      <c r="Q16" s="207">
        <f>ROUND(SUMPRODUCT(Q6:Q13,K6:K13)/SUMPRODUCT((Q6:Q13&gt;0)*(K6:K13)),2)</f>
        <v>0.1</v>
      </c>
      <c r="R16" s="2310">
        <f>SUM(R6:R13)</f>
        <v>42013</v>
      </c>
      <c r="S16" s="208">
        <f>SUM(S6:S13)</f>
        <v>42013</v>
      </c>
      <c r="T16" s="209">
        <f>IF(SUMIF(T6:T13,"&lt;9E307")=M14,SUMIF(T6:T13,"&lt;9E307"),"有误，请检查")</f>
        <v>7562</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261</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262</v>
      </c>
      <c r="B19" s="217">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263</v>
      </c>
      <c r="B20" s="219">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264</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265</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266</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267</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268</v>
      </c>
      <c r="B26" s="224" t="s">
        <v>269</v>
      </c>
      <c r="C26" s="1994" t="s">
        <v>270</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5" t="s">
        <v>2339</v>
      </c>
      <c r="B27" s="226">
        <v>92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2340</v>
      </c>
      <c r="B28" s="228">
        <v>92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2338</v>
      </c>
      <c r="B29" s="231">
        <v>0</v>
      </c>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271</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272</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273</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5" t="s">
        <v>276</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277</v>
      </c>
      <c r="B34" s="232">
        <v>0.05</v>
      </c>
      <c r="C34" s="2364" t="s">
        <v>2896</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274</v>
      </c>
      <c r="B35" s="228">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275</v>
      </c>
      <c r="B36" s="233">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278</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279</v>
      </c>
      <c r="B38" s="232">
        <v>1.4999999999999999E-2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280</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281</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282</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283</v>
      </c>
      <c r="B44" s="241">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284</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285</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286</v>
      </c>
      <c r="B47" s="243"/>
      <c r="C47" s="3073"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287</v>
      </c>
      <c r="B48" s="245">
        <v>0.03</v>
      </c>
      <c r="C48" s="3074"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288</v>
      </c>
      <c r="B49" s="239">
        <v>5.0000000000000001E-4</v>
      </c>
      <c r="C49" s="3074"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289</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290</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291</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292</v>
      </c>
      <c r="B53" s="250" t="s">
        <v>1095</v>
      </c>
      <c r="C53" s="3075" t="s">
        <v>2906</v>
      </c>
      <c r="D53" s="3076"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2908</v>
      </c>
      <c r="B54" s="185">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2909</v>
      </c>
      <c r="B55" s="185">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2910</v>
      </c>
      <c r="B56" s="185"/>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2911</v>
      </c>
      <c r="B57" s="185"/>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2912</v>
      </c>
      <c r="B58" s="185"/>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2913</v>
      </c>
      <c r="B59" s="185"/>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2914</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2915</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2916</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1662</v>
      </c>
      <c r="B1" s="3281"/>
      <c r="C1" s="3281"/>
      <c r="D1" s="3281"/>
      <c r="E1" s="3281"/>
      <c r="F1" s="3281"/>
      <c r="G1" s="3281"/>
      <c r="H1" s="2001"/>
      <c r="I1" s="2002"/>
      <c r="J1" s="2003"/>
      <c r="K1" s="2001"/>
      <c r="L1" s="2002"/>
      <c r="M1" s="2003"/>
      <c r="N1" s="2001"/>
      <c r="O1" s="2002"/>
      <c r="P1" s="2003"/>
      <c r="Q1" s="2004"/>
      <c r="R1" s="2005"/>
    </row>
    <row r="2" spans="1:18" ht="14.25" thickBot="1">
      <c r="A2" s="1219"/>
      <c r="B2" s="1220"/>
      <c r="C2" s="1221" t="s">
        <v>1663</v>
      </c>
      <c r="D2" s="1222"/>
      <c r="E2" s="1223"/>
      <c r="F2" s="1224"/>
      <c r="G2" s="1221" t="s">
        <v>1664</v>
      </c>
      <c r="H2" s="2007"/>
      <c r="I2" s="2007"/>
      <c r="J2" s="2007"/>
      <c r="K2" s="2007"/>
      <c r="L2" s="2007"/>
      <c r="M2" s="2007"/>
      <c r="N2" s="2007"/>
      <c r="O2" s="2007"/>
      <c r="P2" s="2007"/>
      <c r="Q2" s="2007"/>
      <c r="R2" s="2007"/>
    </row>
    <row r="3" spans="1:18" ht="42.75">
      <c r="A3" s="1225" t="s">
        <v>1665</v>
      </c>
      <c r="B3" s="1226" t="s">
        <v>1652</v>
      </c>
      <c r="C3" s="3176" t="s">
        <v>2990</v>
      </c>
      <c r="D3" s="2008"/>
      <c r="E3" s="1227" t="s">
        <v>1665</v>
      </c>
      <c r="F3" s="1228" t="s">
        <v>1653</v>
      </c>
      <c r="G3" s="3082" t="s">
        <v>2922</v>
      </c>
      <c r="H3" s="2007"/>
      <c r="I3" s="2007"/>
      <c r="J3" s="2007"/>
      <c r="K3" s="2007"/>
      <c r="L3" s="2007"/>
      <c r="M3" s="2007"/>
      <c r="N3" s="2007"/>
      <c r="O3" s="2007"/>
      <c r="P3" s="2007"/>
      <c r="Q3" s="2007"/>
      <c r="R3" s="2007"/>
    </row>
    <row r="4" spans="1:18" ht="40.5">
      <c r="A4" s="1227"/>
      <c r="B4" s="1229" t="s">
        <v>1666</v>
      </c>
      <c r="C4" s="3177" t="s">
        <v>2991</v>
      </c>
      <c r="D4" s="2008"/>
      <c r="E4" s="1230"/>
      <c r="F4" s="1231" t="s">
        <v>1667</v>
      </c>
      <c r="G4" s="3080" t="s">
        <v>2919</v>
      </c>
      <c r="H4" s="2007"/>
      <c r="I4" s="2007"/>
      <c r="J4" s="2007"/>
      <c r="K4" s="2007"/>
      <c r="L4" s="2007"/>
      <c r="M4" s="2007"/>
      <c r="N4" s="2007"/>
      <c r="O4" s="2007"/>
      <c r="P4" s="2007"/>
      <c r="Q4" s="2007"/>
      <c r="R4" s="2007"/>
    </row>
    <row r="5" spans="1:18" ht="27">
      <c r="A5" s="1227"/>
      <c r="B5" s="1229" t="s">
        <v>1668</v>
      </c>
      <c r="C5" s="3177" t="s">
        <v>2991</v>
      </c>
      <c r="D5" s="2008"/>
      <c r="E5" s="1230"/>
      <c r="F5" s="1229" t="s">
        <v>2547</v>
      </c>
      <c r="G5" s="3080" t="s">
        <v>2920</v>
      </c>
      <c r="H5" s="2007"/>
      <c r="I5" s="2007"/>
      <c r="J5" s="2007"/>
      <c r="K5" s="2007"/>
      <c r="L5" s="2007"/>
      <c r="M5" s="2007"/>
      <c r="N5" s="2007"/>
      <c r="O5" s="2007"/>
      <c r="P5" s="2007"/>
      <c r="Q5" s="2007"/>
      <c r="R5" s="2007"/>
    </row>
    <row r="6" spans="1:18" ht="27">
      <c r="A6" s="1227"/>
      <c r="B6" s="1229" t="s">
        <v>1654</v>
      </c>
      <c r="C6" s="3080">
        <v>0</v>
      </c>
      <c r="D6" s="2008"/>
      <c r="E6" s="1230"/>
      <c r="F6" s="1229" t="s">
        <v>2548</v>
      </c>
      <c r="G6" s="3080" t="s">
        <v>2918</v>
      </c>
      <c r="H6" s="2007"/>
      <c r="I6" s="2007"/>
      <c r="J6" s="2007"/>
      <c r="K6" s="2007"/>
      <c r="L6" s="2007"/>
      <c r="M6" s="2007"/>
      <c r="N6" s="2007"/>
      <c r="O6" s="2007"/>
      <c r="P6" s="2007"/>
      <c r="Q6" s="2007"/>
      <c r="R6" s="2007"/>
    </row>
    <row r="7" spans="1:18" ht="41.25" thickBot="1">
      <c r="A7" s="1227"/>
      <c r="B7" s="1229" t="s">
        <v>2547</v>
      </c>
      <c r="C7" s="3080">
        <v>0</v>
      </c>
      <c r="D7" s="2009"/>
      <c r="E7" s="1232"/>
      <c r="F7" s="1233" t="s">
        <v>1669</v>
      </c>
      <c r="G7" s="3083" t="s">
        <v>2921</v>
      </c>
      <c r="H7" s="2007"/>
      <c r="I7" s="2007"/>
      <c r="J7" s="2007"/>
      <c r="K7" s="2007"/>
      <c r="L7" s="2007"/>
      <c r="M7" s="2007"/>
      <c r="N7" s="2007"/>
      <c r="O7" s="2007"/>
      <c r="P7" s="2007"/>
      <c r="Q7" s="2007"/>
      <c r="R7" s="2007"/>
    </row>
    <row r="8" spans="1:18" ht="14.25">
      <c r="A8" s="1227"/>
      <c r="B8" s="1229" t="s">
        <v>2548</v>
      </c>
      <c r="C8" s="3080">
        <v>0</v>
      </c>
      <c r="D8" s="2009"/>
      <c r="E8" s="2009"/>
      <c r="F8" s="1552"/>
      <c r="G8" s="1552"/>
      <c r="H8" s="2007"/>
      <c r="I8" s="2007"/>
      <c r="J8" s="2007"/>
      <c r="K8" s="2007"/>
      <c r="L8" s="2007"/>
      <c r="M8" s="2007"/>
      <c r="N8" s="2007"/>
      <c r="O8" s="2007"/>
      <c r="P8" s="2007"/>
      <c r="Q8" s="2007"/>
      <c r="R8" s="2007"/>
    </row>
    <row r="9" spans="1:18">
      <c r="A9" s="1227"/>
      <c r="B9" s="1229" t="s">
        <v>1655</v>
      </c>
      <c r="C9" s="3177" t="s">
        <v>2991</v>
      </c>
      <c r="D9" s="2008"/>
      <c r="E9" s="2009"/>
      <c r="F9" s="1552"/>
      <c r="G9" s="1552"/>
      <c r="H9" s="2007"/>
      <c r="I9" s="2007"/>
      <c r="J9" s="2007"/>
      <c r="K9" s="2007"/>
      <c r="L9" s="2007"/>
      <c r="M9" s="2007"/>
      <c r="N9" s="2007"/>
      <c r="O9" s="2007"/>
      <c r="P9" s="2007"/>
      <c r="Q9" s="2007"/>
      <c r="R9" s="2007"/>
    </row>
    <row r="10" spans="1:18" s="2015" customFormat="1" ht="15" thickBot="1">
      <c r="A10" s="1234"/>
      <c r="B10" s="1235" t="s">
        <v>1670</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1671</v>
      </c>
      <c r="B13" s="2577"/>
      <c r="C13" s="2577"/>
      <c r="D13" s="1222"/>
      <c r="E13" s="2577"/>
      <c r="F13" s="2577"/>
      <c r="G13" s="2577"/>
    </row>
    <row r="14" spans="1:18" ht="14.25" thickBot="1">
      <c r="A14" s="1236"/>
      <c r="B14" s="1237"/>
      <c r="C14" s="1238" t="s">
        <v>1663</v>
      </c>
      <c r="D14" s="2008"/>
      <c r="E14" s="1239"/>
      <c r="F14" s="1239"/>
      <c r="G14" s="1221" t="s">
        <v>1664</v>
      </c>
    </row>
    <row r="15" spans="1:18" ht="40.5">
      <c r="A15" s="2587" t="s">
        <v>1656</v>
      </c>
      <c r="B15" s="1240" t="s">
        <v>1652</v>
      </c>
      <c r="C15" s="1241" t="str">
        <f>C3</f>
        <v>0</v>
      </c>
      <c r="D15" s="2008"/>
      <c r="E15" s="2584" t="s">
        <v>1657</v>
      </c>
      <c r="F15" s="1240" t="s">
        <v>1672</v>
      </c>
      <c r="G15" s="1242" t="str">
        <f>G3</f>
        <v>估价对象位于XX开发区，园区建设成熟度XX，产业集聚程度XX</v>
      </c>
    </row>
    <row r="16" spans="1:18" ht="40.5">
      <c r="A16" s="2588"/>
      <c r="B16" s="1243" t="s">
        <v>1666</v>
      </c>
      <c r="C16" s="1244" t="str">
        <f>C4</f>
        <v>0</v>
      </c>
      <c r="D16" s="2008"/>
      <c r="E16" s="2585"/>
      <c r="F16" s="1245" t="s">
        <v>1667</v>
      </c>
      <c r="G16" s="1003" t="str">
        <f>G4</f>
        <v>估价对象周边道路状况、公共交通通达情况、停车便捷程度，综合评价交通便捷度较好</v>
      </c>
    </row>
    <row r="17" spans="1:7" ht="14.25">
      <c r="A17" s="2588"/>
      <c r="B17" s="1243" t="s">
        <v>1668</v>
      </c>
      <c r="C17" s="1244" t="str">
        <f>C5</f>
        <v>0</v>
      </c>
      <c r="D17" s="2009"/>
      <c r="E17" s="2585"/>
      <c r="F17" s="1245" t="s">
        <v>1673</v>
      </c>
      <c r="G17" s="2793"/>
    </row>
    <row r="18" spans="1:7" ht="40.5">
      <c r="A18" s="2588"/>
      <c r="B18" s="1245" t="s">
        <v>1654</v>
      </c>
      <c r="C18" s="1003">
        <f>C6</f>
        <v>0</v>
      </c>
      <c r="D18" s="2009"/>
      <c r="E18" s="2585"/>
      <c r="F18" s="1245" t="s">
        <v>1669</v>
      </c>
      <c r="G18" s="1003" t="str">
        <f>G7</f>
        <v>该园区内是否有污染型企业，绿化情况，卫生条件，整体环境状况判断</v>
      </c>
    </row>
    <row r="19" spans="1:7" ht="27">
      <c r="A19" s="2588"/>
      <c r="B19" s="1245" t="s">
        <v>1658</v>
      </c>
      <c r="C19" s="2793"/>
      <c r="D19" s="2008"/>
      <c r="E19" s="2585"/>
      <c r="F19" s="1229" t="s">
        <v>2547</v>
      </c>
      <c r="G19" s="1003" t="str">
        <f>G5</f>
        <v>估价对象所在区域公共配套设施齐备情况</v>
      </c>
    </row>
    <row r="20" spans="1:7" ht="27">
      <c r="A20" s="2588"/>
      <c r="B20" s="1245" t="s">
        <v>1659</v>
      </c>
      <c r="C20" s="1244" t="str">
        <f>C9</f>
        <v>0</v>
      </c>
      <c r="D20" s="2009"/>
      <c r="E20" s="2585"/>
      <c r="F20" s="1229" t="s">
        <v>2548</v>
      </c>
      <c r="G20" s="1003" t="str">
        <f>G6</f>
        <v>估价对象所在区域基础设施水平</v>
      </c>
    </row>
    <row r="21" spans="1:7" ht="14.25">
      <c r="A21" s="2588"/>
      <c r="B21" s="1229" t="s">
        <v>2547</v>
      </c>
      <c r="C21" s="1003">
        <f>C7</f>
        <v>0</v>
      </c>
      <c r="D21" s="2008"/>
      <c r="E21" s="2585"/>
      <c r="F21" s="1245" t="s">
        <v>1660</v>
      </c>
      <c r="G21" s="3084"/>
    </row>
    <row r="22" spans="1:7" ht="14.25">
      <c r="A22" s="2588"/>
      <c r="B22" s="1229" t="s">
        <v>2548</v>
      </c>
      <c r="C22" s="1003">
        <f>C8</f>
        <v>0</v>
      </c>
      <c r="D22" s="2008"/>
      <c r="E22" s="2585"/>
      <c r="F22" s="1245" t="s">
        <v>1670</v>
      </c>
      <c r="G22" s="2793"/>
    </row>
    <row r="23" spans="1:7" ht="15" thickBot="1">
      <c r="A23" s="2588"/>
      <c r="B23" s="1245" t="s">
        <v>1660</v>
      </c>
      <c r="C23" s="3084"/>
      <c r="E23" s="2586"/>
      <c r="F23" s="1246" t="s">
        <v>1674</v>
      </c>
      <c r="G23" s="3085"/>
    </row>
    <row r="24" spans="1:7" ht="14.25" thickBot="1">
      <c r="A24" s="2589"/>
      <c r="B24" s="1246" t="s">
        <v>1661</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2845</v>
      </c>
      <c r="B1" s="3044">
        <f>SUM(B14:B23)</f>
        <v>117636.4</v>
      </c>
      <c r="C1" s="3045"/>
      <c r="D1" s="3045"/>
      <c r="E1" s="3045"/>
      <c r="F1" s="3045"/>
    </row>
    <row r="2" spans="1:9" ht="16.5">
      <c r="A2" s="3044" t="s">
        <v>2846</v>
      </c>
      <c r="B2" s="3044">
        <f>SUM(C14:C23)</f>
        <v>42013</v>
      </c>
      <c r="C2" s="3045"/>
      <c r="D2" s="3045"/>
      <c r="E2" s="3045"/>
      <c r="F2" s="3045"/>
    </row>
    <row r="3" spans="1:9" ht="16.5">
      <c r="A3" s="3044" t="s">
        <v>2847</v>
      </c>
      <c r="B3" s="3046">
        <f>项目基本情况!D3</f>
        <v>43276</v>
      </c>
      <c r="C3" s="3045"/>
      <c r="D3" s="3045"/>
      <c r="E3" s="3045"/>
      <c r="F3" s="3045"/>
    </row>
    <row r="4" spans="1:9" ht="33">
      <c r="A4" s="3044" t="s">
        <v>2848</v>
      </c>
      <c r="B4" s="3044" t="s">
        <v>2849</v>
      </c>
      <c r="C4" s="3044" t="s">
        <v>2850</v>
      </c>
      <c r="D4" s="3044" t="s">
        <v>2851</v>
      </c>
      <c r="E4" s="3045"/>
      <c r="F4" s="3045"/>
    </row>
    <row r="5" spans="1:9" ht="16.5">
      <c r="A5" s="3044" t="s">
        <v>2852</v>
      </c>
      <c r="B5" s="3044">
        <f ca="1">SUM(D14:D23)</f>
        <v>34996</v>
      </c>
      <c r="C5" s="3044">
        <f ca="1">ROUND(B5*10000/$B$1,0)</f>
        <v>2975</v>
      </c>
      <c r="D5" s="3044">
        <f ca="1">ROUND(B5*10000/$B$2,0)</f>
        <v>8330</v>
      </c>
      <c r="E5" s="3045"/>
      <c r="F5" s="3045"/>
    </row>
    <row r="6" spans="1:9" ht="16.5">
      <c r="A6" s="3044" t="s">
        <v>2853</v>
      </c>
      <c r="B6" s="3044">
        <f>SUM(G14:G23)</f>
        <v>0</v>
      </c>
      <c r="C6" s="3044">
        <f t="shared" ref="C6:C8" si="0">ROUND(B6*10000/$B$1,0)</f>
        <v>0</v>
      </c>
      <c r="D6" s="3044">
        <f t="shared" ref="D6:D8" si="1">ROUND(B6*10000/$B$2,0)</f>
        <v>0</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117636.4</v>
      </c>
      <c r="C14" s="3048">
        <f>结果表!K38</f>
        <v>42013</v>
      </c>
      <c r="D14" s="3048">
        <f ca="1">结果表!C42</f>
        <v>34996</v>
      </c>
      <c r="E14" s="3048">
        <f ca="1">ROUND(D14*10000/B14,0)</f>
        <v>2975</v>
      </c>
      <c r="F14" s="3048">
        <f ca="1">ROUND(D14*10000/C14,0)</f>
        <v>8330</v>
      </c>
      <c r="G14" s="3048" t="str">
        <f>结果表!C44</f>
        <v>——</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E14" sqref="E1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2056</v>
      </c>
      <c r="B1" s="1776"/>
      <c r="C1" s="1804" t="s">
        <v>2057</v>
      </c>
      <c r="D1" s="1805" t="s">
        <v>3136</v>
      </c>
      <c r="E1" s="1804" t="s">
        <v>2058</v>
      </c>
      <c r="F1" s="1806" t="s">
        <v>3137</v>
      </c>
      <c r="G1" s="310"/>
      <c r="H1" s="310"/>
      <c r="I1" s="310"/>
      <c r="J1" s="2028"/>
      <c r="K1" s="2028"/>
      <c r="L1" s="2028"/>
      <c r="M1" s="2028"/>
      <c r="N1" s="2028"/>
      <c r="O1" s="2028"/>
      <c r="P1" s="2028"/>
      <c r="Q1" s="2028"/>
      <c r="R1" s="2028"/>
      <c r="S1" s="2028"/>
      <c r="T1" s="2028"/>
      <c r="U1" s="2028"/>
      <c r="V1" s="2028"/>
    </row>
    <row r="2" spans="1:22" ht="21.75" customHeight="1" thickBot="1">
      <c r="A2" s="3327" t="str">
        <f>项目基本情况!K2</f>
        <v>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38" t="s">
        <v>296</v>
      </c>
      <c r="B3" s="3339"/>
      <c r="C3" s="3339"/>
      <c r="D3" s="3339"/>
      <c r="E3" s="3339"/>
      <c r="F3" s="3339"/>
      <c r="G3" s="3339"/>
      <c r="H3" s="3339"/>
      <c r="I3" s="3339"/>
      <c r="J3" s="2029"/>
      <c r="K3" s="2028"/>
      <c r="L3" s="2028"/>
      <c r="M3" s="2028"/>
      <c r="N3" s="2028"/>
      <c r="O3" s="2028"/>
      <c r="P3" s="2028"/>
      <c r="Q3" s="2028"/>
      <c r="R3" s="2028"/>
      <c r="S3" s="2028"/>
      <c r="T3" s="2028"/>
      <c r="U3" s="2028"/>
      <c r="V3" s="2028"/>
    </row>
    <row r="4" spans="1:22" ht="14.25">
      <c r="A4" s="257" t="s">
        <v>297</v>
      </c>
      <c r="B4" s="258" t="s">
        <v>298</v>
      </c>
      <c r="C4" s="259" t="s">
        <v>3139</v>
      </c>
      <c r="D4" s="259" t="s">
        <v>3138</v>
      </c>
      <c r="E4" s="3302" t="s">
        <v>299</v>
      </c>
      <c r="F4" s="3344"/>
      <c r="G4" s="3344"/>
      <c r="H4" s="3344"/>
      <c r="I4" s="3303"/>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1" t="s">
        <v>300</v>
      </c>
      <c r="B5" s="3332">
        <v>25</v>
      </c>
      <c r="C5" s="3340"/>
      <c r="D5" s="3343"/>
      <c r="E5" s="260" t="s">
        <v>301</v>
      </c>
      <c r="F5" s="261"/>
      <c r="G5" s="261"/>
      <c r="H5" s="261"/>
      <c r="I5" s="262"/>
      <c r="J5" s="2029"/>
      <c r="K5" s="2028"/>
      <c r="L5" s="2028"/>
      <c r="M5" s="2028"/>
      <c r="N5" s="2028"/>
      <c r="O5" s="2028"/>
      <c r="P5" s="2028"/>
      <c r="Q5" s="2028"/>
      <c r="R5" s="2028"/>
      <c r="S5" s="2028"/>
      <c r="T5" s="2028"/>
      <c r="U5" s="2028"/>
      <c r="V5" s="2028"/>
    </row>
    <row r="6" spans="1:22" ht="14.25">
      <c r="A6" s="3331"/>
      <c r="B6" s="3332"/>
      <c r="C6" s="3341"/>
      <c r="D6" s="3343"/>
      <c r="E6" s="260" t="s">
        <v>302</v>
      </c>
      <c r="F6" s="261"/>
      <c r="G6" s="261"/>
      <c r="H6" s="261"/>
      <c r="I6" s="262"/>
      <c r="J6" s="2029"/>
      <c r="K6" s="2028"/>
      <c r="L6" s="2028"/>
      <c r="M6" s="2028"/>
      <c r="N6" s="2028"/>
      <c r="O6" s="2028"/>
      <c r="P6" s="2028"/>
      <c r="Q6" s="2028"/>
      <c r="R6" s="2028"/>
      <c r="S6" s="2028"/>
      <c r="T6" s="2028"/>
      <c r="U6" s="2028"/>
      <c r="V6" s="2028"/>
    </row>
    <row r="7" spans="1:22" ht="14.25">
      <c r="A7" s="3331"/>
      <c r="B7" s="3332"/>
      <c r="C7" s="3342"/>
      <c r="D7" s="3343"/>
      <c r="E7" s="260" t="s">
        <v>303</v>
      </c>
      <c r="F7" s="261"/>
      <c r="G7" s="261"/>
      <c r="H7" s="261"/>
      <c r="I7" s="262"/>
      <c r="J7" s="2029"/>
      <c r="K7" s="2028"/>
      <c r="L7" s="2028"/>
      <c r="M7" s="2028"/>
      <c r="N7" s="2028"/>
      <c r="O7" s="2028"/>
      <c r="P7" s="2028"/>
      <c r="Q7" s="2028"/>
      <c r="R7" s="2028"/>
      <c r="S7" s="2028"/>
      <c r="T7" s="2028"/>
      <c r="U7" s="2028"/>
      <c r="V7" s="2028"/>
    </row>
    <row r="8" spans="1:22" ht="14.25">
      <c r="A8" s="3331" t="s">
        <v>304</v>
      </c>
      <c r="B8" s="3332">
        <v>15</v>
      </c>
      <c r="C8" s="3340"/>
      <c r="D8" s="3343"/>
      <c r="E8" s="260" t="s">
        <v>305</v>
      </c>
      <c r="F8" s="261"/>
      <c r="G8" s="261"/>
      <c r="H8" s="261"/>
      <c r="I8" s="262"/>
      <c r="J8" s="2029"/>
      <c r="K8" s="2028"/>
      <c r="L8" s="2028"/>
      <c r="M8" s="2028"/>
      <c r="N8" s="2028"/>
      <c r="O8" s="2028"/>
      <c r="P8" s="2028"/>
      <c r="Q8" s="2028"/>
      <c r="R8" s="2028"/>
      <c r="S8" s="2028"/>
      <c r="T8" s="2028"/>
      <c r="U8" s="2028"/>
      <c r="V8" s="2028"/>
    </row>
    <row r="9" spans="1:22" ht="14.25">
      <c r="A9" s="3331"/>
      <c r="B9" s="3332"/>
      <c r="C9" s="3342"/>
      <c r="D9" s="3343"/>
      <c r="E9" s="260" t="s">
        <v>306</v>
      </c>
      <c r="F9" s="261"/>
      <c r="G9" s="261"/>
      <c r="H9" s="261"/>
      <c r="I9" s="262"/>
      <c r="J9" s="2029"/>
      <c r="K9" s="2028"/>
      <c r="L9" s="2028"/>
      <c r="M9" s="2028"/>
      <c r="N9" s="2028"/>
      <c r="O9" s="2028"/>
      <c r="P9" s="2028"/>
      <c r="Q9" s="2028"/>
      <c r="R9" s="2028"/>
      <c r="S9" s="2028"/>
      <c r="T9" s="2028"/>
      <c r="U9" s="2028"/>
      <c r="V9" s="2028"/>
    </row>
    <row r="10" spans="1:22" ht="14.25">
      <c r="A10" s="3331" t="s">
        <v>307</v>
      </c>
      <c r="B10" s="3332">
        <v>15</v>
      </c>
      <c r="C10" s="3340"/>
      <c r="D10" s="3343"/>
      <c r="E10" s="260" t="s">
        <v>308</v>
      </c>
      <c r="F10" s="261"/>
      <c r="G10" s="261"/>
      <c r="H10" s="261"/>
      <c r="I10" s="262"/>
      <c r="J10" s="2029"/>
      <c r="K10" s="2028"/>
      <c r="L10" s="2028"/>
      <c r="M10" s="2028"/>
      <c r="N10" s="2028"/>
      <c r="O10" s="2028"/>
      <c r="P10" s="2028"/>
      <c r="Q10" s="2028"/>
      <c r="R10" s="2028"/>
      <c r="S10" s="2028"/>
      <c r="T10" s="2028"/>
      <c r="U10" s="2028"/>
      <c r="V10" s="2028"/>
    </row>
    <row r="11" spans="1:22" ht="14.25">
      <c r="A11" s="3331"/>
      <c r="B11" s="3332"/>
      <c r="C11" s="3342"/>
      <c r="D11" s="3343"/>
      <c r="E11" s="260" t="s">
        <v>309</v>
      </c>
      <c r="F11" s="261"/>
      <c r="G11" s="261"/>
      <c r="H11" s="261"/>
      <c r="I11" s="262"/>
      <c r="J11" s="2029"/>
      <c r="K11" s="2028"/>
      <c r="L11" s="2028"/>
      <c r="M11" s="2028"/>
      <c r="N11" s="2028"/>
      <c r="O11" s="2028"/>
      <c r="P11" s="2028"/>
      <c r="Q11" s="2028"/>
      <c r="R11" s="2028"/>
      <c r="S11" s="2028"/>
      <c r="T11" s="2028"/>
      <c r="U11" s="2028"/>
      <c r="V11" s="2028"/>
    </row>
    <row r="12" spans="1:22" ht="14.25">
      <c r="A12" s="3331" t="s">
        <v>310</v>
      </c>
      <c r="B12" s="3332">
        <v>15</v>
      </c>
      <c r="C12" s="3340"/>
      <c r="D12" s="3343"/>
      <c r="E12" s="260" t="s">
        <v>311</v>
      </c>
      <c r="F12" s="261"/>
      <c r="G12" s="261"/>
      <c r="H12" s="261"/>
      <c r="I12" s="262"/>
      <c r="J12" s="2029"/>
      <c r="K12" s="2028"/>
      <c r="L12" s="2028"/>
      <c r="M12" s="2028"/>
      <c r="N12" s="2028"/>
      <c r="O12" s="2028"/>
      <c r="P12" s="2028"/>
      <c r="Q12" s="2028"/>
      <c r="R12" s="2028"/>
      <c r="S12" s="2028"/>
      <c r="T12" s="2028"/>
      <c r="U12" s="2028"/>
      <c r="V12" s="2028"/>
    </row>
    <row r="13" spans="1:22" ht="14.25">
      <c r="A13" s="3331"/>
      <c r="B13" s="3332"/>
      <c r="C13" s="3342"/>
      <c r="D13" s="3343"/>
      <c r="E13" s="260" t="s">
        <v>312</v>
      </c>
      <c r="F13" s="261"/>
      <c r="G13" s="261"/>
      <c r="H13" s="261"/>
      <c r="I13" s="262"/>
      <c r="J13" s="2029"/>
      <c r="K13" s="2028"/>
      <c r="L13" s="2028"/>
      <c r="M13" s="2028"/>
      <c r="N13" s="2028"/>
      <c r="O13" s="2028"/>
      <c r="P13" s="2028"/>
      <c r="Q13" s="2028"/>
      <c r="R13" s="2028"/>
      <c r="S13" s="2028"/>
      <c r="T13" s="2028"/>
      <c r="U13" s="2028"/>
      <c r="V13" s="2028"/>
    </row>
    <row r="14" spans="1:22" ht="14.25">
      <c r="A14" s="3331" t="s">
        <v>313</v>
      </c>
      <c r="B14" s="3332">
        <v>30</v>
      </c>
      <c r="C14" s="3340">
        <v>5</v>
      </c>
      <c r="D14" s="3343">
        <v>5</v>
      </c>
      <c r="E14" s="260" t="s">
        <v>314</v>
      </c>
      <c r="F14" s="261"/>
      <c r="G14" s="261"/>
      <c r="H14" s="261"/>
      <c r="I14" s="262"/>
      <c r="J14" s="2029"/>
      <c r="K14" s="2028"/>
      <c r="L14" s="2028"/>
      <c r="M14" s="2028"/>
      <c r="N14" s="2028"/>
      <c r="O14" s="2028"/>
      <c r="P14" s="2028"/>
      <c r="Q14" s="2028"/>
      <c r="R14" s="2028"/>
      <c r="S14" s="2028"/>
      <c r="T14" s="2028"/>
      <c r="U14" s="2028"/>
      <c r="V14" s="2028"/>
    </row>
    <row r="15" spans="1:22" ht="14.25">
      <c r="A15" s="3331"/>
      <c r="B15" s="3332"/>
      <c r="C15" s="3341"/>
      <c r="D15" s="3343"/>
      <c r="E15" s="260" t="s">
        <v>315</v>
      </c>
      <c r="F15" s="261"/>
      <c r="G15" s="261"/>
      <c r="H15" s="261"/>
      <c r="I15" s="262"/>
      <c r="J15" s="2029"/>
      <c r="K15" s="2028"/>
      <c r="L15" s="2028"/>
      <c r="M15" s="2028"/>
      <c r="N15" s="2028"/>
      <c r="O15" s="2028"/>
      <c r="P15" s="2028"/>
      <c r="Q15" s="2028"/>
      <c r="R15" s="2028"/>
      <c r="S15" s="2028"/>
      <c r="T15" s="2028"/>
      <c r="U15" s="2028"/>
      <c r="V15" s="2028"/>
    </row>
    <row r="16" spans="1:22" ht="14.25">
      <c r="A16" s="3331"/>
      <c r="B16" s="3332"/>
      <c r="C16" s="3342"/>
      <c r="D16" s="3343"/>
      <c r="E16" s="260" t="s">
        <v>316</v>
      </c>
      <c r="F16" s="261"/>
      <c r="G16" s="261"/>
      <c r="H16" s="261"/>
      <c r="I16" s="262"/>
      <c r="J16" s="2029"/>
      <c r="K16" s="2028"/>
      <c r="L16" s="2028"/>
      <c r="M16" s="2028"/>
      <c r="N16" s="2028"/>
      <c r="O16" s="2028"/>
      <c r="P16" s="2028"/>
      <c r="Q16" s="2028"/>
      <c r="R16" s="2028"/>
      <c r="S16" s="2028"/>
      <c r="T16" s="2028"/>
      <c r="U16" s="2028"/>
      <c r="V16" s="2028"/>
    </row>
    <row r="17" spans="1:26" ht="15">
      <c r="A17" s="263" t="s">
        <v>317</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318</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319</v>
      </c>
      <c r="B19" s="268" t="s">
        <v>320</v>
      </c>
      <c r="C19" s="269">
        <f ca="1">SUMIF(INDIRECT("'"&amp;C4&amp;"'"&amp;"!A:A"),结果表!B19,INDIRECT("'"&amp;C4&amp;"'"&amp;"!B:B"))</f>
        <v>35026</v>
      </c>
      <c r="D19" s="270">
        <f ca="1">SUMIF(INDIRECT("'"&amp;D4&amp;"'"&amp;"!A:A"),结果表!B19,INDIRECT("'"&amp;D4&amp;"'"&amp;"!B:B"))</f>
        <v>34966</v>
      </c>
      <c r="E19" s="267" t="s">
        <v>321</v>
      </c>
      <c r="F19" s="268" t="s">
        <v>320</v>
      </c>
      <c r="G19" s="271">
        <f ca="1">ROUND(C19*$C$18+D19*$D$18,0)</f>
        <v>34996</v>
      </c>
      <c r="H19" s="272" t="s">
        <v>322</v>
      </c>
      <c r="I19" s="310"/>
      <c r="J19" s="2028"/>
      <c r="K19" s="2028"/>
      <c r="L19" s="2028"/>
      <c r="M19" s="2028"/>
      <c r="N19" s="2028"/>
      <c r="O19" s="2028"/>
      <c r="P19" s="2028"/>
      <c r="Q19" s="2028"/>
      <c r="R19" s="2028"/>
      <c r="S19" s="2028"/>
      <c r="T19" s="2028"/>
      <c r="U19" s="2028"/>
      <c r="V19" s="2028"/>
    </row>
    <row r="20" spans="1:26" ht="15">
      <c r="A20" s="273"/>
      <c r="B20" s="274" t="s">
        <v>323</v>
      </c>
      <c r="C20" s="275">
        <f ca="1">SUMIF(INDIRECT("'"&amp;C4&amp;"'"&amp;"!A:A"),结果表!B20,INDIRECT("'"&amp;C4&amp;"'"&amp;"!B:B"))</f>
        <v>2977</v>
      </c>
      <c r="D20" s="276">
        <f ca="1">SUMIF(INDIRECT("'"&amp;D4&amp;"'"&amp;"!A:A"),结果表!B20,INDIRECT("'"&amp;D4&amp;"'"&amp;"!B:B"))</f>
        <v>4686</v>
      </c>
      <c r="E20" s="273"/>
      <c r="F20" s="274" t="s">
        <v>323</v>
      </c>
      <c r="G20" s="277">
        <f ca="1">ROUND(C20*$C$18+D20*$D$18,0)</f>
        <v>3832</v>
      </c>
      <c r="H20" s="278" t="s">
        <v>324</v>
      </c>
      <c r="I20" s="310"/>
      <c r="J20" s="2028"/>
      <c r="K20" s="2028"/>
      <c r="L20" s="2028"/>
      <c r="M20" s="2028"/>
      <c r="N20" s="2028"/>
      <c r="O20" s="2028"/>
      <c r="P20" s="2028"/>
      <c r="Q20" s="2028"/>
      <c r="R20" s="2028"/>
      <c r="S20" s="2028"/>
      <c r="T20" s="2028"/>
      <c r="U20" s="2028"/>
      <c r="V20" s="2028"/>
    </row>
    <row r="21" spans="1:26" ht="15" customHeight="1">
      <c r="A21" s="273"/>
      <c r="B21" s="279" t="s">
        <v>325</v>
      </c>
      <c r="C21" s="280">
        <f ca="1">SUMIF(INDIRECT("'"&amp;C4&amp;"'"&amp;"!A:A"),结果表!B21,INDIRECT("'"&amp;C4&amp;"'"&amp;"!B:B"))</f>
        <v>8337</v>
      </c>
      <c r="D21" s="150">
        <f ca="1">SUMIF(INDIRECT("'"&amp;D4&amp;"'"&amp;"!A:A"),结果表!B21,INDIRECT("'"&amp;D4&amp;"'"&amp;"!B:B"))</f>
        <v>8323</v>
      </c>
      <c r="E21" s="273"/>
      <c r="F21" s="279" t="s">
        <v>325</v>
      </c>
      <c r="G21" s="281">
        <f ca="1">ROUND(C21*$C$18+D21*$D$18,0)</f>
        <v>8330</v>
      </c>
      <c r="H21" s="1249" t="s">
        <v>324</v>
      </c>
      <c r="I21" s="310"/>
      <c r="J21" s="2028"/>
      <c r="K21" s="2028"/>
      <c r="L21" s="2028"/>
      <c r="M21" s="2028"/>
      <c r="N21" s="2028"/>
      <c r="O21" s="2028"/>
      <c r="P21" s="2028"/>
      <c r="Q21" s="2028"/>
      <c r="R21" s="2028"/>
      <c r="S21" s="2028"/>
      <c r="T21" s="2028"/>
      <c r="U21" s="2028"/>
      <c r="V21" s="2028"/>
    </row>
    <row r="22" spans="1:26" ht="15.75" thickBot="1">
      <c r="A22" s="125" t="s">
        <v>326</v>
      </c>
      <c r="B22" s="1250"/>
      <c r="C22" s="1251"/>
      <c r="D22" s="282">
        <f ca="1">IF(C19&lt;D19,D19/C19-1,C19/D19-1)</f>
        <v>1.7159526397072522E-3</v>
      </c>
      <c r="E22" s="283"/>
      <c r="F22" s="284"/>
      <c r="G22" s="285">
        <f ca="1">ROUND(G19/('数据-汇总表'!D3/666.67),0)</f>
        <v>555</v>
      </c>
      <c r="H22" s="286" t="s">
        <v>327</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4" t="s">
        <v>328</v>
      </c>
      <c r="B24" s="268" t="s">
        <v>320</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6"/>
      <c r="B25" s="1319" t="s">
        <v>329</v>
      </c>
      <c r="C25" s="289">
        <f>IF(B30=0,0,C30)</f>
        <v>0</v>
      </c>
      <c r="D25" s="290"/>
      <c r="E25" s="310"/>
      <c r="F25" s="310"/>
      <c r="G25" s="310"/>
      <c r="H25" s="310"/>
      <c r="I25" s="310"/>
      <c r="J25" s="2028"/>
      <c r="K25" s="1253" t="str">
        <f ca="1">项目基本情况!B16&amp;"国有建设用地使用权价格："&amp;O38&amp;"万元"</f>
        <v>出让国有建设用地使用权价格：34996万元</v>
      </c>
      <c r="L25" s="1254"/>
      <c r="M25" s="1254"/>
      <c r="N25" s="1254"/>
      <c r="O25" s="1255"/>
      <c r="P25" s="2028"/>
      <c r="Q25" s="2028"/>
      <c r="R25" s="2028"/>
      <c r="S25" s="2028"/>
      <c r="T25" s="2028"/>
      <c r="U25" s="2028"/>
      <c r="V25" s="2028"/>
    </row>
    <row r="26" spans="1:26" s="1252" customFormat="1" ht="18">
      <c r="A26" s="292" t="s">
        <v>330</v>
      </c>
      <c r="B26" s="293" t="s">
        <v>331</v>
      </c>
      <c r="C26" s="293" t="s">
        <v>332</v>
      </c>
      <c r="D26" s="294" t="s">
        <v>333</v>
      </c>
      <c r="E26" s="310"/>
      <c r="F26" s="310"/>
      <c r="G26" s="310"/>
      <c r="H26" s="310"/>
      <c r="I26" s="310"/>
      <c r="J26" s="2028"/>
      <c r="K26" s="1256" t="str">
        <f ca="1">"大写金额：人民币"&amp;NUMBERSTRING(INT(O38*10000),2)&amp;"元整"</f>
        <v>大写金额：人民币叁亿肆仟玖佰玖拾陆万元整</v>
      </c>
      <c r="L26" s="1250"/>
      <c r="M26" s="1250"/>
      <c r="N26" s="1250"/>
      <c r="O26" s="1249"/>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6" t="str">
        <f ca="1">"单位面积地价："&amp;M38&amp;"元/平方米"</f>
        <v>单位面积地价：8330元/平方米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楼面地价：2975元/平方米</v>
      </c>
      <c r="L28" s="1250"/>
      <c r="M28" s="1250"/>
      <c r="N28" s="1250"/>
      <c r="O28" s="1249"/>
      <c r="P28" s="2028"/>
      <c r="V28" s="2028"/>
    </row>
    <row r="29" spans="1:26" ht="18">
      <c r="A29" s="292"/>
      <c r="B29" s="293"/>
      <c r="C29" s="293"/>
      <c r="D29" s="294"/>
      <c r="E29" s="310"/>
      <c r="F29" s="310"/>
      <c r="G29" s="310"/>
      <c r="H29" s="310"/>
      <c r="I29" s="310"/>
      <c r="J29" s="2028"/>
      <c r="K29" s="1256" t="str">
        <f>IF(OR(项目基本情况!E8="抵押价格",项目基本情况!E8="已注销及未注销"),"抵押价格："&amp;O39&amp;"万元","——")</f>
        <v>——</v>
      </c>
      <c r="L29" s="1250"/>
      <c r="M29" s="1250"/>
      <c r="N29" s="1250"/>
      <c r="O29" s="1249"/>
      <c r="P29" s="2028"/>
      <c r="V29" s="2028"/>
    </row>
    <row r="30" spans="1:26" ht="18.75" thickBot="1">
      <c r="A30" s="3127" t="s">
        <v>334</v>
      </c>
      <c r="B30" s="308"/>
      <c r="C30" s="308"/>
      <c r="D30" s="309"/>
      <c r="E30" s="3128" t="s">
        <v>2969</v>
      </c>
      <c r="F30" s="310"/>
      <c r="G30" s="310"/>
      <c r="H30" s="310"/>
      <c r="I30" s="310"/>
      <c r="J30" s="2028"/>
      <c r="K30" s="1256" t="str">
        <f>IF(K29="——","——","大写金额：人民币"&amp;NUMBERSTRING(INT(O39*10000),2)&amp;"元整")</f>
        <v>——</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7" t="s">
        <v>335</v>
      </c>
      <c r="B32" s="1380" t="s">
        <v>1687</v>
      </c>
      <c r="C32" s="1381">
        <f ca="1">G19-C24</f>
        <v>34996</v>
      </c>
      <c r="D32" s="1382" t="s">
        <v>1688</v>
      </c>
      <c r="E32" s="310"/>
      <c r="F32" s="310"/>
      <c r="G32" s="310"/>
      <c r="H32" s="310"/>
      <c r="I32" s="310"/>
      <c r="J32" s="2028"/>
      <c r="K32" s="2463" t="e">
        <f>IF(K31="——","——","大写金额：人民币"&amp;NUMBERSTRING(INT(O40*10000),2)&amp;"元整")</f>
        <v>#VALUE!</v>
      </c>
      <c r="L32" s="2466"/>
      <c r="M32" s="2466"/>
      <c r="N32" s="2466"/>
      <c r="O32" s="2467"/>
      <c r="P32" s="2028"/>
      <c r="V32" s="2028"/>
    </row>
    <row r="33" spans="1:26" ht="18.75" thickBot="1">
      <c r="A33" s="297" t="s">
        <v>338</v>
      </c>
      <c r="B33" s="1383" t="s">
        <v>1689</v>
      </c>
      <c r="C33" s="263">
        <f ca="1">ROUND(C32*10000/'数据-汇总表'!E3,0)</f>
        <v>2975</v>
      </c>
      <c r="D33" s="1384" t="s">
        <v>1690</v>
      </c>
      <c r="E33" s="3304" t="s">
        <v>336</v>
      </c>
      <c r="F33" s="295" t="s">
        <v>337</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1691</v>
      </c>
      <c r="C34" s="263">
        <f ca="1">ROUND(C32*10000/'数据-汇总表'!D3,0)</f>
        <v>8330</v>
      </c>
      <c r="D34" s="1386" t="s">
        <v>1690</v>
      </c>
      <c r="E34" s="3305"/>
      <c r="F34" s="126" t="s">
        <v>339</v>
      </c>
      <c r="G34" s="298"/>
      <c r="H34" s="104"/>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555</v>
      </c>
      <c r="D35" s="1389" t="s">
        <v>1692</v>
      </c>
      <c r="E35" s="3306"/>
      <c r="F35" s="300" t="s">
        <v>340</v>
      </c>
      <c r="G35" s="980"/>
      <c r="H35" s="979" t="s">
        <v>341</v>
      </c>
      <c r="I35" s="310"/>
      <c r="J35" s="2028"/>
      <c r="K35" s="3310" t="s">
        <v>348</v>
      </c>
      <c r="L35" s="3310" t="s">
        <v>349</v>
      </c>
      <c r="M35" s="1262" t="s">
        <v>350</v>
      </c>
      <c r="N35" s="3310" t="s">
        <v>351</v>
      </c>
      <c r="O35" s="3310" t="s">
        <v>352</v>
      </c>
      <c r="P35" s="2028"/>
      <c r="V35" s="2028"/>
    </row>
    <row r="36" spans="1:26" ht="16.5" customHeight="1">
      <c r="A36" s="302" t="s">
        <v>342</v>
      </c>
      <c r="B36" s="303" t="s">
        <v>331</v>
      </c>
      <c r="C36" s="304" t="s">
        <v>343</v>
      </c>
      <c r="D36" s="304" t="s">
        <v>344</v>
      </c>
      <c r="E36" s="305" t="s">
        <v>345</v>
      </c>
      <c r="F36" s="310"/>
      <c r="G36" s="310"/>
      <c r="H36" s="310"/>
      <c r="I36" s="310"/>
      <c r="J36" s="2030"/>
      <c r="K36" s="3311"/>
      <c r="L36" s="3311"/>
      <c r="M36" s="1264" t="s">
        <v>353</v>
      </c>
      <c r="N36" s="3311"/>
      <c r="O36" s="3311"/>
      <c r="P36" s="2028"/>
      <c r="V36" s="2028"/>
    </row>
    <row r="37" spans="1:26" ht="16.5" customHeight="1" thickBot="1">
      <c r="A37" s="1258" t="s">
        <v>346</v>
      </c>
      <c r="B37" s="306"/>
      <c r="C37" s="293"/>
      <c r="D37" s="293"/>
      <c r="E37" s="294"/>
      <c r="F37" s="310"/>
      <c r="G37" s="310"/>
      <c r="H37" s="310"/>
      <c r="I37" s="310"/>
      <c r="J37" s="2030"/>
      <c r="K37" s="3312"/>
      <c r="L37" s="3312"/>
      <c r="M37" s="1265"/>
      <c r="N37" s="3312"/>
      <c r="O37" s="3312"/>
      <c r="P37" s="2028"/>
      <c r="V37" s="2028"/>
    </row>
    <row r="38" spans="1:26" ht="16.5" customHeight="1" thickBot="1">
      <c r="A38" s="1258" t="s">
        <v>347</v>
      </c>
      <c r="B38" s="306"/>
      <c r="C38" s="293"/>
      <c r="D38" s="293"/>
      <c r="E38" s="294"/>
      <c r="F38" s="310"/>
      <c r="G38" s="310"/>
      <c r="H38" s="310"/>
      <c r="I38" s="310"/>
      <c r="J38" s="2030"/>
      <c r="K38" s="1266">
        <f>'数据-汇总表'!D3</f>
        <v>42013</v>
      </c>
      <c r="L38" s="1267">
        <f>'数据-汇总表'!E3</f>
        <v>117636.4</v>
      </c>
      <c r="M38" s="1267">
        <f ca="1">C34</f>
        <v>8330</v>
      </c>
      <c r="N38" s="1267">
        <f ca="1">C33</f>
        <v>2975</v>
      </c>
      <c r="O38" s="1268">
        <f ca="1">C32</f>
        <v>34996</v>
      </c>
      <c r="P38" s="2028"/>
      <c r="V38" s="2028"/>
    </row>
    <row r="39" spans="1:26" ht="16.5" customHeight="1" thickBot="1">
      <c r="A39" s="1263"/>
      <c r="B39" s="307"/>
      <c r="C39" s="308"/>
      <c r="D39" s="308"/>
      <c r="E39" s="309"/>
      <c r="F39" s="310"/>
      <c r="G39" s="310"/>
      <c r="H39" s="310"/>
      <c r="I39" s="310"/>
      <c r="J39" s="2030"/>
      <c r="K39" s="3287" t="str">
        <f>MID(A44,3,LEN(A44)-2)</f>
        <v/>
      </c>
      <c r="L39" s="3288"/>
      <c r="M39" s="3288"/>
      <c r="N39" s="3289"/>
      <c r="O39" s="1391" t="str">
        <f>C44</f>
        <v>——</v>
      </c>
      <c r="P39" s="2028"/>
      <c r="V39" s="2028"/>
    </row>
    <row r="40" spans="1:26" ht="19.5" thickBot="1">
      <c r="A40" s="103" t="s">
        <v>871</v>
      </c>
      <c r="B40" s="310"/>
      <c r="C40" s="310"/>
      <c r="D40" s="310"/>
      <c r="E40" s="310"/>
      <c r="F40" s="310"/>
      <c r="G40" s="310"/>
      <c r="H40" s="310"/>
      <c r="I40" s="310"/>
      <c r="J40" s="2030"/>
      <c r="K40" s="3287" t="str">
        <f t="shared" ref="K40:K41" si="0">MID(A45,3,LEN(A45)-2)</f>
        <v/>
      </c>
      <c r="L40" s="3288"/>
      <c r="M40" s="3288"/>
      <c r="N40" s="3289"/>
      <c r="O40" s="1391" t="str">
        <f>C45</f>
        <v>——</v>
      </c>
      <c r="P40" s="2028"/>
      <c r="V40" s="2028"/>
    </row>
    <row r="41" spans="1:26" ht="16.5" thickBot="1">
      <c r="A41" s="311" t="s">
        <v>354</v>
      </c>
      <c r="B41" s="312"/>
      <c r="C41" s="313" t="s">
        <v>355</v>
      </c>
      <c r="D41" s="314" t="s">
        <v>356</v>
      </c>
      <c r="E41" s="314" t="s">
        <v>357</v>
      </c>
      <c r="F41" s="315" t="s">
        <v>358</v>
      </c>
      <c r="G41" s="310"/>
      <c r="H41" s="310"/>
      <c r="I41" s="310"/>
      <c r="J41" s="2030"/>
      <c r="K41" s="3287" t="str">
        <f t="shared" si="0"/>
        <v/>
      </c>
      <c r="L41" s="3288"/>
      <c r="M41" s="3288"/>
      <c r="N41" s="3289"/>
      <c r="O41" s="1391" t="str">
        <f>C46</f>
        <v>——</v>
      </c>
      <c r="P41" s="2028"/>
      <c r="V41" s="2028"/>
    </row>
    <row r="42" spans="1:26" ht="29.25">
      <c r="A42" s="3347" t="s">
        <v>2068</v>
      </c>
      <c r="B42" s="3348"/>
      <c r="C42" s="263">
        <f ca="1">C32</f>
        <v>34996</v>
      </c>
      <c r="D42" s="316">
        <f ca="1">C33</f>
        <v>2975</v>
      </c>
      <c r="E42" s="316">
        <f ca="1">C34</f>
        <v>8330</v>
      </c>
      <c r="F42" s="317">
        <f ca="1">C35</f>
        <v>555</v>
      </c>
      <c r="G42" s="310"/>
      <c r="H42" s="310"/>
      <c r="I42" s="318"/>
      <c r="J42" s="2030"/>
      <c r="K42" s="1269" t="s">
        <v>359</v>
      </c>
      <c r="L42" s="2047" t="s">
        <v>360</v>
      </c>
      <c r="M42" s="1270" t="s">
        <v>361</v>
      </c>
      <c r="N42" s="2048" t="s">
        <v>362</v>
      </c>
      <c r="O42" s="2049" t="s">
        <v>363</v>
      </c>
      <c r="P42" s="2028"/>
      <c r="V42" s="2028"/>
    </row>
    <row r="43" spans="1:26" ht="30">
      <c r="A43" s="3357" t="s">
        <v>2731</v>
      </c>
      <c r="B43" s="3358"/>
      <c r="C43" s="263">
        <f>IF(H33="正常操作",G33+G34+G35,G34+G35)</f>
        <v>0</v>
      </c>
      <c r="D43" s="316" t="s">
        <v>43</v>
      </c>
      <c r="E43" s="316" t="s">
        <v>44</v>
      </c>
      <c r="F43" s="317" t="s">
        <v>44</v>
      </c>
      <c r="G43" s="2866" t="s">
        <v>950</v>
      </c>
      <c r="H43" s="310"/>
      <c r="I43" s="318"/>
      <c r="J43" s="2030"/>
      <c r="K43" s="1271" t="str">
        <f>C4</f>
        <v>比较法-住宅、综合</v>
      </c>
      <c r="L43" s="1272">
        <f ca="1">IF(L42="估价结果/万元",C19,C20)</f>
        <v>35026</v>
      </c>
      <c r="M43" s="1273">
        <f>C18</f>
        <v>0.5</v>
      </c>
      <c r="N43" s="1274">
        <f ca="1">IF(N42="测算结果/万元",G19,G20)</f>
        <v>34996</v>
      </c>
      <c r="O43" s="1275">
        <f ca="1">IF(O42="最终结果/万元",C32,C33)</f>
        <v>34996</v>
      </c>
      <c r="P43" s="2028"/>
      <c r="V43" s="2028"/>
    </row>
    <row r="44" spans="1:26" ht="30.75" thickBot="1">
      <c r="A44" s="3347" t="str">
        <f>IF(OR(项目基本情况!E8="抵押价格",项目基本情况!E8="已注销及未注销"),"3.抵押价格","——")</f>
        <v>——</v>
      </c>
      <c r="B44" s="3348"/>
      <c r="C44" s="263" t="str">
        <f>IF(A44="——","——",C42-C43)</f>
        <v>——</v>
      </c>
      <c r="D44" s="316" t="e">
        <f>ROUND(C44*10000/'数据-汇总表'!E3,0)</f>
        <v>#VALUE!</v>
      </c>
      <c r="E44" s="316" t="e">
        <f>ROUND(C44*10000/'数据-汇总表'!D3,0)</f>
        <v>#VALUE!</v>
      </c>
      <c r="F44" s="317" t="e">
        <f>ROUND(C44/('数据-汇总表'!D3/666.67),0)</f>
        <v>#VALUE!</v>
      </c>
      <c r="G44" s="310"/>
      <c r="H44" s="310"/>
      <c r="I44" s="318"/>
      <c r="J44" s="2030"/>
      <c r="K44" s="1276" t="str">
        <f>D4</f>
        <v>剩余法-待开发</v>
      </c>
      <c r="L44" s="1277">
        <f ca="1">IF(L42="估价结果/万元",D19,D20)</f>
        <v>34966</v>
      </c>
      <c r="M44" s="1278">
        <f>D18</f>
        <v>0.5</v>
      </c>
      <c r="N44" s="1279"/>
      <c r="O44" s="1280"/>
      <c r="P44" s="2028"/>
      <c r="V44" s="2028"/>
    </row>
    <row r="45" spans="1:26" ht="15">
      <c r="A45" s="3352" t="str">
        <f>IF(项目基本情况!E8="已注销及未注销","4.抵押担保权已注销时的抵押价格",IF(项目基本情况!E8="已注销","3.抵押担保权已注销时的抵押价格","——"))</f>
        <v>——</v>
      </c>
      <c r="B45" s="3353"/>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49" t="str">
        <f>IF(项目基本情况!E9="抵押净值",IF(A45="——","4.抵押净值","5.抵押净值"),"——")</f>
        <v>——</v>
      </c>
      <c r="B46" s="3350"/>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364</v>
      </c>
      <c r="B47" s="1281"/>
      <c r="C47" s="321" t="s">
        <v>365</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366</v>
      </c>
      <c r="G53" s="336"/>
      <c r="H53" s="336"/>
      <c r="I53" s="337" t="s">
        <v>367</v>
      </c>
      <c r="J53" s="2031"/>
      <c r="K53" s="2028"/>
      <c r="L53" s="2028"/>
      <c r="M53" s="2028"/>
      <c r="N53" s="2028"/>
      <c r="O53" s="2028"/>
      <c r="P53" s="2028"/>
      <c r="Q53" s="2028"/>
      <c r="R53" s="2028"/>
      <c r="S53" s="2028"/>
      <c r="T53" s="2028"/>
      <c r="U53" s="2028"/>
      <c r="V53" s="2028"/>
    </row>
    <row r="54" spans="1:22" ht="12.75">
      <c r="A54" s="256"/>
      <c r="B54" s="338"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369</v>
      </c>
      <c r="J56" s="2031"/>
      <c r="K56" s="2028"/>
      <c r="L56" s="2028"/>
      <c r="M56" s="2028"/>
      <c r="N56" s="2028"/>
      <c r="O56" s="2028"/>
      <c r="P56" s="2028"/>
      <c r="Q56" s="2028"/>
      <c r="R56" s="2028"/>
      <c r="S56" s="2028"/>
      <c r="T56" s="2028"/>
      <c r="U56" s="2028"/>
      <c r="V56" s="2028"/>
    </row>
    <row r="57" spans="1:22" ht="12.75">
      <c r="A57" s="256"/>
      <c r="B57" s="338"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2" t="s">
        <v>371</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15" t="s">
        <v>372</v>
      </c>
      <c r="B63" s="3316"/>
      <c r="C63" s="3317"/>
      <c r="D63" s="340">
        <f ca="1">ROUND(C42*F63,0)</f>
        <v>20998</v>
      </c>
      <c r="E63" s="301" t="s">
        <v>373</v>
      </c>
      <c r="F63" s="341">
        <v>0.6</v>
      </c>
      <c r="G63" s="342" t="s">
        <v>374</v>
      </c>
      <c r="H63" s="310"/>
      <c r="I63" s="310"/>
      <c r="J63" s="2028"/>
      <c r="K63" s="2028"/>
      <c r="L63" s="2028"/>
      <c r="M63" s="2028"/>
      <c r="N63" s="2028"/>
      <c r="O63" s="2028"/>
      <c r="P63" s="310"/>
      <c r="Q63" s="2028"/>
      <c r="R63" s="2028"/>
      <c r="S63" s="2028"/>
      <c r="T63" s="2028"/>
      <c r="U63" s="2028"/>
      <c r="V63" s="2028"/>
    </row>
    <row r="64" spans="1:22" ht="14.25" customHeight="1">
      <c r="A64" s="3354" t="s">
        <v>376</v>
      </c>
      <c r="B64" s="3355"/>
      <c r="C64" s="3355"/>
      <c r="D64" s="3355"/>
      <c r="E64" s="3355"/>
      <c r="F64" s="3355"/>
      <c r="G64" s="3356"/>
      <c r="H64" s="1286"/>
      <c r="I64" s="946"/>
      <c r="J64" s="1990"/>
      <c r="K64" s="1560" t="s">
        <v>375</v>
      </c>
      <c r="L64" s="10"/>
      <c r="M64" s="10"/>
      <c r="N64" s="10"/>
      <c r="O64" s="10"/>
      <c r="P64" s="310"/>
      <c r="Q64" s="2028"/>
      <c r="R64" s="2028"/>
      <c r="S64" s="2028"/>
      <c r="T64" s="2028"/>
      <c r="U64" s="2028"/>
      <c r="V64" s="2028"/>
    </row>
    <row r="65" spans="1:22" ht="12" customHeight="1">
      <c r="A65" s="343" t="s">
        <v>378</v>
      </c>
      <c r="B65" s="344"/>
      <c r="C65" s="345"/>
      <c r="D65" s="346" t="s">
        <v>379</v>
      </c>
      <c r="E65" s="52" t="s">
        <v>380</v>
      </c>
      <c r="F65" s="347" t="s">
        <v>381</v>
      </c>
      <c r="G65" s="348" t="s">
        <v>382</v>
      </c>
      <c r="H65" s="1286"/>
      <c r="I65" s="946"/>
      <c r="J65" s="1990"/>
      <c r="K65" s="1287"/>
      <c r="L65" s="1288"/>
      <c r="M65" s="1288"/>
      <c r="N65" s="1320" t="s">
        <v>377</v>
      </c>
      <c r="O65" s="1321"/>
      <c r="P65" s="1322"/>
      <c r="Q65" s="2028"/>
      <c r="R65" s="2028"/>
      <c r="S65" s="2028"/>
      <c r="T65" s="2028"/>
      <c r="U65" s="2028"/>
      <c r="V65" s="2028"/>
    </row>
    <row r="66" spans="1:22" ht="25.5">
      <c r="A66" s="3351" t="s">
        <v>384</v>
      </c>
      <c r="B66" s="3322"/>
      <c r="C66" s="3322"/>
      <c r="D66" s="260">
        <f ca="1">IF(H66="情况1",0,IF(H66="情况2",D70,IF(H66="情况3",D71,IF(H66="情况4",D72))))</f>
        <v>1120</v>
      </c>
      <c r="E66" s="991" t="str">
        <f>IF(H66="情况4","(销售额-原购置价)×税（费）率","销售额×税（费）率")</f>
        <v>销售额×税（费）率</v>
      </c>
      <c r="F66" s="349">
        <f>IF(H66="情况1","免征",'数据-取费表'!B41)</f>
        <v>5.6000000000000001E-2</v>
      </c>
      <c r="G66" s="350" t="s">
        <v>385</v>
      </c>
      <c r="H66" s="190" t="s">
        <v>386</v>
      </c>
      <c r="I66" s="1286"/>
      <c r="J66" s="2034"/>
      <c r="K66" s="1289">
        <v>1</v>
      </c>
      <c r="L66" s="3291" t="s">
        <v>383</v>
      </c>
      <c r="M66" s="3292"/>
      <c r="N66" s="2458"/>
      <c r="O66" s="2459"/>
      <c r="P66" s="2460"/>
      <c r="Q66" s="2028"/>
      <c r="R66" s="2028"/>
      <c r="S66" s="2028"/>
      <c r="T66" s="2028"/>
      <c r="U66" s="2028"/>
      <c r="V66" s="2028"/>
    </row>
    <row r="67" spans="1:22" ht="25.5" customHeight="1">
      <c r="A67" s="351" t="s">
        <v>388</v>
      </c>
      <c r="B67" s="3334" t="s">
        <v>389</v>
      </c>
      <c r="C67" s="3334"/>
      <c r="D67" s="352">
        <v>0</v>
      </c>
      <c r="E67" s="40" t="s">
        <v>390</v>
      </c>
      <c r="F67" s="61" t="s">
        <v>21</v>
      </c>
      <c r="G67" s="3318"/>
      <c r="H67" s="310"/>
      <c r="I67" s="1290"/>
      <c r="J67" s="2035"/>
      <c r="K67" s="1976">
        <v>2</v>
      </c>
      <c r="L67" s="3290" t="s">
        <v>387</v>
      </c>
      <c r="M67" s="3290"/>
      <c r="N67" s="1323">
        <f>'数据-取费表'!B2</f>
        <v>43276</v>
      </c>
      <c r="O67" s="1323"/>
      <c r="P67" s="1323"/>
      <c r="Q67" s="2028"/>
      <c r="R67" s="2028"/>
      <c r="S67" s="2028"/>
      <c r="T67" s="2028"/>
      <c r="U67" s="2028"/>
      <c r="V67" s="2028"/>
    </row>
    <row r="68" spans="1:22" ht="25.5" customHeight="1">
      <c r="A68" s="353"/>
      <c r="B68" s="3334" t="s">
        <v>392</v>
      </c>
      <c r="C68" s="3334"/>
      <c r="D68" s="354"/>
      <c r="E68" s="76"/>
      <c r="F68" s="355"/>
      <c r="G68" s="3319"/>
      <c r="H68" s="310"/>
      <c r="I68" s="1290"/>
      <c r="J68" s="2035"/>
      <c r="K68" s="1976">
        <v>3</v>
      </c>
      <c r="L68" s="3290" t="s">
        <v>391</v>
      </c>
      <c r="M68" s="3290"/>
      <c r="N68" s="1291">
        <f ca="1">C42</f>
        <v>34996</v>
      </c>
      <c r="O68" s="1291"/>
      <c r="P68" s="1291"/>
      <c r="Q68" s="2028"/>
      <c r="R68" s="2028"/>
      <c r="S68" s="2028"/>
      <c r="T68" s="2028"/>
      <c r="U68" s="2028"/>
      <c r="V68" s="2028"/>
    </row>
    <row r="69" spans="1:22" ht="12" customHeight="1">
      <c r="A69" s="356"/>
      <c r="B69" s="3334" t="s">
        <v>393</v>
      </c>
      <c r="C69" s="3334"/>
      <c r="D69" s="357"/>
      <c r="E69" s="72"/>
      <c r="F69" s="355"/>
      <c r="G69" s="3320"/>
      <c r="H69" s="310"/>
      <c r="I69" s="1290"/>
      <c r="J69" s="2035"/>
      <c r="K69" s="1292">
        <v>4</v>
      </c>
      <c r="L69" s="3296" t="s">
        <v>2884</v>
      </c>
      <c r="M69" s="3297"/>
      <c r="N69" s="1293" t="str">
        <f>C44</f>
        <v>——</v>
      </c>
      <c r="O69" s="1293"/>
      <c r="P69" s="1293"/>
      <c r="Q69" s="2028"/>
      <c r="R69" s="2028"/>
      <c r="S69" s="2028"/>
      <c r="T69" s="2028"/>
      <c r="U69" s="2028"/>
      <c r="V69" s="2028"/>
    </row>
    <row r="70" spans="1:22" ht="24" customHeight="1">
      <c r="A70" s="358" t="s">
        <v>394</v>
      </c>
      <c r="B70" s="3334" t="s">
        <v>395</v>
      </c>
      <c r="C70" s="3334"/>
      <c r="D70" s="357">
        <f ca="1">ROUND(D63*'数据-取费表'!B41/(1+'数据-取费表'!C42),0)</f>
        <v>1120</v>
      </c>
      <c r="E70" s="16" t="s">
        <v>396</v>
      </c>
      <c r="F70" s="359">
        <f>'数据-取费表'!B41</f>
        <v>5.6000000000000001E-2</v>
      </c>
      <c r="G70" s="360"/>
      <c r="H70" s="310"/>
      <c r="I70" s="1290"/>
      <c r="J70" s="2035"/>
      <c r="K70" s="3061"/>
      <c r="L70" s="3062"/>
      <c r="M70" s="3062"/>
      <c r="N70" s="3063" t="s">
        <v>2889</v>
      </c>
      <c r="O70" s="3062"/>
      <c r="P70" s="3064"/>
      <c r="Q70" s="2028"/>
      <c r="R70" s="2028"/>
      <c r="S70" s="2028"/>
      <c r="T70" s="2028"/>
      <c r="U70" s="2028"/>
      <c r="V70" s="2028"/>
    </row>
    <row r="71" spans="1:22" ht="12" customHeight="1">
      <c r="A71" s="358" t="s">
        <v>402</v>
      </c>
      <c r="B71" s="3333" t="s">
        <v>403</v>
      </c>
      <c r="C71" s="3345"/>
      <c r="D71" s="357">
        <f ca="1">ROUND(D63*'数据-取费表'!B41/(1+'数据-取费表'!C42),0)</f>
        <v>1120</v>
      </c>
      <c r="E71" s="16" t="s">
        <v>396</v>
      </c>
      <c r="F71" s="359">
        <f>'数据-取费表'!B41</f>
        <v>5.6000000000000001E-2</v>
      </c>
      <c r="G71" s="360"/>
      <c r="H71" s="310"/>
      <c r="I71" s="1290"/>
      <c r="J71" s="2035"/>
      <c r="K71" s="3060" t="s">
        <v>397</v>
      </c>
      <c r="L71" s="3298" t="s">
        <v>398</v>
      </c>
      <c r="M71" s="3298"/>
      <c r="N71" s="3060" t="s">
        <v>399</v>
      </c>
      <c r="O71" s="3060" t="s">
        <v>400</v>
      </c>
      <c r="P71" s="3060" t="s">
        <v>401</v>
      </c>
      <c r="Q71" s="2028"/>
      <c r="R71" s="2028"/>
      <c r="S71" s="2028"/>
      <c r="T71" s="2028"/>
      <c r="U71" s="2028"/>
      <c r="V71" s="2028"/>
    </row>
    <row r="72" spans="1:22" ht="12" customHeight="1">
      <c r="A72" s="358" t="s">
        <v>405</v>
      </c>
      <c r="B72" s="3333" t="s">
        <v>406</v>
      </c>
      <c r="C72" s="3345"/>
      <c r="D72" s="357">
        <f ca="1">C86</f>
        <v>1008</v>
      </c>
      <c r="E72" s="72" t="s">
        <v>407</v>
      </c>
      <c r="F72" s="359">
        <f>'数据-取费表'!B41</f>
        <v>5.6000000000000001E-2</v>
      </c>
      <c r="G72" s="360"/>
      <c r="H72" s="1296"/>
      <c r="I72" s="1290"/>
      <c r="J72" s="2035"/>
      <c r="K72" s="1976">
        <v>1</v>
      </c>
      <c r="L72" s="3295" t="s">
        <v>404</v>
      </c>
      <c r="M72" s="3295"/>
      <c r="N72" s="1294">
        <f ca="1">D66</f>
        <v>1120</v>
      </c>
      <c r="O72" s="1859" t="str">
        <f>E66</f>
        <v>销售额×税（费）率</v>
      </c>
      <c r="P72" s="1295">
        <f>F66</f>
        <v>5.6000000000000001E-2</v>
      </c>
      <c r="Q72" s="2028"/>
      <c r="R72" s="2028"/>
      <c r="S72" s="2028"/>
      <c r="T72" s="2028"/>
      <c r="U72" s="2028"/>
      <c r="V72" s="2028"/>
    </row>
    <row r="73" spans="1:22" ht="24" customHeight="1">
      <c r="A73" s="3321" t="s">
        <v>409</v>
      </c>
      <c r="B73" s="3322"/>
      <c r="C73" s="3322"/>
      <c r="D73" s="361">
        <f>IF(H73="个人住宅",0,ROUND(D63*I73,0))</f>
        <v>0</v>
      </c>
      <c r="E73" s="16" t="s">
        <v>410</v>
      </c>
      <c r="F73" s="359" t="str">
        <f>IF(H73="正常",I73,"免征")</f>
        <v>免征</v>
      </c>
      <c r="G73" s="360"/>
      <c r="H73" s="190" t="s">
        <v>2456</v>
      </c>
      <c r="I73" s="359">
        <f>'数据-取费表'!B49</f>
        <v>5.0000000000000001E-4</v>
      </c>
      <c r="J73" s="2035"/>
      <c r="K73" s="1976">
        <v>2</v>
      </c>
      <c r="L73" s="3295" t="s">
        <v>408</v>
      </c>
      <c r="M73" s="3295"/>
      <c r="N73" s="1294">
        <f t="shared" ref="N73:P74" si="1">D73</f>
        <v>0</v>
      </c>
      <c r="O73" s="1859" t="str">
        <f t="shared" si="1"/>
        <v>销售额×税（费）率</v>
      </c>
      <c r="P73" s="1295" t="str">
        <f t="shared" si="1"/>
        <v>免征</v>
      </c>
      <c r="Q73" s="2028"/>
      <c r="R73" s="2028"/>
      <c r="S73" s="2028"/>
      <c r="T73" s="2028"/>
      <c r="U73" s="2028"/>
      <c r="V73" s="2028"/>
    </row>
    <row r="74" spans="1:22" ht="24.75">
      <c r="A74" s="3321" t="s">
        <v>413</v>
      </c>
      <c r="B74" s="3322"/>
      <c r="C74" s="3322"/>
      <c r="D74" s="361">
        <f ca="1">IF(H74="个人住宅",D75,D76)</f>
        <v>11229</v>
      </c>
      <c r="E74" s="16" t="s">
        <v>414</v>
      </c>
      <c r="F74" s="359" t="str">
        <f>IF(H74="正常",F76,"免征")</f>
        <v>——</v>
      </c>
      <c r="G74" s="981" t="s">
        <v>415</v>
      </c>
      <c r="H74" s="362" t="s">
        <v>411</v>
      </c>
      <c r="I74" s="41"/>
      <c r="J74" s="2035"/>
      <c r="K74" s="1976">
        <v>3</v>
      </c>
      <c r="L74" s="3295" t="s">
        <v>412</v>
      </c>
      <c r="M74" s="3295"/>
      <c r="N74" s="1294">
        <f t="shared" ca="1" si="1"/>
        <v>11229</v>
      </c>
      <c r="O74" s="1859" t="str">
        <f t="shared" si="1"/>
        <v>增值额×税（费）率</v>
      </c>
      <c r="P74" s="1297" t="str">
        <f t="shared" si="1"/>
        <v>——</v>
      </c>
      <c r="Q74" s="2028"/>
      <c r="R74" s="2028"/>
      <c r="S74" s="2028"/>
      <c r="T74" s="2028"/>
      <c r="U74" s="2028"/>
      <c r="V74" s="2028"/>
    </row>
    <row r="75" spans="1:22" ht="24">
      <c r="A75" s="358" t="s">
        <v>416</v>
      </c>
      <c r="B75" s="3302" t="s">
        <v>417</v>
      </c>
      <c r="C75" s="3303"/>
      <c r="D75" s="363">
        <v>0</v>
      </c>
      <c r="E75" s="40" t="s">
        <v>418</v>
      </c>
      <c r="F75" s="364"/>
      <c r="G75" s="360"/>
      <c r="H75" s="41"/>
      <c r="I75" s="41"/>
      <c r="J75" s="2035"/>
      <c r="K75" s="3053">
        <f>IF(H77="非个人房产","",4)</f>
        <v>4</v>
      </c>
      <c r="L75" s="3295" t="str">
        <f>IF(H77="非个人房产","——","个人所得税")</f>
        <v>个人所得税</v>
      </c>
      <c r="M75" s="3295"/>
      <c r="N75" s="1298">
        <f ca="1">D77</f>
        <v>210</v>
      </c>
      <c r="O75" s="1872" t="str">
        <f>E77</f>
        <v>销售额×税（费）率</v>
      </c>
      <c r="P75" s="1299">
        <f>F77</f>
        <v>0.01</v>
      </c>
      <c r="Q75" s="2028"/>
      <c r="R75" s="2028"/>
      <c r="S75" s="2028"/>
      <c r="T75" s="2028"/>
      <c r="U75" s="2028"/>
      <c r="V75" s="2028"/>
    </row>
    <row r="76" spans="1:22" ht="24.75">
      <c r="A76" s="358" t="s">
        <v>394</v>
      </c>
      <c r="B76" s="3302" t="s">
        <v>420</v>
      </c>
      <c r="C76" s="3344"/>
      <c r="D76" s="361">
        <f ca="1">IF(H76="转让取得",C99,C115)</f>
        <v>11229</v>
      </c>
      <c r="E76" s="16" t="s">
        <v>421</v>
      </c>
      <c r="F76" s="52" t="s">
        <v>21</v>
      </c>
      <c r="G76" s="360"/>
      <c r="H76" s="362" t="s">
        <v>422</v>
      </c>
      <c r="I76" s="41"/>
      <c r="J76" s="2035"/>
      <c r="K76" s="3053" t="str">
        <f>IF(项目基本情况!K6="上海银行",IF(K75="",4,K75+1),"")</f>
        <v/>
      </c>
      <c r="L76" s="3283" t="str">
        <f>IF(项目基本情况!K6="上海银行","其他处置费用","")</f>
        <v/>
      </c>
      <c r="M76" s="3284"/>
      <c r="N76" s="1294" t="str">
        <f>IF(项目基本情况!K6="上海银行",N89,"")</f>
        <v/>
      </c>
      <c r="O76" s="3285" t="str">
        <f>IF(项目基本情况!K6="上海银行","包含处置中涉及的律师、诉讼、拍卖、评估等费用","")</f>
        <v/>
      </c>
      <c r="P76" s="3286"/>
      <c r="Q76" s="2028"/>
      <c r="R76" s="2028"/>
      <c r="S76" s="2028"/>
      <c r="T76" s="2028"/>
      <c r="U76" s="2028"/>
      <c r="V76" s="2028"/>
    </row>
    <row r="77" spans="1:22" ht="26.25" thickBot="1">
      <c r="A77" s="3313" t="s">
        <v>424</v>
      </c>
      <c r="B77" s="3314"/>
      <c r="C77" s="3314"/>
      <c r="D77" s="365">
        <f ca="1">IF(H77="非个人房产","——",IF(H77="个人住宅",0,ROUND(D63*I77,0)))</f>
        <v>210</v>
      </c>
      <c r="E77" s="366" t="str">
        <f>IF(H77="非个人房产","——","销售额×税（费）率")</f>
        <v>销售额×税（费）率</v>
      </c>
      <c r="F77" s="367">
        <f>IF(H77="非个人房产","——",IF(H77="个人住宅","免征",I77))</f>
        <v>0.01</v>
      </c>
      <c r="G77" s="982" t="s">
        <v>415</v>
      </c>
      <c r="H77" s="362" t="s">
        <v>2885</v>
      </c>
      <c r="I77" s="368">
        <v>0.01</v>
      </c>
      <c r="J77" s="2035"/>
      <c r="K77" s="3309">
        <f>IF(AND(K75="",K76=""),4,IF(项目基本情况!K6="上海银行",K76+1,K75+1))</f>
        <v>5</v>
      </c>
      <c r="L77" s="3295" t="s">
        <v>2886</v>
      </c>
      <c r="M77" s="3059" t="s">
        <v>419</v>
      </c>
      <c r="N77" s="1300"/>
      <c r="O77" s="1301">
        <f ca="1">SUMIF(N72:N76,"&lt;9e307")</f>
        <v>12559</v>
      </c>
      <c r="P77" s="1302"/>
      <c r="Q77" s="3057" t="e">
        <f ca="1">O77/N69</f>
        <v>#VALUE!</v>
      </c>
      <c r="R77" s="2028"/>
      <c r="S77" s="2028"/>
      <c r="T77" s="2028"/>
      <c r="U77" s="2028"/>
      <c r="V77" s="2028"/>
    </row>
    <row r="78" spans="1:22" ht="12" customHeight="1">
      <c r="A78" s="1303"/>
      <c r="B78" s="310"/>
      <c r="C78" s="310"/>
      <c r="D78" s="310"/>
      <c r="E78" s="41"/>
      <c r="F78" s="41"/>
      <c r="G78" s="41"/>
      <c r="H78" s="1001"/>
      <c r="I78" s="310"/>
      <c r="J78" s="2035"/>
      <c r="K78" s="3309"/>
      <c r="L78" s="3295"/>
      <c r="M78" s="3059" t="s">
        <v>423</v>
      </c>
      <c r="N78" s="1300"/>
      <c r="O78" s="1301" t="str">
        <f ca="1">NUMBERSTRING(INT(O77*10000),2)&amp;"元整"</f>
        <v>壹亿贰仟伍佰伍拾玖万元整</v>
      </c>
      <c r="P78" s="1302"/>
      <c r="Q78" s="2028"/>
      <c r="R78" s="2028"/>
      <c r="S78" s="2028"/>
      <c r="T78" s="2028"/>
      <c r="U78" s="2028"/>
      <c r="V78" s="2028"/>
    </row>
    <row r="79" spans="1:22" ht="13.5" thickBot="1">
      <c r="A79" s="3299" t="s">
        <v>425</v>
      </c>
      <c r="B79" s="3299"/>
      <c r="C79" s="3299"/>
      <c r="D79" s="3299"/>
      <c r="E79" s="3299"/>
      <c r="F79" s="41"/>
      <c r="G79" s="41"/>
      <c r="H79" s="1001"/>
      <c r="I79" s="310"/>
      <c r="J79" s="2035"/>
      <c r="K79" s="3293">
        <f>K77+1</f>
        <v>6</v>
      </c>
      <c r="L79" s="3295" t="s">
        <v>2887</v>
      </c>
      <c r="M79" s="3059" t="s">
        <v>419</v>
      </c>
      <c r="N79" s="1300"/>
      <c r="O79" s="1301" t="e">
        <f ca="1">N69-O77</f>
        <v>#VALUE!</v>
      </c>
      <c r="P79" s="1302"/>
      <c r="Q79" s="2028"/>
      <c r="R79" s="2028"/>
      <c r="S79" s="2028"/>
      <c r="T79" s="2028"/>
      <c r="U79" s="2028"/>
      <c r="V79" s="2028"/>
    </row>
    <row r="80" spans="1:22" ht="12.75">
      <c r="A80" s="3300" t="s">
        <v>426</v>
      </c>
      <c r="B80" s="3301"/>
      <c r="C80" s="992"/>
      <c r="D80" s="992" t="s">
        <v>427</v>
      </c>
      <c r="E80" s="369" t="s">
        <v>428</v>
      </c>
      <c r="F80" s="41"/>
      <c r="G80" s="41"/>
      <c r="H80" s="1001"/>
      <c r="I80" s="310"/>
      <c r="J80" s="2028"/>
      <c r="K80" s="3294"/>
      <c r="L80" s="3295"/>
      <c r="M80" s="3059" t="s">
        <v>423</v>
      </c>
      <c r="N80" s="1300"/>
      <c r="O80" s="1301" t="e">
        <f ca="1">NUMBERSTRING(INT(O79*10000),2)&amp;"元整"</f>
        <v>#VALUE!</v>
      </c>
      <c r="P80" s="1302"/>
      <c r="Q80" s="2028"/>
      <c r="R80" s="2028"/>
      <c r="S80" s="2028"/>
      <c r="T80" s="2028"/>
      <c r="U80" s="2028"/>
      <c r="V80" s="2028"/>
    </row>
    <row r="81" spans="1:26" ht="13.5" thickBot="1">
      <c r="A81" s="380" t="s">
        <v>1822</v>
      </c>
      <c r="B81" s="370" t="s">
        <v>429</v>
      </c>
      <c r="C81" s="371">
        <f ca="1">ROUND((C82+C83)/(1+'数据-取费表'!C42),0)</f>
        <v>19998</v>
      </c>
      <c r="D81" s="372"/>
      <c r="E81" s="373"/>
      <c r="F81" s="41"/>
      <c r="G81" s="41"/>
      <c r="H81" s="1001"/>
      <c r="I81" s="310"/>
      <c r="J81" s="2028"/>
      <c r="K81" s="3053">
        <f>K79+1</f>
        <v>7</v>
      </c>
      <c r="L81" s="3307" t="s">
        <v>2888</v>
      </c>
      <c r="M81" s="3308"/>
      <c r="N81" s="1304"/>
      <c r="O81" s="1305" t="e">
        <f ca="1">ROUND(O79*10000/'数据-汇总表'!E3,0)</f>
        <v>#VALUE!</v>
      </c>
      <c r="P81" s="1306"/>
      <c r="Q81" s="2028"/>
      <c r="R81" s="2028"/>
      <c r="S81" s="2028"/>
      <c r="T81" s="2028"/>
      <c r="U81" s="2028"/>
      <c r="V81" s="2028"/>
    </row>
    <row r="82" spans="1:26" ht="13.5" thickTop="1">
      <c r="A82" s="374" t="s">
        <v>1823</v>
      </c>
      <c r="B82" s="375" t="s">
        <v>430</v>
      </c>
      <c r="C82" s="376">
        <f ca="1">D63</f>
        <v>20998</v>
      </c>
      <c r="D82" s="377" t="s">
        <v>19</v>
      </c>
      <c r="E82" s="378"/>
      <c r="F82" s="41"/>
      <c r="G82" s="41"/>
      <c r="H82" s="1001"/>
      <c r="I82" s="310"/>
      <c r="J82" s="2028"/>
      <c r="K82" s="2028"/>
      <c r="L82" s="2028"/>
      <c r="M82" s="2028"/>
      <c r="N82" s="2028"/>
      <c r="O82" s="2028"/>
      <c r="P82" s="2028"/>
      <c r="Q82" s="2028"/>
      <c r="R82" s="2028"/>
      <c r="S82" s="2028"/>
      <c r="T82" s="2028"/>
      <c r="U82" s="2028"/>
      <c r="V82" s="2028"/>
    </row>
    <row r="83" spans="1:26" ht="12.75">
      <c r="A83" s="374" t="s">
        <v>1824</v>
      </c>
      <c r="B83" s="375" t="s">
        <v>431</v>
      </c>
      <c r="C83" s="379">
        <v>0</v>
      </c>
      <c r="D83" s="377"/>
      <c r="E83" s="378"/>
      <c r="F83" s="41"/>
      <c r="G83" s="41"/>
      <c r="H83" s="1001"/>
      <c r="I83" s="310"/>
      <c r="J83" s="2028"/>
      <c r="K83" s="3282" t="s">
        <v>2875</v>
      </c>
      <c r="L83" s="3065" t="s">
        <v>2876</v>
      </c>
      <c r="M83" s="3055" t="e">
        <f>IF(N69&gt;10000,N69*0.5%,IF(AND(N69&gt;1000,N69&lt;=10000),N69*1%,IF(AND(N69&gt;100,N69&lt;=1000),N69*3%,IF(AND(N69&gt;10,N69&lt;=100),N69*5%,N69*8%))))</f>
        <v>#VALUE!</v>
      </c>
      <c r="N83" s="52" t="e">
        <f>ROUND(M83,1)</f>
        <v>#VALUE!</v>
      </c>
      <c r="O83" s="3058"/>
      <c r="P83" s="2028"/>
      <c r="Q83" s="2028"/>
      <c r="R83" s="2028"/>
      <c r="S83" s="2028"/>
      <c r="T83" s="2028"/>
      <c r="U83" s="2028"/>
      <c r="V83" s="2028"/>
    </row>
    <row r="84" spans="1:26" ht="12.75">
      <c r="A84" s="380" t="s">
        <v>1825</v>
      </c>
      <c r="B84" s="381" t="s">
        <v>432</v>
      </c>
      <c r="C84" s="382">
        <v>2000</v>
      </c>
      <c r="D84" s="383" t="s">
        <v>19</v>
      </c>
      <c r="E84" s="3098" t="s">
        <v>2941</v>
      </c>
      <c r="F84" s="41"/>
      <c r="G84" s="41"/>
      <c r="H84" s="1001"/>
      <c r="I84" s="310"/>
      <c r="J84" s="2028"/>
      <c r="K84" s="3282"/>
      <c r="L84" s="3065" t="s">
        <v>2877</v>
      </c>
      <c r="M84" s="305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8" t="s">
        <v>2878</v>
      </c>
      <c r="P84" s="2028"/>
      <c r="Q84" s="2028"/>
      <c r="R84" s="2028"/>
      <c r="S84" s="2028"/>
      <c r="T84" s="2028"/>
      <c r="U84" s="2028"/>
      <c r="V84" s="2028"/>
    </row>
    <row r="85" spans="1:26" ht="12.75">
      <c r="A85" s="380" t="s">
        <v>1826</v>
      </c>
      <c r="B85" s="381" t="s">
        <v>433</v>
      </c>
      <c r="C85" s="384">
        <f ca="1">C81-C84</f>
        <v>17998</v>
      </c>
      <c r="D85" s="377" t="s">
        <v>19</v>
      </c>
      <c r="E85" s="378"/>
      <c r="F85" s="41"/>
      <c r="G85" s="41"/>
      <c r="H85" s="1001"/>
      <c r="I85" s="310"/>
      <c r="J85" s="2028"/>
      <c r="K85" s="3282"/>
      <c r="L85" s="3065" t="s">
        <v>2879</v>
      </c>
      <c r="M85" s="3055" t="e">
        <f>IF(N69&gt;1000,N69*0.1%,IF(AND(N69&gt;500,N69&lt;=1000),N69*0.5%,IF(AND(N69&gt;50,N69&lt;=500),N69*1%,IF(AND(N69&gt;1,N69&lt;=50),N69*1.5%))))</f>
        <v>#VALUE!</v>
      </c>
      <c r="N85" s="52" t="e">
        <f t="shared" si="2"/>
        <v>#VALUE!</v>
      </c>
      <c r="O85" s="2028" t="s">
        <v>2878</v>
      </c>
      <c r="P85" s="2028"/>
      <c r="Q85" s="2028"/>
      <c r="R85" s="2028"/>
      <c r="S85" s="2028"/>
      <c r="T85" s="2028"/>
      <c r="U85" s="2028"/>
      <c r="V85" s="2028"/>
    </row>
    <row r="86" spans="1:26" ht="13.5" thickBot="1">
      <c r="A86" s="385" t="s">
        <v>1827</v>
      </c>
      <c r="B86" s="386" t="s">
        <v>434</v>
      </c>
      <c r="C86" s="387">
        <f ca="1">IF(C85&lt;=0,0,ROUND(C85*D86,0))</f>
        <v>1008</v>
      </c>
      <c r="D86" s="388">
        <f>'数据-取费表'!B41</f>
        <v>5.6000000000000001E-2</v>
      </c>
      <c r="E86" s="389"/>
      <c r="F86" s="41"/>
      <c r="G86" s="41"/>
      <c r="H86" s="1001"/>
      <c r="I86" s="310"/>
      <c r="J86" s="2028"/>
      <c r="K86" s="3282"/>
      <c r="L86" s="3065" t="s">
        <v>2880</v>
      </c>
      <c r="M86" s="3055" t="e">
        <f>N69*0.5%</f>
        <v>#VALUE!</v>
      </c>
      <c r="N86" s="52" t="e">
        <f>IF(M86&gt;0.5,0.5,ROUND(M86,0))</f>
        <v>#VALUE!</v>
      </c>
      <c r="O86" s="2028" t="s">
        <v>2881</v>
      </c>
      <c r="P86" s="2028"/>
      <c r="Q86" s="2028"/>
      <c r="R86" s="2028"/>
      <c r="S86" s="2028"/>
      <c r="T86" s="2028"/>
      <c r="U86" s="2028"/>
      <c r="V86" s="2028"/>
    </row>
    <row r="87" spans="1:26" s="1252" customFormat="1" ht="14.25" customHeight="1">
      <c r="A87" s="1307"/>
      <c r="B87" s="1308"/>
      <c r="C87" s="1309"/>
      <c r="D87" s="1310"/>
      <c r="E87" s="1311"/>
      <c r="F87" s="41"/>
      <c r="G87" s="41"/>
      <c r="H87" s="1001"/>
      <c r="I87" s="310"/>
      <c r="J87" s="2028"/>
      <c r="K87" s="3282"/>
      <c r="L87" s="3065" t="s">
        <v>2882</v>
      </c>
      <c r="M87" s="305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58"/>
      <c r="P87" s="310"/>
      <c r="Q87" s="2028"/>
      <c r="R87" s="2028"/>
      <c r="S87" s="2028"/>
      <c r="T87" s="2028"/>
      <c r="U87" s="2028"/>
      <c r="V87" s="2028"/>
      <c r="W87" s="291"/>
      <c r="X87" s="291"/>
      <c r="Y87" s="291"/>
      <c r="Z87" s="291"/>
    </row>
    <row r="88" spans="1:26" s="1312" customFormat="1" ht="15" thickBot="1">
      <c r="A88" s="3336" t="s">
        <v>435</v>
      </c>
      <c r="B88" s="3337"/>
      <c r="C88" s="3337"/>
      <c r="D88" s="3337"/>
      <c r="E88" s="3337"/>
      <c r="F88" s="3337"/>
      <c r="G88" s="3337"/>
      <c r="H88" s="3337"/>
      <c r="I88" s="1313"/>
      <c r="J88" s="2036"/>
      <c r="K88" s="3282"/>
      <c r="L88" s="3065" t="s">
        <v>2883</v>
      </c>
      <c r="M88" s="3055" t="e">
        <f>IF(N69&gt;10000,N69*0.5%,IF(AND(N69&gt;5000,N69&lt;=10000),N69*1%,IF(AND(N69&gt;1000,N69&lt;=5000),N69*2%,IF(AND(N69&gt;200,N69&lt;=1000),N69*3%,N69*5%))))</f>
        <v>#VALUE!</v>
      </c>
      <c r="N88" s="52" t="e">
        <f>ROUND(M88,1)</f>
        <v>#VALUE!</v>
      </c>
      <c r="O88" s="3058"/>
      <c r="P88" s="10"/>
      <c r="Q88" s="2033"/>
      <c r="R88" s="2033"/>
      <c r="S88" s="2033"/>
      <c r="T88" s="2033"/>
      <c r="U88" s="2033"/>
      <c r="V88" s="2033"/>
      <c r="W88" s="2037"/>
      <c r="X88" s="2037"/>
      <c r="Y88" s="2037"/>
      <c r="Z88" s="2037"/>
    </row>
    <row r="89" spans="1:26" s="1312" customFormat="1" ht="14.25">
      <c r="A89" s="3300" t="s">
        <v>426</v>
      </c>
      <c r="B89" s="3301"/>
      <c r="C89" s="992"/>
      <c r="D89" s="992" t="s">
        <v>427</v>
      </c>
      <c r="E89" s="390" t="s">
        <v>436</v>
      </c>
      <c r="F89" s="391"/>
      <c r="G89" s="391"/>
      <c r="H89" s="392"/>
      <c r="I89" s="1314"/>
      <c r="J89" s="2038"/>
      <c r="K89" s="3282"/>
      <c r="L89" s="3065" t="s">
        <v>27</v>
      </c>
      <c r="M89" s="3056"/>
      <c r="N89" s="52" t="e">
        <f>ROUND(SUM(N83:N88),0)</f>
        <v>#VALUE!</v>
      </c>
      <c r="O89" s="3066" t="e">
        <f>N89/N69</f>
        <v>#VALUE!</v>
      </c>
      <c r="P89" s="2033"/>
      <c r="Q89" s="2033"/>
      <c r="R89" s="2033"/>
      <c r="S89" s="2033"/>
      <c r="T89" s="2033"/>
      <c r="U89" s="2033"/>
      <c r="V89" s="2033"/>
      <c r="W89" s="2037"/>
      <c r="X89" s="2037"/>
      <c r="Y89" s="2037"/>
      <c r="Z89" s="2037"/>
    </row>
    <row r="90" spans="1:26" s="1312" customFormat="1" ht="14.25">
      <c r="A90" s="380" t="s">
        <v>1822</v>
      </c>
      <c r="B90" s="381" t="s">
        <v>437</v>
      </c>
      <c r="C90" s="384">
        <f ca="1">ROUND(D63/(1+'数据-取费表'!C42),0)</f>
        <v>19998</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1828</v>
      </c>
      <c r="B91" s="347" t="s">
        <v>438</v>
      </c>
      <c r="C91" s="384">
        <f ca="1">C92+C96</f>
        <v>2681</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1829</v>
      </c>
      <c r="B92" s="375" t="s">
        <v>439</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1830</v>
      </c>
      <c r="B93" s="375" t="s">
        <v>440</v>
      </c>
      <c r="C93" s="395">
        <v>2000</v>
      </c>
      <c r="D93" s="377" t="s">
        <v>19</v>
      </c>
      <c r="E93" s="396" t="s">
        <v>441</v>
      </c>
      <c r="F93" s="397" t="s">
        <v>442</v>
      </c>
      <c r="G93" s="396" t="s">
        <v>443</v>
      </c>
      <c r="H93" s="398">
        <v>5</v>
      </c>
      <c r="I93" s="10"/>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1831</v>
      </c>
      <c r="B94" s="399" t="s">
        <v>444</v>
      </c>
      <c r="C94" s="377">
        <f>IF(F93="购房发票",ROUND(C93*H93*5%,0),0)</f>
        <v>500</v>
      </c>
      <c r="D94" s="400">
        <v>0.05</v>
      </c>
      <c r="E94" s="3333" t="s">
        <v>445</v>
      </c>
      <c r="F94" s="3334"/>
      <c r="G94" s="3334"/>
      <c r="H94" s="3335"/>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1832</v>
      </c>
      <c r="B95" s="375" t="s">
        <v>446</v>
      </c>
      <c r="C95" s="377">
        <f>ROUND(IF(G95="个人买卖住房",0,IF(G95="2016年5月1日前购买",C93*D95,C93*D95/(1+'数据-取费表'!C42))),0)</f>
        <v>61</v>
      </c>
      <c r="D95" s="401">
        <f>'数据-取费表'!B48+'数据-取费表'!B49</f>
        <v>3.0499999999999999E-2</v>
      </c>
      <c r="E95" s="25" t="s">
        <v>447</v>
      </c>
      <c r="F95" s="402"/>
      <c r="G95" s="403" t="s">
        <v>2430</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1833</v>
      </c>
      <c r="B96" s="375" t="s">
        <v>448</v>
      </c>
      <c r="C96" s="404">
        <f ca="1">ROUND(D63*D96/(1+'数据-取费表'!C42),0)</f>
        <v>120</v>
      </c>
      <c r="D96" s="405">
        <f>'数据-取费表'!B43</f>
        <v>6.000000000000001E-3</v>
      </c>
      <c r="E96" s="3323" t="s">
        <v>2429</v>
      </c>
      <c r="F96" s="3324"/>
      <c r="G96" s="3324"/>
      <c r="H96" s="3325"/>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1834</v>
      </c>
      <c r="B97" s="381" t="s">
        <v>449</v>
      </c>
      <c r="C97" s="384">
        <f ca="1">C90-C91</f>
        <v>17317</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1835</v>
      </c>
      <c r="B98" s="381" t="s">
        <v>450</v>
      </c>
      <c r="C98" s="406">
        <f ca="1">IF(C97&lt;=0,0,C97/C91)</f>
        <v>6.4591570309585977</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1836</v>
      </c>
      <c r="B99" s="386" t="s">
        <v>451</v>
      </c>
      <c r="C99" s="407">
        <f ca="1">ROUND(IF(C97&lt;=0,0,IF(C98&gt;=200%,C97*60%-C91*35%,IF(C98&gt;=100%,C97*50%-C91*15%,IF(C98&gt;=50%,C97*40%-C91*5%,IF(C98&lt;50%,C97*30%,0))))),0)</f>
        <v>9452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0"/>
      <c r="D100" s="10"/>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36" t="s">
        <v>452</v>
      </c>
      <c r="B101" s="3337"/>
      <c r="C101" s="3337"/>
      <c r="D101" s="3337"/>
      <c r="E101" s="3337"/>
      <c r="F101" s="3337"/>
      <c r="G101" s="3337"/>
      <c r="H101" s="3337"/>
      <c r="I101" s="10"/>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00" t="s">
        <v>426</v>
      </c>
      <c r="B102" s="3301"/>
      <c r="C102" s="992"/>
      <c r="D102" s="992" t="s">
        <v>427</v>
      </c>
      <c r="E102" s="390" t="s">
        <v>436</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1822</v>
      </c>
      <c r="B103" s="381" t="s">
        <v>437</v>
      </c>
      <c r="C103" s="384">
        <f ca="1">ROUND(D63/(1+'数据-取费表'!C42),0)</f>
        <v>19998</v>
      </c>
      <c r="D103" s="377" t="s">
        <v>19</v>
      </c>
      <c r="E103" s="989"/>
      <c r="F103" s="988"/>
      <c r="G103" s="988"/>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1828</v>
      </c>
      <c r="B104" s="347" t="s">
        <v>438</v>
      </c>
      <c r="C104" s="384">
        <f ca="1">IF(H106="仅含出让金",C105+C108+C109+C110+C111+C112,C105+C109+C110+C111+C112)</f>
        <v>810</v>
      </c>
      <c r="D104" s="414"/>
      <c r="E104" s="989"/>
      <c r="F104" s="988"/>
      <c r="G104" s="988"/>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1829</v>
      </c>
      <c r="B105" s="375" t="s">
        <v>453</v>
      </c>
      <c r="C105" s="404">
        <f>C106+C107</f>
        <v>572</v>
      </c>
      <c r="D105" s="405"/>
      <c r="E105" s="983"/>
      <c r="F105" s="984"/>
      <c r="G105" s="984"/>
      <c r="H105" s="985"/>
      <c r="I105" s="10"/>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1830</v>
      </c>
      <c r="B106" s="375" t="s">
        <v>454</v>
      </c>
      <c r="C106" s="415">
        <v>555</v>
      </c>
      <c r="D106" s="405"/>
      <c r="E106" s="416" t="s">
        <v>455</v>
      </c>
      <c r="F106" s="984"/>
      <c r="G106" s="417" t="s">
        <v>456</v>
      </c>
      <c r="H106" s="418" t="s">
        <v>2440</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1831</v>
      </c>
      <c r="B107" s="375" t="s">
        <v>446</v>
      </c>
      <c r="C107" s="404">
        <f>ROUND(C106*D107,0)</f>
        <v>17</v>
      </c>
      <c r="D107" s="405">
        <f>'数据-取费表'!B48+'数据-取费表'!B49</f>
        <v>3.0499999999999999E-2</v>
      </c>
      <c r="E107" s="416" t="s">
        <v>457</v>
      </c>
      <c r="F107" s="984"/>
      <c r="G107" s="984"/>
      <c r="H107" s="985"/>
      <c r="I107" s="10"/>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1833</v>
      </c>
      <c r="B108" s="375" t="s">
        <v>458</v>
      </c>
      <c r="C108" s="415"/>
      <c r="D108" s="405"/>
      <c r="E108" s="416" t="str">
        <f>IF(H106="-","土地取得成本中已包含该笔费用"," ")</f>
        <v xml:space="preserve"> </v>
      </c>
      <c r="F108" s="984"/>
      <c r="G108" s="984"/>
      <c r="H108" s="985"/>
      <c r="I108" s="10"/>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1837</v>
      </c>
      <c r="B109" s="375" t="s">
        <v>459</v>
      </c>
      <c r="C109" s="404">
        <f>IF(H109="——",IF(F1="现房",'剩余法-现房'!C18,'剩余法-待开发'!C18),I109)</f>
        <v>55</v>
      </c>
      <c r="D109" s="405"/>
      <c r="E109" s="3326" t="s">
        <v>460</v>
      </c>
      <c r="F109" s="3324"/>
      <c r="G109" s="3324"/>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1838</v>
      </c>
      <c r="B110" s="375" t="s">
        <v>461</v>
      </c>
      <c r="C110" s="404">
        <f>ROUND((C105+C108+C109)*D110,0)</f>
        <v>63</v>
      </c>
      <c r="D110" s="405">
        <v>0.1</v>
      </c>
      <c r="E110" s="3326" t="s">
        <v>462</v>
      </c>
      <c r="F110" s="3324"/>
      <c r="G110" s="3324"/>
      <c r="H110" s="3325"/>
      <c r="I110" s="10"/>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1839</v>
      </c>
      <c r="B111" s="375" t="s">
        <v>448</v>
      </c>
      <c r="C111" s="404">
        <f ca="1">ROUND(D63*D111/(1+'数据-取费表'!C42),0)</f>
        <v>120</v>
      </c>
      <c r="D111" s="405">
        <f>'数据-取费表'!B43</f>
        <v>6.000000000000001E-3</v>
      </c>
      <c r="E111" s="3323" t="s">
        <v>2429</v>
      </c>
      <c r="F111" s="3324"/>
      <c r="G111" s="3324"/>
      <c r="H111" s="3325"/>
      <c r="I111" s="10"/>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1840</v>
      </c>
      <c r="B112" s="375" t="s">
        <v>463</v>
      </c>
      <c r="C112" s="404">
        <f>ROUND(C108*D112,0)</f>
        <v>0</v>
      </c>
      <c r="D112" s="405">
        <v>0.2</v>
      </c>
      <c r="E112" s="3326" t="s">
        <v>2454</v>
      </c>
      <c r="F112" s="3324"/>
      <c r="G112" s="3324"/>
      <c r="H112" s="3325"/>
      <c r="I112" s="10"/>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1834</v>
      </c>
      <c r="B113" s="381" t="s">
        <v>449</v>
      </c>
      <c r="C113" s="384">
        <f ca="1">ROUND(C103-C104,0)</f>
        <v>19188</v>
      </c>
      <c r="D113" s="377" t="s">
        <v>19</v>
      </c>
      <c r="E113" s="989"/>
      <c r="F113" s="988"/>
      <c r="G113" s="988"/>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1835</v>
      </c>
      <c r="B114" s="381" t="s">
        <v>450</v>
      </c>
      <c r="C114" s="406">
        <f ca="1">IF(C113&lt;=0,0,C113/C104)</f>
        <v>23.68888888888889</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1836</v>
      </c>
      <c r="B115" s="386" t="s">
        <v>451</v>
      </c>
      <c r="C115" s="407">
        <f ca="1">ROUND(IF(C113&lt;=0,0,IF(C114&gt;=200%,C113*60%-C104*35%,IF(C114&gt;=100%,C113*50%-C104*15%,IF(C114&gt;=50%,C113*40%-C104*5%,IF(C114&lt;50%,C113*30%,0))))),0)</f>
        <v>11229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7" zoomScale="80" zoomScaleNormal="95" zoomScaleSheetLayoutView="80" workbookViewId="0">
      <selection activeCell="N27" sqref="N2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514</v>
      </c>
      <c r="B1" s="502"/>
      <c r="C1" s="503" t="s">
        <v>515</v>
      </c>
      <c r="D1" s="504" t="s">
        <v>516</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465</v>
      </c>
      <c r="B2" s="507">
        <f>F68</f>
        <v>35026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1683</v>
      </c>
      <c r="B3" s="509">
        <f>ROUND(B2*10000/'数据-汇总表'!E3,0)</f>
        <v>2977</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518</v>
      </c>
      <c r="B4" s="426">
        <f>IF(B48="单位面积地价",C50,ROUND(B2*10000/'数据-汇总表'!D3,0))</f>
        <v>8337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556</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519</v>
      </c>
      <c r="B6" s="512"/>
      <c r="C6" s="3381" t="s">
        <v>520</v>
      </c>
      <c r="D6" s="3382"/>
      <c r="E6" s="3381" t="s">
        <v>521</v>
      </c>
      <c r="F6" s="3382"/>
      <c r="G6" s="3381" t="s">
        <v>522</v>
      </c>
      <c r="H6" s="3382"/>
      <c r="I6" s="3381" t="s">
        <v>523</v>
      </c>
      <c r="J6" s="3382"/>
      <c r="K6" s="513" t="s">
        <v>524</v>
      </c>
      <c r="L6" s="2133"/>
      <c r="M6" s="2132"/>
      <c r="N6" s="2132"/>
      <c r="O6" s="2134"/>
      <c r="P6" s="3383" t="s">
        <v>525</v>
      </c>
      <c r="Q6" s="3384"/>
      <c r="R6" s="3369" t="s">
        <v>521</v>
      </c>
      <c r="S6" s="3370"/>
      <c r="T6" s="3369" t="s">
        <v>522</v>
      </c>
      <c r="U6" s="3370"/>
      <c r="V6" s="3389" t="s">
        <v>523</v>
      </c>
      <c r="W6" s="3389"/>
      <c r="X6" s="1566"/>
      <c r="Y6" s="3369" t="s">
        <v>525</v>
      </c>
      <c r="Z6" s="3370"/>
      <c r="AA6" s="3364" t="s">
        <v>521</v>
      </c>
      <c r="AB6" s="3365" t="s">
        <v>522</v>
      </c>
      <c r="AC6" s="3364" t="s">
        <v>523</v>
      </c>
    </row>
    <row r="7" spans="1:30" ht="20.25">
      <c r="A7" s="514"/>
      <c r="B7" s="515"/>
      <c r="C7" s="3392" t="s">
        <v>2928</v>
      </c>
      <c r="D7" s="3393"/>
      <c r="E7" s="3392" t="s">
        <v>2929</v>
      </c>
      <c r="F7" s="3393"/>
      <c r="G7" s="3392" t="s">
        <v>2930</v>
      </c>
      <c r="H7" s="3393"/>
      <c r="I7" s="3392" t="s">
        <v>2931</v>
      </c>
      <c r="J7" s="3393"/>
      <c r="K7" s="513"/>
      <c r="L7" s="2133"/>
      <c r="M7" s="2132"/>
      <c r="N7" s="2132"/>
      <c r="O7" s="2134"/>
      <c r="P7" s="3385"/>
      <c r="Q7" s="3386"/>
      <c r="R7" s="3371"/>
      <c r="S7" s="3372"/>
      <c r="T7" s="3371"/>
      <c r="U7" s="3372"/>
      <c r="V7" s="3389"/>
      <c r="W7" s="3389"/>
      <c r="X7" s="1566"/>
      <c r="Y7" s="3371"/>
      <c r="Z7" s="3372"/>
      <c r="AA7" s="3365"/>
      <c r="AB7" s="3365"/>
      <c r="AC7" s="3365"/>
    </row>
    <row r="8" spans="1:30" ht="21" thickBot="1">
      <c r="A8" s="514"/>
      <c r="B8" s="515"/>
      <c r="C8" s="3394" t="s">
        <v>2932</v>
      </c>
      <c r="D8" s="3395"/>
      <c r="E8" s="3394" t="str">
        <f>土地案例!A34</f>
        <v>福康路以南,百合花园以西</v>
      </c>
      <c r="F8" s="3395"/>
      <c r="G8" s="3390" t="str">
        <f>土地案例!A38</f>
        <v>福安路以南,世纪西路以东</v>
      </c>
      <c r="H8" s="3391"/>
      <c r="I8" s="3390" t="str">
        <f>土地案例!A32</f>
        <v>双山北路以北,世纪西路以西</v>
      </c>
      <c r="J8" s="3391"/>
      <c r="K8" s="513" t="s">
        <v>526</v>
      </c>
      <c r="L8" s="2133"/>
      <c r="M8" s="2132"/>
      <c r="N8" s="2132"/>
      <c r="O8" s="2134"/>
      <c r="P8" s="3387"/>
      <c r="Q8" s="3388"/>
      <c r="R8" s="3371"/>
      <c r="S8" s="3372"/>
      <c r="T8" s="3373"/>
      <c r="U8" s="3374"/>
      <c r="V8" s="3389"/>
      <c r="W8" s="3389"/>
      <c r="X8" s="1566"/>
      <c r="Y8" s="3373"/>
      <c r="Z8" s="3374"/>
      <c r="AA8" s="3366"/>
      <c r="AB8" s="3366"/>
      <c r="AC8" s="3366"/>
    </row>
    <row r="9" spans="1:30" s="1218" customFormat="1" ht="21" thickBot="1">
      <c r="A9" s="2911"/>
      <c r="B9" s="2918" t="s">
        <v>527</v>
      </c>
      <c r="C9" s="2910">
        <f>'数据-取费表'!B2</f>
        <v>43276</v>
      </c>
      <c r="D9" s="519">
        <v>100</v>
      </c>
      <c r="E9" s="520" t="str">
        <f>土地案例!H34</f>
        <v>2018-05-24</v>
      </c>
      <c r="F9" s="521">
        <f>SUMIF(72:72,YEAR(E9)&amp;"-"&amp;INT((MONTH(E9)+2)/3),73:73)</f>
        <v>100</v>
      </c>
      <c r="G9" s="522" t="str">
        <f>土地案例!H38</f>
        <v>2018-05-24</v>
      </c>
      <c r="H9" s="519">
        <f>SUMIF(72:72,YEAR(G9)&amp;"-"&amp;INT((MONTH(G9)+2)/3),73:73)</f>
        <v>100</v>
      </c>
      <c r="I9" s="522" t="str">
        <f>土地案例!H32</f>
        <v>2018-05-24</v>
      </c>
      <c r="J9" s="519">
        <f>SUMIF(72:72,YEAR(I9)&amp;"-"&amp;INT((MONTH(I9)+2)/3),73:73)</f>
        <v>100</v>
      </c>
      <c r="K9" s="523"/>
      <c r="L9" s="2135"/>
      <c r="M9" s="2132"/>
      <c r="N9" s="2132"/>
      <c r="O9" s="2136"/>
      <c r="P9" s="3367" t="s">
        <v>528</v>
      </c>
      <c r="Q9" s="3376"/>
      <c r="R9" s="1567" t="s">
        <v>8</v>
      </c>
      <c r="S9" s="1568">
        <f t="shared" ref="S9:S17" si="0">F9</f>
        <v>100</v>
      </c>
      <c r="T9" s="1567" t="s">
        <v>8</v>
      </c>
      <c r="U9" s="1568">
        <f t="shared" ref="U9:U17" si="1">H9</f>
        <v>100</v>
      </c>
      <c r="V9" s="1567" t="s">
        <v>8</v>
      </c>
      <c r="W9" s="1568">
        <f t="shared" ref="W9:W17" si="2">J9</f>
        <v>100</v>
      </c>
      <c r="X9" s="1569"/>
      <c r="Y9" s="3367" t="s">
        <v>528</v>
      </c>
      <c r="Z9" s="3368"/>
      <c r="AA9" s="1570">
        <f>D9/F9</f>
        <v>1</v>
      </c>
      <c r="AB9" s="1570">
        <f>D9/H9</f>
        <v>1</v>
      </c>
      <c r="AC9" s="1570">
        <f>D9/J9</f>
        <v>1</v>
      </c>
    </row>
    <row r="10" spans="1:30" s="1218" customFormat="1" ht="21" thickBot="1">
      <c r="A10" s="2912"/>
      <c r="B10" s="2919" t="s">
        <v>529</v>
      </c>
      <c r="C10" s="855" t="s">
        <v>530</v>
      </c>
      <c r="D10" s="519">
        <v>100</v>
      </c>
      <c r="E10" s="855" t="s">
        <v>530</v>
      </c>
      <c r="F10" s="521">
        <f>SUMIF(75:75,E10,76:76)-SUMIF(75:75,C10,76:76)+100</f>
        <v>100</v>
      </c>
      <c r="G10" s="855" t="s">
        <v>530</v>
      </c>
      <c r="H10" s="519">
        <f>SUMIF(75:75,G10,76:76)-SUMIF(75:75,C10,76:76)+100</f>
        <v>100</v>
      </c>
      <c r="I10" s="855" t="s">
        <v>530</v>
      </c>
      <c r="J10" s="519">
        <f>SUMIF(75:75,I10,76:76)-SUMIF(75:75,C10,76:76)+100</f>
        <v>100</v>
      </c>
      <c r="K10" s="523"/>
      <c r="L10" s="2135"/>
      <c r="M10" s="2132"/>
      <c r="N10" s="2132"/>
      <c r="O10" s="2136"/>
      <c r="P10" s="3367" t="s">
        <v>531</v>
      </c>
      <c r="Q10" s="3368"/>
      <c r="R10" s="1567" t="s">
        <v>8</v>
      </c>
      <c r="S10" s="1568">
        <f t="shared" si="0"/>
        <v>100</v>
      </c>
      <c r="T10" s="1567" t="s">
        <v>8</v>
      </c>
      <c r="U10" s="1568">
        <f t="shared" si="1"/>
        <v>100</v>
      </c>
      <c r="V10" s="1567" t="s">
        <v>8</v>
      </c>
      <c r="W10" s="1568">
        <f t="shared" si="2"/>
        <v>100</v>
      </c>
      <c r="X10" s="1569"/>
      <c r="Y10" s="3367" t="s">
        <v>531</v>
      </c>
      <c r="Z10" s="3368"/>
      <c r="AA10" s="1570">
        <f t="shared" ref="AA10:AA47" si="3">D10/F10</f>
        <v>1</v>
      </c>
      <c r="AB10" s="1570">
        <f t="shared" ref="AB10:AB47" si="4">D10/H10</f>
        <v>1</v>
      </c>
      <c r="AC10" s="1570">
        <f t="shared" ref="AC10:AC47" si="5">D10/J10</f>
        <v>1</v>
      </c>
    </row>
    <row r="11" spans="1:30" s="1218" customFormat="1" ht="20.25">
      <c r="A11" s="2913"/>
      <c r="B11" s="2920" t="s">
        <v>2757</v>
      </c>
      <c r="C11" s="3181" t="s">
        <v>3100</v>
      </c>
      <c r="D11" s="253">
        <v>100</v>
      </c>
      <c r="E11" s="3181" t="s">
        <v>3100</v>
      </c>
      <c r="F11" s="253">
        <f>SUMIF(77:77,E11,78:78)-SUMIF(77:77,C11,78:78)+100</f>
        <v>100</v>
      </c>
      <c r="G11" s="3181" t="s">
        <v>3100</v>
      </c>
      <c r="H11" s="253">
        <f>SUMIF(77:77,G11,78:78)-SUMIF(77:77,C11,78:78)+100</f>
        <v>100</v>
      </c>
      <c r="I11" s="3181" t="s">
        <v>3100</v>
      </c>
      <c r="J11" s="253">
        <f>SUMIF(77:77,I11,78:78)-SUMIF(77:77,C11,78:78)+100</f>
        <v>100</v>
      </c>
      <c r="K11" s="523"/>
      <c r="L11" s="2135"/>
      <c r="M11" s="2132"/>
      <c r="N11" s="2132"/>
      <c r="O11" s="2137"/>
      <c r="P11" s="3375" t="s">
        <v>533</v>
      </c>
      <c r="Q11" s="1149" t="str">
        <f t="shared" ref="Q11:Q17" si="6">B11</f>
        <v>用途</v>
      </c>
      <c r="R11" s="1567" t="s">
        <v>8</v>
      </c>
      <c r="S11" s="1568">
        <f t="shared" si="0"/>
        <v>100</v>
      </c>
      <c r="T11" s="1567" t="s">
        <v>8</v>
      </c>
      <c r="U11" s="1568">
        <f t="shared" si="1"/>
        <v>100</v>
      </c>
      <c r="V11" s="1567" t="s">
        <v>8</v>
      </c>
      <c r="W11" s="1568">
        <f t="shared" si="2"/>
        <v>100</v>
      </c>
      <c r="X11" s="1569"/>
      <c r="Y11" s="3332" t="s">
        <v>534</v>
      </c>
      <c r="Z11" s="1148" t="str">
        <f t="shared" ref="Z11:Z17" si="7">Q11</f>
        <v>用途</v>
      </c>
      <c r="AA11" s="1570">
        <f t="shared" si="3"/>
        <v>1</v>
      </c>
      <c r="AB11" s="1570">
        <f t="shared" si="4"/>
        <v>1</v>
      </c>
      <c r="AC11" s="1570">
        <f t="shared" si="5"/>
        <v>1</v>
      </c>
    </row>
    <row r="12" spans="1:30" s="1336" customFormat="1" ht="27">
      <c r="A12" s="2914"/>
      <c r="B12" s="2919" t="s">
        <v>2758</v>
      </c>
      <c r="C12" s="908" t="s">
        <v>3101</v>
      </c>
      <c r="D12" s="254">
        <v>100</v>
      </c>
      <c r="E12" s="908" t="s">
        <v>3101</v>
      </c>
      <c r="F12" s="254">
        <f>ROUND(100/'数据-取费表'!G16,0)</f>
        <v>100</v>
      </c>
      <c r="G12" s="908" t="s">
        <v>3101</v>
      </c>
      <c r="H12" s="254">
        <f>ROUND(100/'数据-取费表'!G16,0)</f>
        <v>100</v>
      </c>
      <c r="I12" s="908" t="s">
        <v>3101</v>
      </c>
      <c r="J12" s="254">
        <f>ROUND(100/'数据-取费表'!G16,0)</f>
        <v>100</v>
      </c>
      <c r="K12" s="530"/>
      <c r="L12" s="2138"/>
      <c r="M12" s="2132"/>
      <c r="N12" s="2132"/>
      <c r="O12" s="2139"/>
      <c r="P12" s="3375"/>
      <c r="Q12" s="1149" t="str">
        <f t="shared" si="6"/>
        <v>土地使用年限（年）</v>
      </c>
      <c r="R12" s="1567" t="s">
        <v>8</v>
      </c>
      <c r="S12" s="1568">
        <f t="shared" si="0"/>
        <v>100</v>
      </c>
      <c r="T12" s="1567" t="s">
        <v>8</v>
      </c>
      <c r="U12" s="1568">
        <f t="shared" si="1"/>
        <v>100</v>
      </c>
      <c r="V12" s="1567" t="s">
        <v>8</v>
      </c>
      <c r="W12" s="1568">
        <f t="shared" si="2"/>
        <v>100</v>
      </c>
      <c r="X12" s="1569"/>
      <c r="Y12" s="3332"/>
      <c r="Z12" s="1148" t="str">
        <f t="shared" si="7"/>
        <v>土地使用年限（年）</v>
      </c>
      <c r="AA12" s="1570">
        <f t="shared" si="3"/>
        <v>1</v>
      </c>
      <c r="AB12" s="1570">
        <f t="shared" si="4"/>
        <v>1</v>
      </c>
      <c r="AC12" s="1570">
        <f t="shared" si="5"/>
        <v>1</v>
      </c>
    </row>
    <row r="13" spans="1:30" ht="21" thickBot="1">
      <c r="A13" s="2915"/>
      <c r="B13" s="2919" t="s">
        <v>2759</v>
      </c>
      <c r="C13" s="533">
        <v>1.8</v>
      </c>
      <c r="D13" s="254">
        <v>100</v>
      </c>
      <c r="E13" s="532">
        <v>1.8</v>
      </c>
      <c r="F13" s="254">
        <f>LOOKUP(E13,82:82,83:83)-LOOKUP(C13,82:82,83:83)+100</f>
        <v>100</v>
      </c>
      <c r="G13" s="533">
        <v>1.7</v>
      </c>
      <c r="H13" s="254">
        <f>LOOKUP(G13,82:82,83:83)-LOOKUP(C13,82:82,83:83)+100</f>
        <v>100</v>
      </c>
      <c r="I13" s="532">
        <v>2</v>
      </c>
      <c r="J13" s="254">
        <f>LOOKUP(I13,82:82,83:83)-LOOKUP(C13,82:82,83:83)+100</f>
        <v>105</v>
      </c>
      <c r="K13" s="534">
        <v>5</v>
      </c>
      <c r="L13" s="2140"/>
      <c r="M13" s="2132"/>
      <c r="N13" s="2132"/>
      <c r="O13" s="2141"/>
      <c r="P13" s="3375"/>
      <c r="Q13" s="1149" t="str">
        <f t="shared" si="6"/>
        <v>容积率</v>
      </c>
      <c r="R13" s="1567" t="s">
        <v>8</v>
      </c>
      <c r="S13" s="1568">
        <f t="shared" si="0"/>
        <v>100</v>
      </c>
      <c r="T13" s="1567" t="s">
        <v>8</v>
      </c>
      <c r="U13" s="1568">
        <f t="shared" si="1"/>
        <v>100</v>
      </c>
      <c r="V13" s="1567" t="s">
        <v>8</v>
      </c>
      <c r="W13" s="1568">
        <f t="shared" si="2"/>
        <v>105</v>
      </c>
      <c r="X13" s="1569"/>
      <c r="Y13" s="3332"/>
      <c r="Z13" s="1148" t="str">
        <f t="shared" si="7"/>
        <v>容积率</v>
      </c>
      <c r="AA13" s="1570">
        <f t="shared" si="3"/>
        <v>1</v>
      </c>
      <c r="AB13" s="1570">
        <f t="shared" si="4"/>
        <v>1</v>
      </c>
      <c r="AC13" s="1570">
        <f t="shared" si="5"/>
        <v>0.95238095238095233</v>
      </c>
    </row>
    <row r="14" spans="1:30" s="1218" customFormat="1" ht="20.25" hidden="1">
      <c r="A14" s="2912"/>
      <c r="B14" s="2921" t="s">
        <v>2760</v>
      </c>
      <c r="C14" s="2908"/>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75"/>
      <c r="Q14" s="1149" t="str">
        <f t="shared" si="6"/>
        <v>配建</v>
      </c>
      <c r="R14" s="1567" t="s">
        <v>8</v>
      </c>
      <c r="S14" s="1568">
        <f t="shared" si="0"/>
        <v>100</v>
      </c>
      <c r="T14" s="1567" t="s">
        <v>8</v>
      </c>
      <c r="U14" s="1568">
        <f t="shared" si="1"/>
        <v>100</v>
      </c>
      <c r="V14" s="1567" t="s">
        <v>8</v>
      </c>
      <c r="W14" s="1568">
        <f t="shared" si="2"/>
        <v>100</v>
      </c>
      <c r="X14" s="1569"/>
      <c r="Y14" s="3332"/>
      <c r="Z14" s="1148" t="str">
        <f t="shared" si="7"/>
        <v>配建</v>
      </c>
      <c r="AA14" s="1570">
        <f>D14/F14</f>
        <v>1</v>
      </c>
      <c r="AB14" s="1570">
        <f>D14/H14</f>
        <v>1</v>
      </c>
      <c r="AC14" s="1570">
        <f>D14/J14</f>
        <v>1</v>
      </c>
    </row>
    <row r="15" spans="1:30" ht="20.25"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5"/>
      <c r="Q15" s="1149">
        <f t="shared" si="6"/>
        <v>111</v>
      </c>
      <c r="R15" s="1567" t="s">
        <v>8</v>
      </c>
      <c r="S15" s="1568">
        <f t="shared" si="0"/>
        <v>100</v>
      </c>
      <c r="T15" s="1567" t="s">
        <v>8</v>
      </c>
      <c r="U15" s="1568">
        <f t="shared" si="1"/>
        <v>100</v>
      </c>
      <c r="V15" s="1567" t="s">
        <v>8</v>
      </c>
      <c r="W15" s="1568">
        <f t="shared" si="2"/>
        <v>100</v>
      </c>
      <c r="X15" s="1569"/>
      <c r="Y15" s="3332"/>
      <c r="Z15" s="1148">
        <f t="shared" si="7"/>
        <v>111</v>
      </c>
      <c r="AA15" s="1570">
        <f>D15/F15</f>
        <v>1</v>
      </c>
      <c r="AB15" s="1570">
        <f>D15/H15</f>
        <v>1</v>
      </c>
      <c r="AC15" s="1570">
        <f>D15/J15</f>
        <v>1</v>
      </c>
    </row>
    <row r="16" spans="1:30" ht="21"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5"/>
      <c r="Q16" s="1149">
        <f t="shared" si="6"/>
        <v>111</v>
      </c>
      <c r="R16" s="1567" t="s">
        <v>8</v>
      </c>
      <c r="S16" s="1568">
        <f t="shared" si="0"/>
        <v>100</v>
      </c>
      <c r="T16" s="1567" t="s">
        <v>8</v>
      </c>
      <c r="U16" s="1568">
        <f t="shared" si="1"/>
        <v>100</v>
      </c>
      <c r="V16" s="1567" t="s">
        <v>8</v>
      </c>
      <c r="W16" s="1568">
        <f t="shared" si="2"/>
        <v>100</v>
      </c>
      <c r="X16" s="1569"/>
      <c r="Y16" s="3332"/>
      <c r="Z16" s="1148">
        <f t="shared" si="7"/>
        <v>111</v>
      </c>
      <c r="AA16" s="1570">
        <f>D16/F16</f>
        <v>1</v>
      </c>
      <c r="AB16" s="1570">
        <f>D16/H16</f>
        <v>1</v>
      </c>
      <c r="AC16" s="1570">
        <f>D16/J16</f>
        <v>1</v>
      </c>
    </row>
    <row r="17" spans="1:29" ht="20.25">
      <c r="A17" s="2909" t="s">
        <v>2755</v>
      </c>
      <c r="B17" s="577" t="s">
        <v>293</v>
      </c>
      <c r="C17" s="547" t="str">
        <f>估价对象房地状况!C15</f>
        <v>0</v>
      </c>
      <c r="D17" s="550">
        <v>100</v>
      </c>
      <c r="E17" s="551"/>
      <c r="F17" s="548">
        <f>SUMIF(90:90,E18,91:91)-SUMIF(90:90,C18,91:91)+100</f>
        <v>100</v>
      </c>
      <c r="G17" s="549"/>
      <c r="H17" s="548">
        <f>SUMIF(90:90,G18,91:91)-SUMIF(90:90,C18,91:91)+100</f>
        <v>100</v>
      </c>
      <c r="I17" s="551"/>
      <c r="J17" s="548">
        <f>SUMIF(90:90,I18,91:91)-SUMIF(90:90,C18,91:91)+100</f>
        <v>100</v>
      </c>
      <c r="K17" s="534">
        <v>5</v>
      </c>
      <c r="L17" s="2142"/>
      <c r="M17" s="2132"/>
      <c r="N17" s="2132"/>
      <c r="O17" s="2141"/>
      <c r="P17" s="3377" t="s">
        <v>538</v>
      </c>
      <c r="Q17" s="1571" t="str">
        <f t="shared" si="6"/>
        <v>居住社区成熟度</v>
      </c>
      <c r="R17" s="1572" t="s">
        <v>8</v>
      </c>
      <c r="S17" s="1573">
        <f t="shared" si="0"/>
        <v>100</v>
      </c>
      <c r="T17" s="1572" t="s">
        <v>8</v>
      </c>
      <c r="U17" s="1573">
        <f t="shared" si="1"/>
        <v>100</v>
      </c>
      <c r="V17" s="1572" t="s">
        <v>8</v>
      </c>
      <c r="W17" s="1573">
        <f t="shared" si="2"/>
        <v>100</v>
      </c>
      <c r="X17" s="1566"/>
      <c r="Y17" s="3377" t="s">
        <v>538</v>
      </c>
      <c r="Z17" s="1574" t="str">
        <f t="shared" si="7"/>
        <v>居住社区成熟度</v>
      </c>
      <c r="AA17" s="1575">
        <f t="shared" si="3"/>
        <v>1</v>
      </c>
      <c r="AB17" s="1575">
        <f t="shared" si="4"/>
        <v>1</v>
      </c>
      <c r="AC17" s="1575">
        <f t="shared" si="5"/>
        <v>1</v>
      </c>
    </row>
    <row r="18" spans="1:29" ht="20.25">
      <c r="A18" s="531"/>
      <c r="B18" s="552"/>
      <c r="C18" s="553" t="s">
        <v>3103</v>
      </c>
      <c r="D18" s="556"/>
      <c r="E18" s="553" t="s">
        <v>3103</v>
      </c>
      <c r="F18" s="554"/>
      <c r="G18" s="553" t="s">
        <v>3103</v>
      </c>
      <c r="H18" s="558"/>
      <c r="I18" s="553" t="s">
        <v>3103</v>
      </c>
      <c r="J18" s="554"/>
      <c r="K18" s="530"/>
      <c r="L18" s="2142"/>
      <c r="M18" s="2132"/>
      <c r="N18" s="2132"/>
      <c r="O18" s="2141"/>
      <c r="P18" s="3378"/>
      <c r="Q18" s="1571"/>
      <c r="R18" s="1572"/>
      <c r="S18" s="1573"/>
      <c r="T18" s="1572"/>
      <c r="U18" s="1573"/>
      <c r="V18" s="1572"/>
      <c r="W18" s="1573"/>
      <c r="X18" s="1566"/>
      <c r="Y18" s="3378"/>
      <c r="Z18" s="1574"/>
      <c r="AA18" s="1575">
        <v>1</v>
      </c>
      <c r="AB18" s="1575">
        <v>1</v>
      </c>
      <c r="AC18" s="1575">
        <v>1</v>
      </c>
    </row>
    <row r="19" spans="1:29" ht="20.25" hidden="1">
      <c r="A19" s="531"/>
      <c r="B19" s="559" t="s">
        <v>539</v>
      </c>
      <c r="C19" s="560" t="str">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378"/>
      <c r="Q19" s="1571" t="str">
        <f>B19</f>
        <v>商业繁华度</v>
      </c>
      <c r="R19" s="1572" t="s">
        <v>8</v>
      </c>
      <c r="S19" s="1573">
        <f>F19</f>
        <v>100</v>
      </c>
      <c r="T19" s="1572" t="s">
        <v>8</v>
      </c>
      <c r="U19" s="1573">
        <f>H19</f>
        <v>100</v>
      </c>
      <c r="V19" s="1572" t="s">
        <v>8</v>
      </c>
      <c r="W19" s="1573">
        <f>J19</f>
        <v>100</v>
      </c>
      <c r="X19" s="1566"/>
      <c r="Y19" s="3378"/>
      <c r="Z19" s="1574" t="str">
        <f>Q19</f>
        <v>商业繁华度</v>
      </c>
      <c r="AA19" s="1575">
        <f t="shared" si="3"/>
        <v>1</v>
      </c>
      <c r="AB19" s="1575">
        <f t="shared" si="4"/>
        <v>1</v>
      </c>
      <c r="AC19" s="1575">
        <f t="shared" si="5"/>
        <v>1</v>
      </c>
    </row>
    <row r="20" spans="1:29" ht="20.25" hidden="1">
      <c r="A20" s="531"/>
      <c r="B20" s="565"/>
      <c r="C20" s="566" t="s">
        <v>3103</v>
      </c>
      <c r="D20" s="562"/>
      <c r="E20" s="566" t="s">
        <v>3103</v>
      </c>
      <c r="F20" s="558"/>
      <c r="G20" s="566" t="s">
        <v>3103</v>
      </c>
      <c r="H20" s="554"/>
      <c r="I20" s="566" t="s">
        <v>3103</v>
      </c>
      <c r="J20" s="554"/>
      <c r="K20" s="530"/>
      <c r="L20" s="2142"/>
      <c r="M20" s="2132"/>
      <c r="N20" s="2132"/>
      <c r="O20" s="2141"/>
      <c r="P20" s="3378"/>
      <c r="Q20" s="1571"/>
      <c r="R20" s="1572"/>
      <c r="S20" s="1573"/>
      <c r="T20" s="1572"/>
      <c r="U20" s="1573"/>
      <c r="V20" s="1572"/>
      <c r="W20" s="1573"/>
      <c r="X20" s="1566"/>
      <c r="Y20" s="3378"/>
      <c r="Z20" s="1574"/>
      <c r="AA20" s="1575">
        <v>1</v>
      </c>
      <c r="AB20" s="1575">
        <v>1</v>
      </c>
      <c r="AC20" s="1575">
        <v>1</v>
      </c>
    </row>
    <row r="21" spans="1:29" ht="20.25" hidden="1">
      <c r="A21" s="531"/>
      <c r="B21" s="559" t="s">
        <v>540</v>
      </c>
      <c r="C21" s="560" t="str">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78"/>
      <c r="Q21" s="1571" t="str">
        <f>B21</f>
        <v>办公集聚程度</v>
      </c>
      <c r="R21" s="1572" t="s">
        <v>8</v>
      </c>
      <c r="S21" s="1573">
        <f>F21</f>
        <v>100</v>
      </c>
      <c r="T21" s="1572" t="s">
        <v>8</v>
      </c>
      <c r="U21" s="1573">
        <f>H21</f>
        <v>100</v>
      </c>
      <c r="V21" s="1572" t="s">
        <v>8</v>
      </c>
      <c r="W21" s="1573">
        <f>J21</f>
        <v>100</v>
      </c>
      <c r="X21" s="1566"/>
      <c r="Y21" s="3378"/>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378"/>
      <c r="Q22" s="1571"/>
      <c r="R22" s="1572"/>
      <c r="S22" s="1573"/>
      <c r="T22" s="1572"/>
      <c r="U22" s="1573"/>
      <c r="V22" s="1572"/>
      <c r="W22" s="1573"/>
      <c r="X22" s="1566"/>
      <c r="Y22" s="3378"/>
      <c r="Z22" s="1574"/>
      <c r="AA22" s="1575">
        <v>1</v>
      </c>
      <c r="AB22" s="1575">
        <v>1</v>
      </c>
      <c r="AC22" s="1575">
        <v>1</v>
      </c>
    </row>
    <row r="23" spans="1:29" ht="20.25">
      <c r="A23" s="531"/>
      <c r="B23" s="559" t="s">
        <v>541</v>
      </c>
      <c r="C23" s="572">
        <f>估价对象房地状况!C18</f>
        <v>0</v>
      </c>
      <c r="D23" s="562">
        <v>100</v>
      </c>
      <c r="E23" s="563"/>
      <c r="F23" s="564">
        <f>SUMIF(96:96,E24,97:97)-SUMIF(96:96,C24,97:97)+100</f>
        <v>100</v>
      </c>
      <c r="G23" s="561"/>
      <c r="H23" s="558">
        <f>SUMIF(96:96,G24,97:97)-SUMIF(96:96,C24,97:97)+100</f>
        <v>103</v>
      </c>
      <c r="I23" s="563"/>
      <c r="J23" s="558">
        <f>SUMIF(96:96,I24,97:97)-SUMIF(96:96,C24,97:97)+100</f>
        <v>100</v>
      </c>
      <c r="K23" s="534">
        <v>3</v>
      </c>
      <c r="L23" s="2142"/>
      <c r="M23" s="2132"/>
      <c r="N23" s="2132"/>
      <c r="O23" s="2141"/>
      <c r="P23" s="3378"/>
      <c r="Q23" s="1571" t="str">
        <f>B23</f>
        <v>交通便捷度</v>
      </c>
      <c r="R23" s="1572" t="s">
        <v>8</v>
      </c>
      <c r="S23" s="1573">
        <f>F23</f>
        <v>100</v>
      </c>
      <c r="T23" s="1572" t="s">
        <v>8</v>
      </c>
      <c r="U23" s="1573">
        <f>H23</f>
        <v>103</v>
      </c>
      <c r="V23" s="1572" t="s">
        <v>8</v>
      </c>
      <c r="W23" s="1573">
        <f>J23</f>
        <v>100</v>
      </c>
      <c r="X23" s="1566"/>
      <c r="Y23" s="3378"/>
      <c r="Z23" s="1574" t="str">
        <f>Q23</f>
        <v>交通便捷度</v>
      </c>
      <c r="AA23" s="1575">
        <f t="shared" si="3"/>
        <v>1</v>
      </c>
      <c r="AB23" s="1575">
        <f t="shared" si="4"/>
        <v>0.970873786407767</v>
      </c>
      <c r="AC23" s="1575">
        <f t="shared" si="5"/>
        <v>1</v>
      </c>
    </row>
    <row r="24" spans="1:29" ht="20.25">
      <c r="A24" s="531"/>
      <c r="B24" s="577"/>
      <c r="C24" s="553" t="s">
        <v>3103</v>
      </c>
      <c r="D24" s="556"/>
      <c r="E24" s="553" t="s">
        <v>3103</v>
      </c>
      <c r="F24" s="554"/>
      <c r="G24" s="553" t="s">
        <v>3104</v>
      </c>
      <c r="H24" s="554"/>
      <c r="I24" s="553" t="s">
        <v>3103</v>
      </c>
      <c r="J24" s="554"/>
      <c r="K24" s="530"/>
      <c r="L24" s="2142"/>
      <c r="M24" s="2132"/>
      <c r="N24" s="2132"/>
      <c r="O24" s="2141"/>
      <c r="P24" s="3378"/>
      <c r="Q24" s="1571"/>
      <c r="R24" s="1572"/>
      <c r="S24" s="1573"/>
      <c r="T24" s="1572"/>
      <c r="U24" s="1573"/>
      <c r="V24" s="1572"/>
      <c r="W24" s="1573"/>
      <c r="X24" s="1566"/>
      <c r="Y24" s="3378"/>
      <c r="Z24" s="1574"/>
      <c r="AA24" s="1575">
        <v>1</v>
      </c>
      <c r="AB24" s="1575">
        <v>1</v>
      </c>
      <c r="AC24" s="1575">
        <v>1</v>
      </c>
    </row>
    <row r="25" spans="1:29" ht="27">
      <c r="A25" s="514"/>
      <c r="B25" s="258" t="s">
        <v>542</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2"/>
      <c r="M25" s="2132"/>
      <c r="N25" s="2132"/>
      <c r="O25" s="2141"/>
      <c r="P25" s="3378"/>
      <c r="Q25" s="1571" t="str">
        <f t="shared" ref="Q25:Q39" si="8">B25</f>
        <v>区域土地利用方向</v>
      </c>
      <c r="R25" s="1572" t="s">
        <v>8</v>
      </c>
      <c r="S25" s="1573">
        <f>F25</f>
        <v>100</v>
      </c>
      <c r="T25" s="1572" t="s">
        <v>8</v>
      </c>
      <c r="U25" s="1573">
        <f>H25</f>
        <v>100</v>
      </c>
      <c r="V25" s="1572" t="s">
        <v>8</v>
      </c>
      <c r="W25" s="1573">
        <f>J25</f>
        <v>100</v>
      </c>
      <c r="X25" s="1566"/>
      <c r="Y25" s="3378"/>
      <c r="Z25" s="1574" t="str">
        <f>Q25</f>
        <v>区域土地利用方向</v>
      </c>
      <c r="AA25" s="1575">
        <f t="shared" si="3"/>
        <v>1</v>
      </c>
      <c r="AB25" s="1575">
        <f t="shared" si="4"/>
        <v>1</v>
      </c>
      <c r="AC25" s="1575">
        <f t="shared" si="5"/>
        <v>1</v>
      </c>
    </row>
    <row r="26" spans="1:29" ht="20.25">
      <c r="A26" s="514"/>
      <c r="B26" s="1005"/>
      <c r="C26" s="553" t="s">
        <v>3103</v>
      </c>
      <c r="D26" s="556"/>
      <c r="E26" s="553" t="s">
        <v>3103</v>
      </c>
      <c r="F26" s="554"/>
      <c r="G26" s="553" t="s">
        <v>3103</v>
      </c>
      <c r="H26" s="554"/>
      <c r="I26" s="553" t="s">
        <v>3103</v>
      </c>
      <c r="J26" s="554"/>
      <c r="K26" s="530"/>
      <c r="L26" s="2142"/>
      <c r="M26" s="2132"/>
      <c r="N26" s="2132"/>
      <c r="O26" s="2141"/>
      <c r="P26" s="3378"/>
      <c r="Q26" s="1571"/>
      <c r="R26" s="1572"/>
      <c r="S26" s="1573"/>
      <c r="T26" s="1572"/>
      <c r="U26" s="1573"/>
      <c r="V26" s="1572"/>
      <c r="W26" s="1573"/>
      <c r="X26" s="1566"/>
      <c r="Y26" s="3378"/>
      <c r="Z26" s="1574"/>
      <c r="AA26" s="1575"/>
      <c r="AB26" s="1575"/>
      <c r="AC26" s="1575"/>
    </row>
    <row r="27" spans="1:29" ht="27">
      <c r="A27" s="514"/>
      <c r="B27" s="577" t="s">
        <v>543</v>
      </c>
      <c r="C27" s="560" t="str">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5</v>
      </c>
      <c r="L27" s="2142"/>
      <c r="M27" s="2132"/>
      <c r="N27" s="2132"/>
      <c r="O27" s="2141"/>
      <c r="P27" s="3378"/>
      <c r="Q27" s="1571" t="str">
        <f t="shared" si="8"/>
        <v>自然及人文环境状况</v>
      </c>
      <c r="R27" s="1572" t="s">
        <v>8</v>
      </c>
      <c r="S27" s="1573">
        <f>F27</f>
        <v>100</v>
      </c>
      <c r="T27" s="1572" t="s">
        <v>8</v>
      </c>
      <c r="U27" s="1573">
        <f>H27</f>
        <v>100</v>
      </c>
      <c r="V27" s="1572" t="s">
        <v>8</v>
      </c>
      <c r="W27" s="1573">
        <f>J27</f>
        <v>100</v>
      </c>
      <c r="X27" s="1566"/>
      <c r="Y27" s="3378"/>
      <c r="Z27" s="1574" t="str">
        <f>Q27</f>
        <v>自然及人文环境状况</v>
      </c>
      <c r="AA27" s="1575">
        <f t="shared" si="3"/>
        <v>1</v>
      </c>
      <c r="AB27" s="1575">
        <f t="shared" si="4"/>
        <v>1</v>
      </c>
      <c r="AC27" s="1575">
        <f t="shared" si="5"/>
        <v>1</v>
      </c>
    </row>
    <row r="28" spans="1:29" ht="20.25">
      <c r="A28" s="514"/>
      <c r="B28" s="565"/>
      <c r="C28" s="553" t="s">
        <v>3103</v>
      </c>
      <c r="D28" s="556"/>
      <c r="E28" s="553" t="s">
        <v>3103</v>
      </c>
      <c r="F28" s="554"/>
      <c r="G28" s="553" t="s">
        <v>3103</v>
      </c>
      <c r="H28" s="554"/>
      <c r="I28" s="553" t="s">
        <v>3103</v>
      </c>
      <c r="J28" s="554"/>
      <c r="K28" s="530"/>
      <c r="L28" s="2142"/>
      <c r="M28" s="2132"/>
      <c r="N28" s="2132"/>
      <c r="O28" s="2141"/>
      <c r="P28" s="3378"/>
      <c r="Q28" s="1571"/>
      <c r="R28" s="1572"/>
      <c r="S28" s="1573"/>
      <c r="T28" s="1572"/>
      <c r="U28" s="1573"/>
      <c r="V28" s="1572"/>
      <c r="W28" s="1573"/>
      <c r="X28" s="1566"/>
      <c r="Y28" s="3378"/>
      <c r="Z28" s="1574"/>
      <c r="AA28" s="1575">
        <v>1</v>
      </c>
      <c r="AB28" s="1575">
        <v>1</v>
      </c>
      <c r="AC28" s="1575">
        <v>1</v>
      </c>
    </row>
    <row r="29" spans="1:29" s="1218" customFormat="1" ht="20.25">
      <c r="A29" s="576"/>
      <c r="B29" s="2591" t="s">
        <v>2549</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5"/>
      <c r="M29" s="2132"/>
      <c r="N29" s="2132"/>
      <c r="O29" s="2137"/>
      <c r="P29" s="3378"/>
      <c r="Q29" s="1149" t="str">
        <f t="shared" si="8"/>
        <v>公共配套设施</v>
      </c>
      <c r="R29" s="1567" t="s">
        <v>8</v>
      </c>
      <c r="S29" s="1568">
        <f>F29</f>
        <v>100</v>
      </c>
      <c r="T29" s="1567" t="s">
        <v>8</v>
      </c>
      <c r="U29" s="1568">
        <f>H29</f>
        <v>100</v>
      </c>
      <c r="V29" s="1567" t="s">
        <v>8</v>
      </c>
      <c r="W29" s="1568">
        <f>J29</f>
        <v>100</v>
      </c>
      <c r="X29" s="1569"/>
      <c r="Y29" s="3378"/>
      <c r="Z29" s="1148" t="str">
        <f>Q29</f>
        <v>公共配套设施</v>
      </c>
      <c r="AA29" s="1575">
        <f>D29/F29</f>
        <v>1</v>
      </c>
      <c r="AB29" s="1575">
        <f>D29/H29</f>
        <v>1</v>
      </c>
      <c r="AC29" s="1575">
        <f>D29/J29</f>
        <v>1</v>
      </c>
    </row>
    <row r="30" spans="1:29" s="1218" customFormat="1" ht="20.25">
      <c r="A30" s="576"/>
      <c r="B30" s="565"/>
      <c r="C30" s="578" t="s">
        <v>3102</v>
      </c>
      <c r="D30" s="556"/>
      <c r="E30" s="3185" t="s">
        <v>3114</v>
      </c>
      <c r="F30" s="554"/>
      <c r="G30" s="3185" t="s">
        <v>3114</v>
      </c>
      <c r="H30" s="554"/>
      <c r="I30" s="3185" t="s">
        <v>3114</v>
      </c>
      <c r="J30" s="554"/>
      <c r="K30" s="530"/>
      <c r="L30" s="2135"/>
      <c r="M30" s="2132"/>
      <c r="N30" s="2132"/>
      <c r="O30" s="2137"/>
      <c r="P30" s="3378"/>
      <c r="Q30" s="1149"/>
      <c r="R30" s="1567"/>
      <c r="S30" s="1568"/>
      <c r="T30" s="1567"/>
      <c r="U30" s="1568"/>
      <c r="V30" s="1567"/>
      <c r="W30" s="1568"/>
      <c r="X30" s="1569"/>
      <c r="Y30" s="3378"/>
      <c r="Z30" s="1148"/>
      <c r="AA30" s="1575">
        <v>1</v>
      </c>
      <c r="AB30" s="1575">
        <v>1</v>
      </c>
      <c r="AC30" s="1575">
        <v>1</v>
      </c>
    </row>
    <row r="31" spans="1:29" s="1218" customFormat="1" ht="20.25">
      <c r="A31" s="576"/>
      <c r="B31" s="2591"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78"/>
      <c r="Q31" s="2578" t="str">
        <f t="shared" ref="Q31" si="9">B31</f>
        <v>基础设施水平</v>
      </c>
      <c r="R31" s="1567" t="s">
        <v>8</v>
      </c>
      <c r="S31" s="1568">
        <f>F31</f>
        <v>100</v>
      </c>
      <c r="T31" s="1567" t="s">
        <v>8</v>
      </c>
      <c r="U31" s="1568">
        <f>H31</f>
        <v>100</v>
      </c>
      <c r="V31" s="1567" t="s">
        <v>8</v>
      </c>
      <c r="W31" s="1568">
        <f>J31</f>
        <v>100</v>
      </c>
      <c r="X31" s="1569"/>
      <c r="Y31" s="3378"/>
      <c r="Z31" s="2575" t="str">
        <f>Q31</f>
        <v>基础设施水平</v>
      </c>
      <c r="AA31" s="1575">
        <f>D31/F31</f>
        <v>1</v>
      </c>
      <c r="AB31" s="1575">
        <f>D31/H31</f>
        <v>1</v>
      </c>
      <c r="AC31" s="1575">
        <f>D31/J31</f>
        <v>1</v>
      </c>
    </row>
    <row r="32" spans="1:29" s="1218" customFormat="1" ht="20.25">
      <c r="A32" s="576"/>
      <c r="B32" s="565"/>
      <c r="C32" s="578" t="s">
        <v>3105</v>
      </c>
      <c r="D32" s="556"/>
      <c r="E32" s="578" t="s">
        <v>3105</v>
      </c>
      <c r="F32" s="554"/>
      <c r="G32" s="578" t="s">
        <v>3105</v>
      </c>
      <c r="H32" s="554"/>
      <c r="I32" s="578" t="s">
        <v>3105</v>
      </c>
      <c r="J32" s="554"/>
      <c r="K32" s="530"/>
      <c r="L32" s="2135"/>
      <c r="M32" s="2132"/>
      <c r="N32" s="2132"/>
      <c r="O32" s="2137"/>
      <c r="P32" s="3378"/>
      <c r="Q32" s="2578"/>
      <c r="R32" s="1567"/>
      <c r="S32" s="1568"/>
      <c r="T32" s="1567"/>
      <c r="U32" s="1568"/>
      <c r="V32" s="1567"/>
      <c r="W32" s="1568"/>
      <c r="X32" s="1569"/>
      <c r="Y32" s="3378"/>
      <c r="Z32" s="2575"/>
      <c r="AA32" s="1575">
        <v>1</v>
      </c>
      <c r="AB32" s="1575">
        <v>1</v>
      </c>
      <c r="AC32" s="1575">
        <v>1</v>
      </c>
    </row>
    <row r="33" spans="1:29" ht="20.25">
      <c r="A33" s="531"/>
      <c r="B33" s="565" t="s">
        <v>545</v>
      </c>
      <c r="C33" s="579" t="s">
        <v>3106</v>
      </c>
      <c r="D33" s="574">
        <v>100</v>
      </c>
      <c r="E33" s="582" t="s">
        <v>3107</v>
      </c>
      <c r="F33" s="539">
        <f>SUMIF(106:106,E33,107:107)-SUMIF(106:106,C33,107:107)+100</f>
        <v>98</v>
      </c>
      <c r="G33" s="579" t="s">
        <v>3106</v>
      </c>
      <c r="H33" s="539">
        <f>SUMIF(106:106,G33,107:107)-SUMIF(106:106,C33,107:107)+100</f>
        <v>100</v>
      </c>
      <c r="I33" s="579" t="s">
        <v>3106</v>
      </c>
      <c r="J33" s="539">
        <f>SUMIF(106:106,I33,107:107)-SUMIF(106:106,C33,107:107)+100</f>
        <v>100</v>
      </c>
      <c r="K33" s="534">
        <v>2</v>
      </c>
      <c r="L33" s="2142"/>
      <c r="M33" s="2132"/>
      <c r="N33" s="2132"/>
      <c r="O33" s="2141"/>
      <c r="P33" s="3378"/>
      <c r="Q33" s="1571" t="str">
        <f t="shared" si="8"/>
        <v>临街状况</v>
      </c>
      <c r="R33" s="1572" t="s">
        <v>8</v>
      </c>
      <c r="S33" s="1573">
        <f t="shared" ref="S33:S47" si="10">F33</f>
        <v>98</v>
      </c>
      <c r="T33" s="1572" t="s">
        <v>8</v>
      </c>
      <c r="U33" s="1573">
        <f t="shared" ref="U33:U47" si="11">H33</f>
        <v>100</v>
      </c>
      <c r="V33" s="1572" t="s">
        <v>8</v>
      </c>
      <c r="W33" s="1573">
        <f t="shared" ref="W33:W47" si="12">J33</f>
        <v>100</v>
      </c>
      <c r="X33" s="1566"/>
      <c r="Y33" s="3378"/>
      <c r="Z33" s="1574" t="str">
        <f t="shared" ref="Z33:Z47" si="13">Q33</f>
        <v>临街状况</v>
      </c>
      <c r="AA33" s="1575">
        <f t="shared" si="3"/>
        <v>1.0204081632653061</v>
      </c>
      <c r="AB33" s="1575">
        <f t="shared" si="4"/>
        <v>1</v>
      </c>
      <c r="AC33" s="1575">
        <f t="shared" si="5"/>
        <v>1</v>
      </c>
    </row>
    <row r="34" spans="1:29" ht="27">
      <c r="A34" s="531"/>
      <c r="B34" s="577" t="s">
        <v>546</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3378"/>
      <c r="Q34" s="1571" t="str">
        <f t="shared" si="8"/>
        <v>毗邻道路的类型与等级</v>
      </c>
      <c r="R34" s="1572" t="s">
        <v>8</v>
      </c>
      <c r="S34" s="1573">
        <f t="shared" si="10"/>
        <v>100</v>
      </c>
      <c r="T34" s="1572" t="s">
        <v>8</v>
      </c>
      <c r="U34" s="1573">
        <f t="shared" si="11"/>
        <v>100</v>
      </c>
      <c r="V34" s="1572" t="s">
        <v>8</v>
      </c>
      <c r="W34" s="1573">
        <f t="shared" si="12"/>
        <v>100</v>
      </c>
      <c r="X34" s="1566"/>
      <c r="Y34" s="3378"/>
      <c r="Z34" s="1574" t="str">
        <f t="shared" si="13"/>
        <v>毗邻道路的类型与等级</v>
      </c>
      <c r="AA34" s="1575">
        <f t="shared" si="3"/>
        <v>1</v>
      </c>
      <c r="AB34" s="1575">
        <f t="shared" si="4"/>
        <v>1</v>
      </c>
      <c r="AC34" s="1575">
        <f t="shared" si="5"/>
        <v>1</v>
      </c>
    </row>
    <row r="35" spans="1:29" ht="21" thickBot="1">
      <c r="A35" s="531"/>
      <c r="B35" s="565"/>
      <c r="C35" s="3182" t="s">
        <v>3113</v>
      </c>
      <c r="D35" s="556"/>
      <c r="E35" s="3182" t="s">
        <v>3113</v>
      </c>
      <c r="F35" s="554"/>
      <c r="G35" s="3182" t="s">
        <v>3113</v>
      </c>
      <c r="H35" s="554"/>
      <c r="I35" s="3182" t="s">
        <v>3113</v>
      </c>
      <c r="J35" s="554"/>
      <c r="K35" s="580"/>
      <c r="L35" s="2142"/>
      <c r="M35" s="2132"/>
      <c r="N35" s="2132"/>
      <c r="O35" s="2141"/>
      <c r="P35" s="3378"/>
      <c r="Q35" s="1571"/>
      <c r="R35" s="1572"/>
      <c r="S35" s="1573"/>
      <c r="T35" s="1572"/>
      <c r="U35" s="1573"/>
      <c r="V35" s="1572"/>
      <c r="W35" s="1573"/>
      <c r="X35" s="1566"/>
      <c r="Y35" s="3378"/>
      <c r="Z35" s="1574"/>
      <c r="AA35" s="1575">
        <v>1</v>
      </c>
      <c r="AB35" s="1575">
        <v>1</v>
      </c>
      <c r="AC35" s="1575">
        <v>1</v>
      </c>
    </row>
    <row r="36" spans="1:29" ht="20.25" hidden="1">
      <c r="A36" s="531"/>
      <c r="B36" s="581" t="s">
        <v>547</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78"/>
      <c r="Q36" s="1571" t="str">
        <f t="shared" si="8"/>
        <v>土地级别</v>
      </c>
      <c r="R36" s="1572" t="s">
        <v>8</v>
      </c>
      <c r="S36" s="1573">
        <f t="shared" si="10"/>
        <v>100</v>
      </c>
      <c r="T36" s="1572" t="s">
        <v>8</v>
      </c>
      <c r="U36" s="1573">
        <f t="shared" si="11"/>
        <v>100</v>
      </c>
      <c r="V36" s="1572" t="s">
        <v>8</v>
      </c>
      <c r="W36" s="1573">
        <f t="shared" si="12"/>
        <v>100</v>
      </c>
      <c r="X36" s="1566"/>
      <c r="Y36" s="3378"/>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78"/>
      <c r="Q37" s="1571">
        <f t="shared" si="8"/>
        <v>111</v>
      </c>
      <c r="R37" s="1572" t="s">
        <v>8</v>
      </c>
      <c r="S37" s="1573">
        <f t="shared" si="10"/>
        <v>100</v>
      </c>
      <c r="T37" s="1572" t="s">
        <v>8</v>
      </c>
      <c r="U37" s="1573">
        <f t="shared" si="11"/>
        <v>100</v>
      </c>
      <c r="V37" s="1572" t="s">
        <v>8</v>
      </c>
      <c r="W37" s="1573">
        <f t="shared" si="12"/>
        <v>100</v>
      </c>
      <c r="X37" s="1566"/>
      <c r="Y37" s="3378"/>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79" t="s">
        <v>548</v>
      </c>
      <c r="Q38" s="1571">
        <f t="shared" si="8"/>
        <v>111</v>
      </c>
      <c r="R38" s="1572" t="s">
        <v>8</v>
      </c>
      <c r="S38" s="1573">
        <f t="shared" si="10"/>
        <v>100</v>
      </c>
      <c r="T38" s="1572" t="s">
        <v>8</v>
      </c>
      <c r="U38" s="1573">
        <f t="shared" si="11"/>
        <v>100</v>
      </c>
      <c r="V38" s="1572" t="s">
        <v>8</v>
      </c>
      <c r="W38" s="1573">
        <f t="shared" si="12"/>
        <v>100</v>
      </c>
      <c r="X38" s="1566"/>
      <c r="Y38" s="3380" t="s">
        <v>548</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80"/>
      <c r="Q39" s="1571">
        <f t="shared" si="8"/>
        <v>111</v>
      </c>
      <c r="R39" s="1576" t="s">
        <v>8</v>
      </c>
      <c r="S39" s="1577">
        <f t="shared" si="10"/>
        <v>100</v>
      </c>
      <c r="T39" s="1576" t="s">
        <v>8</v>
      </c>
      <c r="U39" s="1577">
        <f t="shared" si="11"/>
        <v>100</v>
      </c>
      <c r="V39" s="1576" t="s">
        <v>8</v>
      </c>
      <c r="W39" s="1577">
        <f t="shared" si="12"/>
        <v>100</v>
      </c>
      <c r="X39" s="1578"/>
      <c r="Y39" s="3380"/>
      <c r="Z39" s="1579">
        <f t="shared" si="13"/>
        <v>111</v>
      </c>
      <c r="AA39" s="1575">
        <f t="shared" si="3"/>
        <v>1</v>
      </c>
      <c r="AB39" s="1575">
        <f t="shared" si="4"/>
        <v>1</v>
      </c>
      <c r="AC39" s="1575">
        <f t="shared" si="5"/>
        <v>1</v>
      </c>
    </row>
    <row r="40" spans="1:29" ht="20.25">
      <c r="A40" s="2907" t="s">
        <v>2756</v>
      </c>
      <c r="B40" s="594" t="s">
        <v>550</v>
      </c>
      <c r="C40" s="595">
        <f>'数据-汇总表'!D3</f>
        <v>42013</v>
      </c>
      <c r="D40" s="596">
        <v>100</v>
      </c>
      <c r="E40" s="595">
        <f>土地案例!D34</f>
        <v>36177</v>
      </c>
      <c r="F40" s="596">
        <f>LOOKUP(E40,119:119,120:120)-LOOKUP(C40,119:119,120:120)+100</f>
        <v>100</v>
      </c>
      <c r="G40" s="595">
        <f>土地案例!D38</f>
        <v>69587</v>
      </c>
      <c r="H40" s="596">
        <f>LOOKUP(G40,119:119,120:120)-LOOKUP(C40,119:119,120:120)+100</f>
        <v>101</v>
      </c>
      <c r="I40" s="597">
        <f>土地案例!D32</f>
        <v>45439</v>
      </c>
      <c r="J40" s="596">
        <f>LOOKUP(I40,119:119,120:120)-LOOKUP(C40,119:119,120:120)+100</f>
        <v>100</v>
      </c>
      <c r="K40" s="580"/>
      <c r="L40" s="2142"/>
      <c r="M40" s="2132"/>
      <c r="N40" s="2132"/>
      <c r="O40" s="2141"/>
      <c r="P40" s="3380"/>
      <c r="Q40" s="1571" t="str">
        <f>B40</f>
        <v>宗地面积</v>
      </c>
      <c r="R40" s="1572" t="s">
        <v>8</v>
      </c>
      <c r="S40" s="1573">
        <f t="shared" si="10"/>
        <v>100</v>
      </c>
      <c r="T40" s="1572" t="s">
        <v>8</v>
      </c>
      <c r="U40" s="1573">
        <f t="shared" si="11"/>
        <v>101</v>
      </c>
      <c r="V40" s="1572" t="s">
        <v>8</v>
      </c>
      <c r="W40" s="1573">
        <f t="shared" si="12"/>
        <v>100</v>
      </c>
      <c r="X40" s="1566"/>
      <c r="Y40" s="3380"/>
      <c r="Z40" s="1574" t="str">
        <f t="shared" si="13"/>
        <v>宗地面积</v>
      </c>
      <c r="AA40" s="1575">
        <f t="shared" si="3"/>
        <v>1</v>
      </c>
      <c r="AB40" s="1575">
        <f t="shared" si="4"/>
        <v>0.99009900990099009</v>
      </c>
      <c r="AC40" s="1575">
        <f t="shared" si="5"/>
        <v>1</v>
      </c>
    </row>
    <row r="41" spans="1:29" ht="20.25">
      <c r="A41" s="593"/>
      <c r="B41" s="526" t="s">
        <v>551</v>
      </c>
      <c r="C41" s="3183" t="s">
        <v>3109</v>
      </c>
      <c r="D41" s="539">
        <v>100</v>
      </c>
      <c r="E41" s="3183" t="s">
        <v>3109</v>
      </c>
      <c r="F41" s="539">
        <f>SUMIF(121:121,E41,122:122)-SUMIF(121:121,C41,122:122)+100</f>
        <v>100</v>
      </c>
      <c r="G41" s="3183" t="s">
        <v>3109</v>
      </c>
      <c r="H41" s="539">
        <f>SUMIF(121:121,G41,122:122)-SUMIF(121:121,C41,122:122)+100</f>
        <v>100</v>
      </c>
      <c r="I41" s="3183" t="s">
        <v>3109</v>
      </c>
      <c r="J41" s="539">
        <f>SUMIF(121:121,I41,122:122)-SUMIF(121:121,C41,122:122)+100</f>
        <v>100</v>
      </c>
      <c r="K41" s="583">
        <v>2</v>
      </c>
      <c r="L41" s="2142"/>
      <c r="M41" s="2132"/>
      <c r="N41" s="2132"/>
      <c r="O41" s="2141"/>
      <c r="P41" s="3380"/>
      <c r="Q41" s="1571" t="str">
        <f t="shared" ref="Q41:Q47" si="14">B41</f>
        <v>宗地形状</v>
      </c>
      <c r="R41" s="1572" t="s">
        <v>8</v>
      </c>
      <c r="S41" s="1573">
        <f t="shared" si="10"/>
        <v>100</v>
      </c>
      <c r="T41" s="1572" t="s">
        <v>8</v>
      </c>
      <c r="U41" s="1573">
        <f t="shared" si="11"/>
        <v>100</v>
      </c>
      <c r="V41" s="1572" t="s">
        <v>8</v>
      </c>
      <c r="W41" s="1573">
        <f t="shared" si="12"/>
        <v>100</v>
      </c>
      <c r="X41" s="1566"/>
      <c r="Y41" s="3380"/>
      <c r="Z41" s="1574" t="str">
        <f t="shared" si="13"/>
        <v>宗地形状</v>
      </c>
      <c r="AA41" s="1575">
        <f t="shared" si="3"/>
        <v>1</v>
      </c>
      <c r="AB41" s="1575">
        <f t="shared" si="4"/>
        <v>1</v>
      </c>
      <c r="AC41" s="1575">
        <f t="shared" si="5"/>
        <v>1</v>
      </c>
    </row>
    <row r="42" spans="1:29" ht="20.25">
      <c r="A42" s="593"/>
      <c r="B42" s="526" t="s">
        <v>552</v>
      </c>
      <c r="C42" s="3183" t="s">
        <v>3110</v>
      </c>
      <c r="D42" s="539">
        <v>100</v>
      </c>
      <c r="E42" s="3183" t="s">
        <v>3110</v>
      </c>
      <c r="F42" s="539">
        <f>SUMIF(123:123,E42,124:124)-SUMIF(123:123,C42,124:124)+100</f>
        <v>100</v>
      </c>
      <c r="G42" s="3183" t="s">
        <v>3110</v>
      </c>
      <c r="H42" s="539">
        <f>SUMIF(123:123,G42,124:124)-SUMIF(123:123,C42,124:124)+100</f>
        <v>100</v>
      </c>
      <c r="I42" s="3183" t="s">
        <v>3110</v>
      </c>
      <c r="J42" s="539">
        <f>SUMIF(123:123,I42,124:124)-SUMIF(123:123,C42,124:124)+100</f>
        <v>100</v>
      </c>
      <c r="K42" s="583">
        <v>2</v>
      </c>
      <c r="L42" s="2142"/>
      <c r="M42" s="2132"/>
      <c r="N42" s="2132"/>
      <c r="O42" s="2141"/>
      <c r="P42" s="3380"/>
      <c r="Q42" s="1571" t="str">
        <f t="shared" si="14"/>
        <v>临街宽度及深度</v>
      </c>
      <c r="R42" s="1572" t="s">
        <v>8</v>
      </c>
      <c r="S42" s="1573">
        <f t="shared" si="10"/>
        <v>100</v>
      </c>
      <c r="T42" s="1572" t="s">
        <v>8</v>
      </c>
      <c r="U42" s="1573">
        <f t="shared" si="11"/>
        <v>100</v>
      </c>
      <c r="V42" s="1572" t="s">
        <v>8</v>
      </c>
      <c r="W42" s="1573">
        <f t="shared" si="12"/>
        <v>100</v>
      </c>
      <c r="X42" s="1566"/>
      <c r="Y42" s="3380"/>
      <c r="Z42" s="1574" t="str">
        <f t="shared" si="13"/>
        <v>临街宽度及深度</v>
      </c>
      <c r="AA42" s="1575">
        <f t="shared" si="3"/>
        <v>1</v>
      </c>
      <c r="AB42" s="1575">
        <f t="shared" si="4"/>
        <v>1</v>
      </c>
      <c r="AC42" s="1575">
        <f t="shared" si="5"/>
        <v>1</v>
      </c>
    </row>
    <row r="43" spans="1:29" s="1218" customFormat="1" ht="20.25">
      <c r="A43" s="599"/>
      <c r="B43" s="1895" t="s">
        <v>2425</v>
      </c>
      <c r="C43" s="3184" t="s">
        <v>3111</v>
      </c>
      <c r="D43" s="254">
        <v>100</v>
      </c>
      <c r="E43" s="3184" t="s">
        <v>3111</v>
      </c>
      <c r="F43" s="539">
        <f>SUMIF(125:125,E43,126:126)-SUMIF(125:125,C43,126:126)+100</f>
        <v>100</v>
      </c>
      <c r="G43" s="3184" t="s">
        <v>3111</v>
      </c>
      <c r="H43" s="539">
        <f>SUMIF(125:125,G43,126:126)-SUMIF(125:125,C43,126:126)+100</f>
        <v>100</v>
      </c>
      <c r="I43" s="3184" t="s">
        <v>3111</v>
      </c>
      <c r="J43" s="539">
        <f>SUMIF(125:125,I43,126:126)-SUMIF(125:125,C43,126:126)+100</f>
        <v>100</v>
      </c>
      <c r="K43" s="583">
        <v>1</v>
      </c>
      <c r="L43" s="2135"/>
      <c r="M43" s="2132"/>
      <c r="N43" s="2132"/>
      <c r="O43" s="2137"/>
      <c r="P43" s="3380"/>
      <c r="Q43" s="1571" t="str">
        <f t="shared" si="14"/>
        <v>宗地开发程度</v>
      </c>
      <c r="R43" s="1567" t="s">
        <v>8</v>
      </c>
      <c r="S43" s="1568">
        <f t="shared" si="10"/>
        <v>100</v>
      </c>
      <c r="T43" s="1567" t="s">
        <v>8</v>
      </c>
      <c r="U43" s="1568">
        <f t="shared" si="11"/>
        <v>100</v>
      </c>
      <c r="V43" s="1567" t="s">
        <v>8</v>
      </c>
      <c r="W43" s="1568">
        <f t="shared" si="12"/>
        <v>100</v>
      </c>
      <c r="X43" s="1569"/>
      <c r="Y43" s="3380"/>
      <c r="Z43" s="1148" t="str">
        <f t="shared" si="13"/>
        <v>宗地开发程度</v>
      </c>
      <c r="AA43" s="1570">
        <f t="shared" si="3"/>
        <v>1</v>
      </c>
      <c r="AB43" s="1570">
        <f t="shared" si="4"/>
        <v>1</v>
      </c>
      <c r="AC43" s="1570">
        <f t="shared" si="5"/>
        <v>1</v>
      </c>
    </row>
    <row r="44" spans="1:29" ht="21" thickBot="1">
      <c r="A44" s="593"/>
      <c r="B44" s="526" t="s">
        <v>553</v>
      </c>
      <c r="C44" s="3183" t="s">
        <v>3110</v>
      </c>
      <c r="D44" s="539">
        <v>100</v>
      </c>
      <c r="E44" s="3183" t="s">
        <v>3110</v>
      </c>
      <c r="F44" s="539">
        <f>SUMIF(127:127,E44,128:128)-SUMIF(127:127,C44,128:128)+100</f>
        <v>100</v>
      </c>
      <c r="G44" s="3183" t="s">
        <v>3110</v>
      </c>
      <c r="H44" s="539">
        <f>SUMIF(127:127,G44,128:128)-SUMIF(127:127,C44,128:128)+100</f>
        <v>100</v>
      </c>
      <c r="I44" s="3183" t="s">
        <v>3110</v>
      </c>
      <c r="J44" s="539">
        <f>SUMIF(127:127,I44,128:128)-SUMIF(127:127,C44,128:128)+100</f>
        <v>100</v>
      </c>
      <c r="K44" s="583">
        <v>2</v>
      </c>
      <c r="L44" s="2142"/>
      <c r="M44" s="2132"/>
      <c r="N44" s="2132"/>
      <c r="O44" s="2141"/>
      <c r="P44" s="3380" t="s">
        <v>548</v>
      </c>
      <c r="Q44" s="1571" t="str">
        <f t="shared" si="14"/>
        <v>工程地质条件</v>
      </c>
      <c r="R44" s="1572" t="s">
        <v>8</v>
      </c>
      <c r="S44" s="1573">
        <f t="shared" si="10"/>
        <v>100</v>
      </c>
      <c r="T44" s="1572" t="s">
        <v>8</v>
      </c>
      <c r="U44" s="1573">
        <f t="shared" si="11"/>
        <v>100</v>
      </c>
      <c r="V44" s="1572" t="s">
        <v>8</v>
      </c>
      <c r="W44" s="1573">
        <f t="shared" si="12"/>
        <v>100</v>
      </c>
      <c r="X44" s="1566"/>
      <c r="Y44" s="3380" t="s">
        <v>548</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80"/>
      <c r="Q45" s="1571">
        <f t="shared" si="14"/>
        <v>111</v>
      </c>
      <c r="R45" s="1572" t="s">
        <v>8</v>
      </c>
      <c r="S45" s="1573">
        <f t="shared" si="10"/>
        <v>100</v>
      </c>
      <c r="T45" s="1572" t="s">
        <v>8</v>
      </c>
      <c r="U45" s="1573">
        <f t="shared" si="11"/>
        <v>100</v>
      </c>
      <c r="V45" s="1572" t="s">
        <v>8</v>
      </c>
      <c r="W45" s="1573">
        <f t="shared" si="12"/>
        <v>100</v>
      </c>
      <c r="X45" s="1566"/>
      <c r="Y45" s="3380"/>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80"/>
      <c r="Q46" s="1571">
        <f t="shared" si="14"/>
        <v>111</v>
      </c>
      <c r="R46" s="1572" t="s">
        <v>8</v>
      </c>
      <c r="S46" s="1573">
        <f t="shared" si="10"/>
        <v>100</v>
      </c>
      <c r="T46" s="1572" t="s">
        <v>8</v>
      </c>
      <c r="U46" s="1573">
        <f t="shared" si="11"/>
        <v>100</v>
      </c>
      <c r="V46" s="1572" t="s">
        <v>8</v>
      </c>
      <c r="W46" s="1573">
        <f t="shared" si="12"/>
        <v>100</v>
      </c>
      <c r="X46" s="1566"/>
      <c r="Y46" s="3380"/>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80"/>
      <c r="Q47" s="1571">
        <f t="shared" si="14"/>
        <v>111</v>
      </c>
      <c r="R47" s="1576" t="s">
        <v>8</v>
      </c>
      <c r="S47" s="1577">
        <f t="shared" si="10"/>
        <v>100</v>
      </c>
      <c r="T47" s="1576" t="s">
        <v>8</v>
      </c>
      <c r="U47" s="1577">
        <f t="shared" si="11"/>
        <v>100</v>
      </c>
      <c r="V47" s="1576" t="s">
        <v>8</v>
      </c>
      <c r="W47" s="1577">
        <f t="shared" si="12"/>
        <v>100</v>
      </c>
      <c r="X47" s="1578"/>
      <c r="Y47" s="3380"/>
      <c r="Z47" s="1579">
        <f t="shared" si="13"/>
        <v>111</v>
      </c>
      <c r="AA47" s="1575">
        <f t="shared" si="3"/>
        <v>1</v>
      </c>
      <c r="AB47" s="1575">
        <f t="shared" si="4"/>
        <v>1</v>
      </c>
      <c r="AC47" s="1575">
        <f t="shared" si="5"/>
        <v>1</v>
      </c>
    </row>
    <row r="48" spans="1:29" ht="20.25">
      <c r="A48" s="606" t="s">
        <v>554</v>
      </c>
      <c r="B48" s="607" t="s">
        <v>3112</v>
      </c>
      <c r="C48" s="608" t="s">
        <v>1</v>
      </c>
      <c r="D48" s="609"/>
      <c r="E48" s="610">
        <f>土地案例!L34</f>
        <v>8305</v>
      </c>
      <c r="F48" s="611"/>
      <c r="G48" s="612">
        <f>土地案例!L38</f>
        <v>9328</v>
      </c>
      <c r="H48" s="613"/>
      <c r="I48" s="610">
        <f>土地案例!L32</f>
        <v>7950</v>
      </c>
      <c r="J48" s="613"/>
      <c r="K48" s="1338"/>
      <c r="L48" s="2144"/>
      <c r="M48" s="2132"/>
      <c r="N48" s="2132"/>
      <c r="O48" s="2145"/>
      <c r="P48" s="3375" t="str">
        <f>A48</f>
        <v>成交单价</v>
      </c>
      <c r="Q48" s="3375"/>
      <c r="R48" s="3389">
        <f>E48</f>
        <v>8305</v>
      </c>
      <c r="S48" s="3389"/>
      <c r="T48" s="3389">
        <f>G48</f>
        <v>9328</v>
      </c>
      <c r="U48" s="3389"/>
      <c r="V48" s="3389">
        <f>I48</f>
        <v>7950</v>
      </c>
      <c r="W48" s="3389"/>
      <c r="X48" s="1558"/>
      <c r="Y48" s="1580"/>
      <c r="Z48" s="1558"/>
      <c r="AA48" s="1558"/>
      <c r="AB48" s="1558"/>
      <c r="AC48" s="1558"/>
    </row>
    <row r="49" spans="1:29" ht="21" thickBot="1">
      <c r="A49" s="614" t="s">
        <v>2694</v>
      </c>
      <c r="B49" s="615"/>
      <c r="C49" s="616">
        <f>R50</f>
        <v>8337</v>
      </c>
      <c r="D49" s="617"/>
      <c r="E49" s="616">
        <f>R49</f>
        <v>8474</v>
      </c>
      <c r="F49" s="618"/>
      <c r="G49" s="619">
        <f>T49</f>
        <v>8967</v>
      </c>
      <c r="H49" s="617"/>
      <c r="I49" s="616">
        <f>V49</f>
        <v>7571</v>
      </c>
      <c r="J49" s="617"/>
      <c r="K49" s="1339"/>
      <c r="L49" s="2144"/>
      <c r="M49" s="2132"/>
      <c r="N49" s="2132"/>
      <c r="O49" s="2145"/>
      <c r="P49" s="3375" t="str">
        <f>A49</f>
        <v>比较价格（元/平方米）</v>
      </c>
      <c r="Q49" s="3375"/>
      <c r="R49" s="3399">
        <f>ROUND(PRODUCT(R48,AA9:AA47),0)</f>
        <v>8474</v>
      </c>
      <c r="S49" s="3399"/>
      <c r="T49" s="3399">
        <f>ROUND(PRODUCT(T48,AB9:AB47),0)</f>
        <v>8967</v>
      </c>
      <c r="U49" s="3399"/>
      <c r="V49" s="3399">
        <f>ROUND(PRODUCT(V48,AC9:AC47),0)</f>
        <v>7571</v>
      </c>
      <c r="W49" s="3399"/>
      <c r="X49" s="1558"/>
      <c r="Y49" s="1558"/>
      <c r="Z49" s="1558"/>
      <c r="AA49" s="1558"/>
      <c r="AB49" s="1558"/>
      <c r="AC49" s="1558"/>
    </row>
    <row r="50" spans="1:29" ht="21" thickBot="1">
      <c r="A50" s="620" t="s">
        <v>2934</v>
      </c>
      <c r="B50" s="621"/>
      <c r="C50" s="622">
        <f>R50</f>
        <v>8337</v>
      </c>
      <c r="D50" s="622"/>
      <c r="E50" s="622"/>
      <c r="F50" s="622"/>
      <c r="G50" s="622"/>
      <c r="H50" s="622"/>
      <c r="I50" s="622"/>
      <c r="J50" s="622"/>
      <c r="K50" s="1340"/>
      <c r="L50" s="2144"/>
      <c r="M50" s="2132"/>
      <c r="N50" s="2132"/>
      <c r="O50" s="2145"/>
      <c r="P50" s="3396" t="str">
        <f>A50</f>
        <v>估价对象XX用房的比较价格（楼面单价，元/平方米）</v>
      </c>
      <c r="Q50" s="3397"/>
      <c r="R50" s="3398">
        <f>ROUND(AVERAGE(R49:V49),0)</f>
        <v>8337</v>
      </c>
      <c r="S50" s="3398"/>
      <c r="T50" s="3398"/>
      <c r="U50" s="3398"/>
      <c r="V50" s="3398"/>
      <c r="W50" s="339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555</v>
      </c>
      <c r="D53" s="624"/>
      <c r="E53" s="625">
        <f>IF(E48&lt;E49,E49/E48-1,E48/E49-1)</f>
        <v>2.0349187236604394E-2</v>
      </c>
      <c r="F53" s="626" t="str">
        <f>IF(OR(E53&gt;=0.3,E53&lt;=-0.3),"超过30%","")</f>
        <v/>
      </c>
      <c r="G53" s="625">
        <f>IF(G48&lt;G49,G49/G48-1,G48/G49-1)</f>
        <v>4.0258726441396275E-2</v>
      </c>
      <c r="H53" s="626" t="str">
        <f>IF(OR(G53&gt;=0.3,G53&lt;=-0.3),"超过30%","")</f>
        <v/>
      </c>
      <c r="I53" s="625">
        <f>IF(I48&lt;I49,I49/I48-1,I48/I49-1)</f>
        <v>5.0059437326641198E-2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556</v>
      </c>
      <c r="D54" s="627"/>
      <c r="E54" s="625">
        <f>IF(E49&lt;G49,G49/E49-1,E49/G49-1)</f>
        <v>5.8177956101014949E-2</v>
      </c>
      <c r="F54" s="626" t="str">
        <f>IF(OR(E54&gt;=0.2,E54&lt;=-0.2),"超过20%","")</f>
        <v/>
      </c>
      <c r="G54" s="625">
        <f>IF(G49&lt;I49,I49/G49-1,G49/I49-1)</f>
        <v>0.18438779553559637</v>
      </c>
      <c r="H54" s="626" t="str">
        <f>IF(OR(G54&gt;=0.2,G54&lt;=-0.2),"超过20%","")</f>
        <v/>
      </c>
      <c r="I54" s="625">
        <f>IF(I49&lt;E49,E49/I49-1,I49/E49-1)</f>
        <v>0.11927090212653546</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557</v>
      </c>
      <c r="D55" s="627"/>
      <c r="E55" s="625">
        <f>IF(E48&lt;G48,G48/E48-1,E48/G48-1)</f>
        <v>0.12317880794701996</v>
      </c>
      <c r="F55" s="626" t="str">
        <f>IF(OR(E55&gt;=0.3,E55&lt;=-0.3),"超过30%","")</f>
        <v/>
      </c>
      <c r="G55" s="625">
        <f>IF(G48&lt;I48,I48/G48-1,G48/I48-1)</f>
        <v>0.17333333333333334</v>
      </c>
      <c r="H55" s="626" t="str">
        <f>IF(OR(G55&gt;=0.3,G55&lt;=-0.3),"超过30%","")</f>
        <v/>
      </c>
      <c r="I55" s="625">
        <f>IF(I48&lt;E48,E48/I48-1,I48/E48-1)</f>
        <v>4.4654088050314567E-2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558</v>
      </c>
      <c r="B57" s="629" t="s">
        <v>559</v>
      </c>
      <c r="C57" s="1559" t="s">
        <v>1723</v>
      </c>
      <c r="D57" s="2227" t="s">
        <v>2294</v>
      </c>
      <c r="E57" s="630" t="s">
        <v>560</v>
      </c>
      <c r="F57" s="631" t="s">
        <v>561</v>
      </c>
      <c r="G57" s="3359" t="s">
        <v>2282</v>
      </c>
      <c r="H57" s="3360"/>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562</v>
      </c>
      <c r="B58" s="633">
        <f>C50</f>
        <v>8337</v>
      </c>
      <c r="C58" s="634">
        <v>1</v>
      </c>
      <c r="D58" s="2228">
        <v>1</v>
      </c>
      <c r="E58" s="634">
        <f>'数据-汇总表'!E8+'数据-汇总表'!E9</f>
        <v>75623.399999999994</v>
      </c>
      <c r="F58" s="635">
        <f t="shared" ref="F58:F67" si="15">ROUND(B58*E58/10000,0)</f>
        <v>63047</v>
      </c>
      <c r="G58" s="3361"/>
      <c r="H58" s="336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563</v>
      </c>
      <c r="B59" s="637">
        <f>ROUND($C$50*C59*D59,0)</f>
        <v>0</v>
      </c>
      <c r="C59" s="377">
        <f t="shared" ref="C59:C67" si="16">IF($C$57="北京市系数",I59,J59)</f>
        <v>0</v>
      </c>
      <c r="D59" s="2229">
        <v>0.25</v>
      </c>
      <c r="E59" s="638">
        <v>0</v>
      </c>
      <c r="F59" s="635">
        <f t="shared" si="15"/>
        <v>0</v>
      </c>
      <c r="G59" s="3363"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564</v>
      </c>
      <c r="B60" s="637">
        <f t="shared" ref="B60:B67" si="17">ROUND($C$50*C60*D60,0)</f>
        <v>0</v>
      </c>
      <c r="C60" s="377">
        <f t="shared" si="16"/>
        <v>0</v>
      </c>
      <c r="D60" s="2229">
        <v>0.25</v>
      </c>
      <c r="E60" s="638">
        <v>0</v>
      </c>
      <c r="F60" s="635">
        <f t="shared" si="15"/>
        <v>0</v>
      </c>
      <c r="G60" s="336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565</v>
      </c>
      <c r="B61" s="637">
        <f t="shared" si="17"/>
        <v>0</v>
      </c>
      <c r="C61" s="377">
        <f t="shared" si="16"/>
        <v>0</v>
      </c>
      <c r="D61" s="2229">
        <v>0.25</v>
      </c>
      <c r="E61" s="638">
        <v>0</v>
      </c>
      <c r="F61" s="635">
        <f t="shared" si="15"/>
        <v>0</v>
      </c>
      <c r="G61" s="336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566</v>
      </c>
      <c r="B62" s="637">
        <f t="shared" si="17"/>
        <v>0</v>
      </c>
      <c r="C62" s="377">
        <f t="shared" si="16"/>
        <v>0</v>
      </c>
      <c r="D62" s="2229">
        <v>0.25</v>
      </c>
      <c r="E62" s="638">
        <v>0</v>
      </c>
      <c r="F62" s="635">
        <f t="shared" si="15"/>
        <v>0</v>
      </c>
      <c r="G62" s="336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567</v>
      </c>
      <c r="B64" s="637">
        <f t="shared" si="17"/>
        <v>0</v>
      </c>
      <c r="C64" s="377">
        <f t="shared" si="16"/>
        <v>0</v>
      </c>
      <c r="D64" s="2229">
        <v>0.25</v>
      </c>
      <c r="E64" s="640">
        <f>'数据-汇总表'!E12</f>
        <v>0</v>
      </c>
      <c r="F64" s="635">
        <f t="shared" si="15"/>
        <v>0</v>
      </c>
      <c r="G64" s="1946" t="s">
        <v>1676</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568</v>
      </c>
      <c r="B65" s="637">
        <f t="shared" si="17"/>
        <v>0</v>
      </c>
      <c r="C65" s="377">
        <f t="shared" si="16"/>
        <v>0</v>
      </c>
      <c r="D65" s="2229">
        <v>0.25</v>
      </c>
      <c r="E65" s="640">
        <f>'数据-汇总表'!E13</f>
        <v>0</v>
      </c>
      <c r="F65" s="635">
        <f t="shared" si="15"/>
        <v>0</v>
      </c>
      <c r="G65" s="1946" t="s">
        <v>921</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569</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570</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571</v>
      </c>
      <c r="B68" s="642" t="s">
        <v>17</v>
      </c>
      <c r="C68" s="642" t="s">
        <v>18</v>
      </c>
      <c r="D68" s="642" t="s">
        <v>2295</v>
      </c>
      <c r="E68" s="642">
        <f>IF(B48="楼面地价",SUM(E58:E67),'数据-汇总表'!D3)</f>
        <v>42013</v>
      </c>
      <c r="F68" s="643">
        <f>IF(B48="楼面地价",SUM(F58:F67),ROUND(C50*E68/10000,0))</f>
        <v>35026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2018-6-1</v>
      </c>
      <c r="D70" s="2799">
        <f>EDATE(C70,-3)</f>
        <v>43160</v>
      </c>
      <c r="E70" s="2799">
        <f t="shared" ref="E70:N70" si="18">EDATE(D70,-3)</f>
        <v>43070</v>
      </c>
      <c r="F70" s="2799">
        <f t="shared" si="18"/>
        <v>42979</v>
      </c>
      <c r="G70" s="2799">
        <f t="shared" si="18"/>
        <v>42887</v>
      </c>
      <c r="H70" s="2799">
        <f t="shared" si="18"/>
        <v>42795</v>
      </c>
      <c r="I70" s="2799">
        <f t="shared" si="18"/>
        <v>42705</v>
      </c>
      <c r="J70" s="2799">
        <f t="shared" si="18"/>
        <v>42614</v>
      </c>
      <c r="K70" s="2799">
        <f t="shared" si="18"/>
        <v>42522</v>
      </c>
      <c r="L70" s="2799">
        <f t="shared" si="18"/>
        <v>42430</v>
      </c>
      <c r="M70" s="2799">
        <f t="shared" si="18"/>
        <v>42339</v>
      </c>
      <c r="N70" s="2799">
        <f t="shared" si="18"/>
        <v>42248</v>
      </c>
      <c r="O70" s="2145"/>
      <c r="P70" s="2145"/>
      <c r="Q70" s="2145"/>
      <c r="R70" s="2145"/>
      <c r="S70" s="2145"/>
      <c r="T70" s="2145"/>
      <c r="U70" s="2145"/>
      <c r="V70" s="2145"/>
      <c r="W70" s="2145"/>
      <c r="X70" s="2145"/>
      <c r="Y70" s="2145"/>
      <c r="Z70" s="2145"/>
      <c r="AA70" s="2145"/>
      <c r="AB70" s="2145"/>
      <c r="AC70" s="2145"/>
    </row>
    <row r="71" spans="1:29" ht="21.75" thickBot="1">
      <c r="A71" s="1583" t="s">
        <v>572</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2533</v>
      </c>
      <c r="B72" s="2569"/>
      <c r="C72" s="2794" t="str">
        <f>YEAR(C70)&amp;"-"&amp;ROUNDUP(MONTH(C70)/3,0)</f>
        <v>2018-2</v>
      </c>
      <c r="D72" s="2801" t="str">
        <f>YEAR(D70)&amp;"-"&amp;ROUNDUP(MONTH(D70)/3,0)</f>
        <v>2018-1</v>
      </c>
      <c r="E72" s="2801" t="str">
        <f t="shared" ref="E72:N72" si="19">YEAR(E70)&amp;"-"&amp;ROUNDUP(MONTH(E70)/3,0)</f>
        <v>2017-4</v>
      </c>
      <c r="F72" s="2801" t="str">
        <f t="shared" si="19"/>
        <v>2017-3</v>
      </c>
      <c r="G72" s="2801" t="str">
        <f t="shared" si="19"/>
        <v>2017-2</v>
      </c>
      <c r="H72" s="2801" t="str">
        <f t="shared" si="19"/>
        <v>2017-1</v>
      </c>
      <c r="I72" s="2801" t="str">
        <f t="shared" si="19"/>
        <v>2016-4</v>
      </c>
      <c r="J72" s="2801" t="str">
        <f t="shared" si="19"/>
        <v>2016-3</v>
      </c>
      <c r="K72" s="2801" t="str">
        <f t="shared" si="19"/>
        <v>2016-2</v>
      </c>
      <c r="L72" s="2801" t="str">
        <f t="shared" si="19"/>
        <v>2016-1</v>
      </c>
      <c r="M72" s="2801" t="str">
        <f t="shared" si="19"/>
        <v>2015-4</v>
      </c>
      <c r="N72" s="2801"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2648</v>
      </c>
      <c r="B73" s="478" t="str">
        <f>"北京市平均增长率"&amp;TEXT(SUMIF(基准地价!N21:N25,A73,基准地价!P21:P25),"0.00%")</f>
        <v>北京市平均增长率2.27%</v>
      </c>
      <c r="C73" s="892">
        <v>100</v>
      </c>
      <c r="D73" s="729">
        <v>99</v>
      </c>
      <c r="E73" s="729">
        <v>98</v>
      </c>
      <c r="F73" s="729">
        <v>97</v>
      </c>
      <c r="G73" s="729">
        <v>96</v>
      </c>
      <c r="H73" s="729">
        <v>95</v>
      </c>
      <c r="I73" s="729">
        <v>94</v>
      </c>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529</v>
      </c>
      <c r="B75" s="647"/>
      <c r="C75" s="659" t="s">
        <v>574</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575</v>
      </c>
      <c r="B77" s="664" t="s">
        <v>532</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535</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536</v>
      </c>
      <c r="C81" s="681" t="str">
        <f>C82&amp;"（含）"&amp;"-"&amp;D82</f>
        <v>0（含）-1</v>
      </c>
      <c r="D81" s="681" t="str">
        <f t="shared" ref="D81:L81" si="20">D82&amp;"（含）"&amp;"-"&amp;E82</f>
        <v>1（含）-2</v>
      </c>
      <c r="E81" s="681" t="str">
        <f t="shared" si="20"/>
        <v>2（含）-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105</v>
      </c>
      <c r="E83" s="678">
        <f t="shared" ref="E83:M83" si="21">IF($B$48="单位面积地价",D83+$K13,D83-$K13)</f>
        <v>110</v>
      </c>
      <c r="F83" s="678">
        <f t="shared" si="21"/>
        <v>115</v>
      </c>
      <c r="G83" s="678">
        <f t="shared" si="21"/>
        <v>120</v>
      </c>
      <c r="H83" s="678">
        <f t="shared" si="21"/>
        <v>125</v>
      </c>
      <c r="I83" s="678">
        <f t="shared" si="21"/>
        <v>130</v>
      </c>
      <c r="J83" s="678">
        <f t="shared" si="21"/>
        <v>135</v>
      </c>
      <c r="K83" s="678">
        <f t="shared" si="21"/>
        <v>140</v>
      </c>
      <c r="L83" s="678">
        <f t="shared" si="21"/>
        <v>145</v>
      </c>
      <c r="M83" s="678">
        <f t="shared" si="21"/>
        <v>150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537</v>
      </c>
      <c r="B90" s="664" t="s">
        <v>576</v>
      </c>
      <c r="C90" s="702" t="s">
        <v>577</v>
      </c>
      <c r="D90" s="702" t="s">
        <v>578</v>
      </c>
      <c r="E90" s="702" t="s">
        <v>579</v>
      </c>
      <c r="F90" s="702" t="s">
        <v>580</v>
      </c>
      <c r="G90" s="702" t="s">
        <v>581</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582</v>
      </c>
      <c r="C92" s="707" t="s">
        <v>577</v>
      </c>
      <c r="D92" s="707" t="s">
        <v>578</v>
      </c>
      <c r="E92" s="707" t="s">
        <v>579</v>
      </c>
      <c r="F92" s="707" t="s">
        <v>580</v>
      </c>
      <c r="G92" s="707" t="s">
        <v>581</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583</v>
      </c>
      <c r="C94" s="707" t="s">
        <v>577</v>
      </c>
      <c r="D94" s="707" t="s">
        <v>578</v>
      </c>
      <c r="E94" s="707" t="s">
        <v>579</v>
      </c>
      <c r="F94" s="707" t="s">
        <v>580</v>
      </c>
      <c r="G94" s="707" t="s">
        <v>581</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584</v>
      </c>
      <c r="C96" s="707" t="s">
        <v>577</v>
      </c>
      <c r="D96" s="707" t="s">
        <v>578</v>
      </c>
      <c r="E96" s="707" t="s">
        <v>579</v>
      </c>
      <c r="F96" s="707" t="s">
        <v>580</v>
      </c>
      <c r="G96" s="707" t="s">
        <v>581</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585</v>
      </c>
      <c r="C98" s="707" t="s">
        <v>577</v>
      </c>
      <c r="D98" s="707" t="s">
        <v>578</v>
      </c>
      <c r="E98" s="707" t="s">
        <v>579</v>
      </c>
      <c r="F98" s="707" t="s">
        <v>580</v>
      </c>
      <c r="G98" s="707" t="s">
        <v>581</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586</v>
      </c>
      <c r="C100" s="702" t="s">
        <v>577</v>
      </c>
      <c r="D100" s="702" t="s">
        <v>578</v>
      </c>
      <c r="E100" s="702" t="s">
        <v>579</v>
      </c>
      <c r="F100" s="702" t="s">
        <v>580</v>
      </c>
      <c r="G100" s="702" t="s">
        <v>581</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2549</v>
      </c>
      <c r="C102" s="702" t="s">
        <v>577</v>
      </c>
      <c r="D102" s="702" t="s">
        <v>578</v>
      </c>
      <c r="E102" s="702" t="s">
        <v>579</v>
      </c>
      <c r="F102" s="702" t="s">
        <v>580</v>
      </c>
      <c r="G102" s="702" t="s">
        <v>581</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587</v>
      </c>
      <c r="D106" s="673" t="s">
        <v>588</v>
      </c>
      <c r="E106" s="673" t="s">
        <v>589</v>
      </c>
      <c r="F106" s="673" t="s">
        <v>590</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546</v>
      </c>
      <c r="C108" s="3186" t="s">
        <v>3115</v>
      </c>
      <c r="D108" s="3186" t="s">
        <v>3108</v>
      </c>
      <c r="E108" s="3186" t="s">
        <v>3116</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547</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549</v>
      </c>
      <c r="B118" s="664" t="s">
        <v>591</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090" t="str">
        <f t="shared" si="25"/>
        <v>(含)-</v>
      </c>
      <c r="K118" s="3090" t="str">
        <f t="shared" si="25"/>
        <v>(含)-</v>
      </c>
      <c r="L118" s="3091" t="str">
        <f t="shared" si="25"/>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592</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593</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2426</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594</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1:N90"/>
  <sheetViews>
    <sheetView topLeftCell="A19" workbookViewId="0">
      <selection activeCell="O25" sqref="O25"/>
    </sheetView>
  </sheetViews>
  <sheetFormatPr defaultRowHeight="13.5"/>
  <cols>
    <col min="1" max="1" width="21.875" customWidth="1"/>
    <col min="6" max="6" width="35.875" customWidth="1"/>
  </cols>
  <sheetData>
    <row r="31" spans="1:14" s="2938" customFormat="1">
      <c r="A31" s="2938" t="s">
        <v>2993</v>
      </c>
      <c r="B31" s="2938" t="s">
        <v>2994</v>
      </c>
      <c r="C31" s="2938" t="s">
        <v>2995</v>
      </c>
      <c r="D31" s="2938" t="s">
        <v>2996</v>
      </c>
      <c r="E31" s="2938" t="s">
        <v>2997</v>
      </c>
      <c r="F31" s="2938" t="s">
        <v>2033</v>
      </c>
      <c r="G31" s="2938" t="s">
        <v>2998</v>
      </c>
      <c r="H31" s="2938" t="s">
        <v>2999</v>
      </c>
      <c r="I31" s="2938" t="s">
        <v>3000</v>
      </c>
      <c r="J31" s="2938" t="s">
        <v>3001</v>
      </c>
      <c r="K31" s="2938" t="s">
        <v>3002</v>
      </c>
      <c r="L31" s="3178" t="s">
        <v>3003</v>
      </c>
      <c r="M31" s="2938" t="s">
        <v>3004</v>
      </c>
      <c r="N31" s="2938" t="s">
        <v>3005</v>
      </c>
    </row>
    <row r="32" spans="1:14" s="3179" customFormat="1">
      <c r="A32" s="3179" t="s">
        <v>3006</v>
      </c>
      <c r="B32" s="3179" t="s">
        <v>3007</v>
      </c>
      <c r="C32" s="3179" t="s">
        <v>3008</v>
      </c>
      <c r="D32" s="3179">
        <v>45439</v>
      </c>
      <c r="E32" s="3179">
        <v>90878</v>
      </c>
      <c r="F32" s="3179" t="s">
        <v>3009</v>
      </c>
      <c r="G32" s="3179" t="s">
        <v>3010</v>
      </c>
      <c r="H32" s="3179" t="s">
        <v>3011</v>
      </c>
      <c r="I32" s="3179">
        <v>36124</v>
      </c>
      <c r="J32" s="3179">
        <v>36124</v>
      </c>
      <c r="K32" s="3179">
        <v>3975</v>
      </c>
      <c r="L32" s="3179">
        <f>ROUND(J32/D32*10000,0)</f>
        <v>7950</v>
      </c>
      <c r="M32" s="3179">
        <v>0</v>
      </c>
      <c r="N32" s="3179" t="s">
        <v>3012</v>
      </c>
    </row>
    <row r="33" spans="1:14" s="2938" customFormat="1">
      <c r="A33" s="2938" t="s">
        <v>3013</v>
      </c>
      <c r="B33" s="2938" t="s">
        <v>3007</v>
      </c>
      <c r="C33" s="2938" t="s">
        <v>3008</v>
      </c>
      <c r="D33" s="2938">
        <v>68082</v>
      </c>
      <c r="E33" s="2938">
        <v>115739.4</v>
      </c>
      <c r="F33" s="2938" t="s">
        <v>3014</v>
      </c>
      <c r="G33" s="2938" t="s">
        <v>3010</v>
      </c>
      <c r="H33" s="2938" t="s">
        <v>3011</v>
      </c>
      <c r="I33" s="2938">
        <v>43913</v>
      </c>
      <c r="J33" s="2938">
        <v>43913</v>
      </c>
      <c r="K33" s="2938">
        <v>3794.13</v>
      </c>
      <c r="L33" s="2938">
        <f t="shared" ref="L33:L90" si="0">ROUND(J33/D33*10000,0)</f>
        <v>6450</v>
      </c>
      <c r="M33" s="2938">
        <v>0</v>
      </c>
      <c r="N33" s="2938" t="s">
        <v>3012</v>
      </c>
    </row>
    <row r="34" spans="1:14" s="3179" customFormat="1">
      <c r="A34" s="3179" t="s">
        <v>3015</v>
      </c>
      <c r="B34" s="3179" t="s">
        <v>3007</v>
      </c>
      <c r="C34" s="3179" t="s">
        <v>3008</v>
      </c>
      <c r="D34" s="3179">
        <v>36177</v>
      </c>
      <c r="E34" s="3179">
        <v>65118.6</v>
      </c>
      <c r="F34" s="3179" t="s">
        <v>3016</v>
      </c>
      <c r="G34" s="3179" t="s">
        <v>3010</v>
      </c>
      <c r="H34" s="3179" t="s">
        <v>3011</v>
      </c>
      <c r="I34" s="3179">
        <v>29846</v>
      </c>
      <c r="J34" s="3179">
        <v>30046</v>
      </c>
      <c r="K34" s="3179">
        <v>4614.03</v>
      </c>
      <c r="L34" s="3179">
        <f t="shared" si="0"/>
        <v>8305</v>
      </c>
      <c r="M34" s="3179">
        <v>0.67</v>
      </c>
      <c r="N34" s="3179" t="s">
        <v>3017</v>
      </c>
    </row>
    <row r="35" spans="1:14" s="2938" customFormat="1">
      <c r="A35" s="2938" t="s">
        <v>3018</v>
      </c>
      <c r="B35" s="2938" t="s">
        <v>3007</v>
      </c>
      <c r="C35" s="2938" t="s">
        <v>3008</v>
      </c>
      <c r="D35" s="2938">
        <v>369</v>
      </c>
      <c r="E35" s="2938">
        <v>553.5</v>
      </c>
      <c r="F35" s="2938" t="s">
        <v>3019</v>
      </c>
      <c r="G35" s="2938" t="s">
        <v>3010</v>
      </c>
      <c r="H35" s="2938" t="s">
        <v>3011</v>
      </c>
      <c r="I35" s="2938">
        <v>194</v>
      </c>
      <c r="J35" s="2938">
        <v>194</v>
      </c>
      <c r="K35" s="2938">
        <v>3504.96</v>
      </c>
      <c r="L35" s="2938">
        <f t="shared" si="0"/>
        <v>5257</v>
      </c>
      <c r="M35" s="2938">
        <v>0</v>
      </c>
      <c r="N35" s="2938" t="s">
        <v>3012</v>
      </c>
    </row>
    <row r="36" spans="1:14" s="2938" customFormat="1">
      <c r="A36" s="2938" t="s">
        <v>3018</v>
      </c>
      <c r="B36" s="2938" t="s">
        <v>3007</v>
      </c>
      <c r="C36" s="2938" t="s">
        <v>3008</v>
      </c>
      <c r="D36" s="2938">
        <v>23213</v>
      </c>
      <c r="E36" s="2938">
        <v>34819.5</v>
      </c>
      <c r="F36" s="2938" t="s">
        <v>3019</v>
      </c>
      <c r="G36" s="2938" t="s">
        <v>3010</v>
      </c>
      <c r="H36" s="2938" t="s">
        <v>3011</v>
      </c>
      <c r="I36" s="2938">
        <v>12187</v>
      </c>
      <c r="J36" s="2938">
        <v>12187</v>
      </c>
      <c r="K36" s="2938">
        <v>3500.05</v>
      </c>
      <c r="L36" s="2938">
        <f t="shared" si="0"/>
        <v>5250</v>
      </c>
      <c r="M36" s="2938">
        <v>0</v>
      </c>
      <c r="N36" s="2938" t="s">
        <v>3012</v>
      </c>
    </row>
    <row r="37" spans="1:14" s="3180" customFormat="1">
      <c r="A37" s="3180" t="s">
        <v>3015</v>
      </c>
      <c r="B37" s="3180" t="s">
        <v>3007</v>
      </c>
      <c r="C37" s="3180" t="s">
        <v>3008</v>
      </c>
      <c r="D37" s="3180">
        <v>42013</v>
      </c>
      <c r="E37" s="3180">
        <v>75623.399999999994</v>
      </c>
      <c r="F37" s="3180" t="s">
        <v>3016</v>
      </c>
      <c r="G37" s="3180" t="s">
        <v>3010</v>
      </c>
      <c r="H37" s="3180" t="s">
        <v>3011</v>
      </c>
      <c r="I37" s="3180">
        <v>34661</v>
      </c>
      <c r="J37" s="3180">
        <v>34861</v>
      </c>
      <c r="K37" s="3180">
        <v>4609.8100000000004</v>
      </c>
      <c r="L37" s="3180">
        <f t="shared" si="0"/>
        <v>8298</v>
      </c>
      <c r="M37" s="3180">
        <v>0.57999999999999996</v>
      </c>
      <c r="N37" s="3180" t="s">
        <v>3020</v>
      </c>
    </row>
    <row r="38" spans="1:14" s="3179" customFormat="1">
      <c r="A38" s="3179" t="s">
        <v>3021</v>
      </c>
      <c r="B38" s="3179" t="s">
        <v>3007</v>
      </c>
      <c r="C38" s="3179" t="s">
        <v>3008</v>
      </c>
      <c r="D38" s="3179">
        <v>69587</v>
      </c>
      <c r="E38" s="3179">
        <v>118297.9</v>
      </c>
      <c r="F38" s="3179" t="s">
        <v>3014</v>
      </c>
      <c r="G38" s="3179" t="s">
        <v>3010</v>
      </c>
      <c r="H38" s="3179" t="s">
        <v>3011</v>
      </c>
      <c r="I38" s="3179">
        <v>57410</v>
      </c>
      <c r="J38" s="3179">
        <v>64910</v>
      </c>
      <c r="K38" s="3179">
        <v>5487</v>
      </c>
      <c r="L38" s="3179">
        <f t="shared" si="0"/>
        <v>9328</v>
      </c>
      <c r="M38" s="3179">
        <v>13.06</v>
      </c>
      <c r="N38" s="3179" t="s">
        <v>3022</v>
      </c>
    </row>
    <row r="39" spans="1:14" s="2938" customFormat="1">
      <c r="A39" s="2938" t="s">
        <v>3018</v>
      </c>
      <c r="B39" s="2938" t="s">
        <v>3007</v>
      </c>
      <c r="C39" s="2938" t="s">
        <v>3008</v>
      </c>
      <c r="D39" s="2938">
        <v>398</v>
      </c>
      <c r="E39" s="2938">
        <v>597</v>
      </c>
      <c r="F39" s="2938" t="s">
        <v>3019</v>
      </c>
      <c r="G39" s="2938" t="s">
        <v>3010</v>
      </c>
      <c r="H39" s="2938" t="s">
        <v>3011</v>
      </c>
      <c r="I39" s="2938">
        <v>209</v>
      </c>
      <c r="J39" s="2938">
        <v>209</v>
      </c>
      <c r="K39" s="2938">
        <v>3500.84</v>
      </c>
      <c r="L39" s="2938">
        <f t="shared" si="0"/>
        <v>5251</v>
      </c>
      <c r="M39" s="2938">
        <v>0</v>
      </c>
      <c r="N39" s="2938" t="s">
        <v>3012</v>
      </c>
    </row>
    <row r="40" spans="1:14" s="2938" customFormat="1">
      <c r="A40" s="2938" t="s">
        <v>3006</v>
      </c>
      <c r="B40" s="2938" t="s">
        <v>3007</v>
      </c>
      <c r="C40" s="2938" t="s">
        <v>3008</v>
      </c>
      <c r="D40" s="2938">
        <v>27748</v>
      </c>
      <c r="E40" s="2938">
        <v>55496</v>
      </c>
      <c r="F40" s="2938" t="s">
        <v>3009</v>
      </c>
      <c r="G40" s="2938" t="s">
        <v>3010</v>
      </c>
      <c r="H40" s="2938" t="s">
        <v>3011</v>
      </c>
      <c r="I40" s="2938">
        <v>22060</v>
      </c>
      <c r="J40" s="2938">
        <v>22060</v>
      </c>
      <c r="K40" s="2938">
        <v>3975.05</v>
      </c>
      <c r="L40" s="2938">
        <f t="shared" si="0"/>
        <v>7950</v>
      </c>
      <c r="M40" s="2938">
        <v>0</v>
      </c>
      <c r="N40" s="2938" t="s">
        <v>3012</v>
      </c>
    </row>
    <row r="41" spans="1:14" s="2938" customFormat="1">
      <c r="A41" s="2938" t="s">
        <v>3023</v>
      </c>
      <c r="B41" s="2938" t="s">
        <v>3007</v>
      </c>
      <c r="C41" s="2938" t="s">
        <v>3008</v>
      </c>
      <c r="D41" s="2938">
        <v>1684</v>
      </c>
      <c r="E41" s="2938">
        <v>2526</v>
      </c>
      <c r="F41" s="2938" t="s">
        <v>3019</v>
      </c>
      <c r="G41" s="2938" t="s">
        <v>3010</v>
      </c>
      <c r="H41" s="2938" t="s">
        <v>3024</v>
      </c>
      <c r="I41" s="2938">
        <v>1263</v>
      </c>
      <c r="J41" s="2938">
        <v>1263</v>
      </c>
      <c r="K41" s="2938">
        <v>5000</v>
      </c>
      <c r="L41" s="2938">
        <f t="shared" si="0"/>
        <v>7500</v>
      </c>
      <c r="M41" s="2938">
        <v>0</v>
      </c>
      <c r="N41" s="2938" t="s">
        <v>3025</v>
      </c>
    </row>
    <row r="42" spans="1:14" s="2938" customFormat="1">
      <c r="A42" s="2938" t="s">
        <v>3026</v>
      </c>
      <c r="B42" s="2938" t="s">
        <v>3007</v>
      </c>
      <c r="C42" s="2938" t="s">
        <v>3008</v>
      </c>
      <c r="D42" s="2938">
        <v>3876</v>
      </c>
      <c r="E42" s="2938">
        <v>6201.6</v>
      </c>
      <c r="F42" s="2938" t="s">
        <v>3027</v>
      </c>
      <c r="G42" s="2938" t="s">
        <v>3010</v>
      </c>
      <c r="H42" s="2938" t="s">
        <v>3024</v>
      </c>
      <c r="I42" s="2938">
        <v>2907</v>
      </c>
      <c r="J42" s="2938">
        <v>2907</v>
      </c>
      <c r="K42" s="2938">
        <v>4687.5</v>
      </c>
      <c r="L42" s="2938">
        <f t="shared" si="0"/>
        <v>7500</v>
      </c>
      <c r="M42" s="2938">
        <v>0</v>
      </c>
      <c r="N42" s="2938" t="s">
        <v>3028</v>
      </c>
    </row>
    <row r="43" spans="1:14" s="2938" customFormat="1">
      <c r="A43" s="2938" t="s">
        <v>3026</v>
      </c>
      <c r="B43" s="2938" t="s">
        <v>3007</v>
      </c>
      <c r="C43" s="2938" t="s">
        <v>3008</v>
      </c>
      <c r="D43" s="2938">
        <v>2084</v>
      </c>
      <c r="E43" s="2938">
        <v>3334.4</v>
      </c>
      <c r="F43" s="2938" t="s">
        <v>3027</v>
      </c>
      <c r="G43" s="2938" t="s">
        <v>3010</v>
      </c>
      <c r="H43" s="2938" t="s">
        <v>3024</v>
      </c>
      <c r="I43" s="2938">
        <v>1563</v>
      </c>
      <c r="J43" s="2938">
        <v>1563</v>
      </c>
      <c r="K43" s="2938">
        <v>4687.5</v>
      </c>
      <c r="L43" s="2938">
        <f t="shared" si="0"/>
        <v>7500</v>
      </c>
      <c r="M43" s="2938">
        <v>0</v>
      </c>
      <c r="N43" s="2938" t="s">
        <v>3028</v>
      </c>
    </row>
    <row r="44" spans="1:14" s="2938" customFormat="1">
      <c r="A44" s="2938" t="s">
        <v>3029</v>
      </c>
      <c r="B44" s="2938" t="s">
        <v>3007</v>
      </c>
      <c r="C44" s="2938" t="s">
        <v>3008</v>
      </c>
      <c r="D44" s="2938">
        <v>13937</v>
      </c>
      <c r="E44" s="2938">
        <v>27874</v>
      </c>
      <c r="F44" s="2938" t="s">
        <v>3030</v>
      </c>
      <c r="G44" s="2938" t="s">
        <v>3010</v>
      </c>
      <c r="H44" s="2938" t="s">
        <v>3031</v>
      </c>
      <c r="I44" s="2938">
        <v>1463</v>
      </c>
      <c r="J44" s="2938">
        <v>1463</v>
      </c>
      <c r="K44" s="2938">
        <v>524.86</v>
      </c>
      <c r="L44" s="2938">
        <f t="shared" si="0"/>
        <v>1050</v>
      </c>
      <c r="M44" s="2938">
        <v>0</v>
      </c>
      <c r="N44" s="2938" t="s">
        <v>3032</v>
      </c>
    </row>
    <row r="45" spans="1:14" s="2938" customFormat="1">
      <c r="A45" s="2938" t="s">
        <v>3033</v>
      </c>
      <c r="B45" s="2938" t="s">
        <v>3007</v>
      </c>
      <c r="C45" s="2938" t="s">
        <v>3008</v>
      </c>
      <c r="D45" s="2938">
        <v>714</v>
      </c>
      <c r="E45" s="2938">
        <v>1570.8</v>
      </c>
      <c r="F45" s="2938" t="s">
        <v>3034</v>
      </c>
      <c r="G45" s="2938" t="s">
        <v>3010</v>
      </c>
      <c r="H45" s="2938" t="s">
        <v>3035</v>
      </c>
      <c r="I45" s="2938">
        <v>750</v>
      </c>
      <c r="J45" s="2938">
        <v>750</v>
      </c>
      <c r="K45" s="2938">
        <v>4774.6400000000003</v>
      </c>
      <c r="L45" s="2938">
        <f t="shared" si="0"/>
        <v>10504</v>
      </c>
      <c r="M45" s="2938">
        <v>0</v>
      </c>
      <c r="N45" s="2938" t="s">
        <v>3036</v>
      </c>
    </row>
    <row r="46" spans="1:14" s="2938" customFormat="1">
      <c r="A46" s="2938" t="s">
        <v>3037</v>
      </c>
      <c r="B46" s="2938" t="s">
        <v>3007</v>
      </c>
      <c r="C46" s="2938" t="s">
        <v>3008</v>
      </c>
      <c r="D46" s="2938">
        <v>403</v>
      </c>
      <c r="E46" s="2938">
        <v>1007.5</v>
      </c>
      <c r="F46" s="2938" t="s">
        <v>3038</v>
      </c>
      <c r="G46" s="2938" t="s">
        <v>3010</v>
      </c>
      <c r="H46" s="2938" t="s">
        <v>3035</v>
      </c>
      <c r="I46" s="2938">
        <v>423</v>
      </c>
      <c r="J46" s="2938">
        <v>423</v>
      </c>
      <c r="K46" s="2938">
        <v>4198.51</v>
      </c>
      <c r="L46" s="2938">
        <f t="shared" si="0"/>
        <v>10496</v>
      </c>
      <c r="M46" s="2938">
        <v>0</v>
      </c>
      <c r="N46" s="2938" t="s">
        <v>3036</v>
      </c>
    </row>
    <row r="47" spans="1:14" s="2938" customFormat="1">
      <c r="A47" s="2938" t="s">
        <v>3039</v>
      </c>
      <c r="B47" s="2938" t="s">
        <v>3007</v>
      </c>
      <c r="C47" s="2938" t="s">
        <v>3008</v>
      </c>
      <c r="D47" s="2938">
        <v>70000</v>
      </c>
      <c r="E47" s="2938">
        <v>140000</v>
      </c>
      <c r="F47" s="2938" t="s">
        <v>3009</v>
      </c>
      <c r="G47" s="2938" t="s">
        <v>3010</v>
      </c>
      <c r="H47" s="2938" t="s">
        <v>3035</v>
      </c>
      <c r="I47" s="2938">
        <v>68250</v>
      </c>
      <c r="J47" s="2938">
        <v>68598</v>
      </c>
      <c r="K47" s="2938">
        <v>4899.8500000000004</v>
      </c>
      <c r="L47" s="2938">
        <f t="shared" si="0"/>
        <v>9800</v>
      </c>
      <c r="M47" s="2938">
        <v>0.51</v>
      </c>
      <c r="N47" s="2938" t="s">
        <v>3040</v>
      </c>
    </row>
    <row r="48" spans="1:14" s="2938" customFormat="1">
      <c r="A48" s="2938" t="s">
        <v>3039</v>
      </c>
      <c r="B48" s="2938" t="s">
        <v>3007</v>
      </c>
      <c r="C48" s="2938" t="s">
        <v>3008</v>
      </c>
      <c r="D48" s="2938">
        <v>70000</v>
      </c>
      <c r="E48" s="2938">
        <v>140000</v>
      </c>
      <c r="F48" s="2938" t="s">
        <v>3009</v>
      </c>
      <c r="G48" s="2938" t="s">
        <v>3010</v>
      </c>
      <c r="H48" s="2938" t="s">
        <v>3035</v>
      </c>
      <c r="I48" s="2938">
        <v>68250</v>
      </c>
      <c r="J48" s="2938">
        <v>68598</v>
      </c>
      <c r="K48" s="2938">
        <v>4899.8500000000004</v>
      </c>
      <c r="L48" s="2938">
        <f t="shared" si="0"/>
        <v>9800</v>
      </c>
      <c r="M48" s="2938">
        <v>0.51</v>
      </c>
      <c r="N48" s="2938" t="s">
        <v>3040</v>
      </c>
    </row>
    <row r="49" spans="1:14" s="2938" customFormat="1">
      <c r="A49" s="2938" t="s">
        <v>3041</v>
      </c>
      <c r="B49" s="2938" t="s">
        <v>3007</v>
      </c>
      <c r="C49" s="2938" t="s">
        <v>3008</v>
      </c>
      <c r="D49" s="2938">
        <v>2274</v>
      </c>
      <c r="E49" s="2938">
        <v>6822</v>
      </c>
      <c r="F49" s="2938" t="s">
        <v>3042</v>
      </c>
      <c r="G49" s="2938" t="s">
        <v>3010</v>
      </c>
      <c r="H49" s="2938" t="s">
        <v>3035</v>
      </c>
      <c r="I49" s="2938">
        <v>2388</v>
      </c>
      <c r="J49" s="2938">
        <v>2388</v>
      </c>
      <c r="K49" s="2938">
        <v>3500.44</v>
      </c>
      <c r="L49" s="2938">
        <f t="shared" si="0"/>
        <v>10501</v>
      </c>
      <c r="M49" s="2938">
        <v>0</v>
      </c>
      <c r="N49" s="2938" t="s">
        <v>3036</v>
      </c>
    </row>
    <row r="50" spans="1:14" s="2938" customFormat="1">
      <c r="A50" s="2938" t="s">
        <v>3039</v>
      </c>
      <c r="B50" s="2938" t="s">
        <v>3007</v>
      </c>
      <c r="C50" s="2938" t="s">
        <v>3008</v>
      </c>
      <c r="D50" s="2938">
        <v>61116</v>
      </c>
      <c r="E50" s="2938">
        <v>122232</v>
      </c>
      <c r="F50" s="2938" t="s">
        <v>3009</v>
      </c>
      <c r="G50" s="2938" t="s">
        <v>3010</v>
      </c>
      <c r="H50" s="2938" t="s">
        <v>3035</v>
      </c>
      <c r="I50" s="2938">
        <v>59588</v>
      </c>
      <c r="J50" s="2938">
        <v>59892</v>
      </c>
      <c r="K50" s="2938">
        <v>4899.8500000000004</v>
      </c>
      <c r="L50" s="2938">
        <f t="shared" si="0"/>
        <v>9800</v>
      </c>
      <c r="M50" s="2938">
        <v>0.51</v>
      </c>
      <c r="N50" s="2938" t="s">
        <v>3040</v>
      </c>
    </row>
    <row r="51" spans="1:14" s="2938" customFormat="1">
      <c r="A51" s="2938" t="s">
        <v>3043</v>
      </c>
      <c r="B51" s="2938" t="s">
        <v>3007</v>
      </c>
      <c r="C51" s="2938" t="s">
        <v>3008</v>
      </c>
      <c r="D51" s="2938">
        <v>24733</v>
      </c>
      <c r="E51" s="2938">
        <v>49466</v>
      </c>
      <c r="F51" s="2938" t="s">
        <v>3009</v>
      </c>
      <c r="G51" s="2938" t="s">
        <v>3010</v>
      </c>
      <c r="H51" s="2938" t="s">
        <v>3035</v>
      </c>
      <c r="I51" s="2938">
        <v>25970</v>
      </c>
      <c r="J51" s="2938">
        <v>25970</v>
      </c>
      <c r="K51" s="2938">
        <v>5250.06</v>
      </c>
      <c r="L51" s="2938">
        <f t="shared" si="0"/>
        <v>10500</v>
      </c>
      <c r="M51" s="2938">
        <v>0</v>
      </c>
      <c r="N51" s="2938" t="s">
        <v>3036</v>
      </c>
    </row>
    <row r="52" spans="1:14" s="2938" customFormat="1">
      <c r="A52" s="2938" t="s">
        <v>3044</v>
      </c>
      <c r="B52" s="2938" t="s">
        <v>3007</v>
      </c>
      <c r="C52" s="2938" t="s">
        <v>3008</v>
      </c>
      <c r="D52" s="2938">
        <v>63956</v>
      </c>
      <c r="E52" s="2938">
        <v>102329.60000000001</v>
      </c>
      <c r="F52" s="2938" t="s">
        <v>3045</v>
      </c>
      <c r="G52" s="2938" t="s">
        <v>3010</v>
      </c>
      <c r="H52" s="2938" t="s">
        <v>3035</v>
      </c>
      <c r="I52" s="2938">
        <v>67154</v>
      </c>
      <c r="J52" s="2938">
        <v>67154</v>
      </c>
      <c r="K52" s="2938">
        <v>6562.52</v>
      </c>
      <c r="L52" s="2938">
        <f t="shared" si="0"/>
        <v>10500</v>
      </c>
      <c r="M52" s="2938">
        <v>0</v>
      </c>
      <c r="N52" s="2938" t="s">
        <v>3036</v>
      </c>
    </row>
    <row r="53" spans="1:14" s="2938" customFormat="1">
      <c r="A53" s="2938" t="s">
        <v>3046</v>
      </c>
      <c r="B53" s="2938" t="s">
        <v>3007</v>
      </c>
      <c r="C53" s="2938" t="s">
        <v>3008</v>
      </c>
      <c r="D53" s="2938">
        <v>30187</v>
      </c>
      <c r="E53" s="2938">
        <v>60374</v>
      </c>
      <c r="F53" s="2938" t="s">
        <v>3009</v>
      </c>
      <c r="G53" s="2938" t="s">
        <v>3010</v>
      </c>
      <c r="H53" s="2938" t="s">
        <v>3035</v>
      </c>
      <c r="I53" s="2938">
        <v>29432</v>
      </c>
      <c r="J53" s="2938">
        <v>29432</v>
      </c>
      <c r="K53" s="2938">
        <v>4874.9399999999996</v>
      </c>
      <c r="L53" s="2938">
        <f t="shared" si="0"/>
        <v>9750</v>
      </c>
      <c r="M53" s="2938">
        <v>0</v>
      </c>
      <c r="N53" s="2938" t="s">
        <v>3047</v>
      </c>
    </row>
    <row r="54" spans="1:14" s="2938" customFormat="1">
      <c r="A54" s="2938" t="s">
        <v>3048</v>
      </c>
      <c r="B54" s="2938" t="s">
        <v>3007</v>
      </c>
      <c r="C54" s="2938" t="s">
        <v>3008</v>
      </c>
      <c r="D54" s="2938">
        <v>60496</v>
      </c>
      <c r="E54" s="2938">
        <v>139140.79999999999</v>
      </c>
      <c r="F54" s="2938" t="s">
        <v>3049</v>
      </c>
      <c r="G54" s="2938" t="s">
        <v>3010</v>
      </c>
      <c r="H54" s="2938" t="s">
        <v>3035</v>
      </c>
      <c r="I54" s="2938">
        <v>29038</v>
      </c>
      <c r="J54" s="2938">
        <v>29038</v>
      </c>
      <c r="K54" s="2938">
        <v>2086.94</v>
      </c>
      <c r="L54" s="2938">
        <f t="shared" si="0"/>
        <v>4800</v>
      </c>
      <c r="M54" s="2938">
        <v>0</v>
      </c>
      <c r="N54" s="2938" t="s">
        <v>3050</v>
      </c>
    </row>
    <row r="55" spans="1:14" s="2938" customFormat="1">
      <c r="A55" s="2938" t="s">
        <v>3051</v>
      </c>
      <c r="B55" s="2938" t="s">
        <v>3007</v>
      </c>
      <c r="C55" s="2938" t="s">
        <v>3008</v>
      </c>
      <c r="D55" s="2938">
        <v>23856</v>
      </c>
      <c r="E55" s="2938">
        <v>38169.599999999999</v>
      </c>
      <c r="F55" s="2938" t="s">
        <v>3045</v>
      </c>
      <c r="G55" s="2938" t="s">
        <v>3010</v>
      </c>
      <c r="H55" s="2938" t="s">
        <v>3052</v>
      </c>
      <c r="I55" s="2938">
        <v>25049</v>
      </c>
      <c r="J55" s="2938">
        <v>25049</v>
      </c>
      <c r="K55" s="2938">
        <v>6562.55</v>
      </c>
      <c r="L55" s="2938">
        <f t="shared" si="0"/>
        <v>10500</v>
      </c>
      <c r="M55" s="2938">
        <v>0</v>
      </c>
      <c r="N55" s="2938" t="s">
        <v>3053</v>
      </c>
    </row>
    <row r="56" spans="1:14" s="2938" customFormat="1">
      <c r="A56" s="2938" t="s">
        <v>3054</v>
      </c>
      <c r="B56" s="2938" t="s">
        <v>3007</v>
      </c>
      <c r="C56" s="2938" t="s">
        <v>3008</v>
      </c>
      <c r="D56" s="2938">
        <v>41175</v>
      </c>
      <c r="E56" s="2938">
        <v>90585</v>
      </c>
      <c r="F56" s="2938" t="s">
        <v>3055</v>
      </c>
      <c r="G56" s="2938" t="s">
        <v>3010</v>
      </c>
      <c r="H56" s="2938" t="s">
        <v>3056</v>
      </c>
      <c r="I56" s="2938">
        <v>18529</v>
      </c>
      <c r="J56" s="2938">
        <v>18529</v>
      </c>
      <c r="K56" s="2938">
        <v>2045.48</v>
      </c>
      <c r="L56" s="2938">
        <f t="shared" si="0"/>
        <v>4500</v>
      </c>
      <c r="M56" s="2938">
        <v>0</v>
      </c>
      <c r="N56" s="2938" t="s">
        <v>3057</v>
      </c>
    </row>
    <row r="57" spans="1:14" s="2938" customFormat="1">
      <c r="A57" s="2938" t="s">
        <v>3054</v>
      </c>
      <c r="B57" s="2938" t="s">
        <v>3007</v>
      </c>
      <c r="C57" s="2938" t="s">
        <v>3008</v>
      </c>
      <c r="D57" s="2938">
        <v>21560</v>
      </c>
      <c r="E57" s="2938">
        <v>47432</v>
      </c>
      <c r="F57" s="2938" t="s">
        <v>3055</v>
      </c>
      <c r="G57" s="2938" t="s">
        <v>3010</v>
      </c>
      <c r="H57" s="2938" t="s">
        <v>3056</v>
      </c>
      <c r="I57" s="2938">
        <v>9702</v>
      </c>
      <c r="J57" s="2938">
        <v>9702</v>
      </c>
      <c r="K57" s="2938">
        <v>2045.45</v>
      </c>
      <c r="L57" s="2938">
        <f t="shared" si="0"/>
        <v>4500</v>
      </c>
      <c r="M57" s="2938">
        <v>0</v>
      </c>
      <c r="N57" s="2938" t="s">
        <v>3057</v>
      </c>
    </row>
    <row r="58" spans="1:14" s="2938" customFormat="1">
      <c r="A58" s="2938" t="s">
        <v>3058</v>
      </c>
      <c r="B58" s="2938" t="s">
        <v>3007</v>
      </c>
      <c r="C58" s="2938" t="s">
        <v>3008</v>
      </c>
      <c r="D58" s="2938">
        <v>44133</v>
      </c>
      <c r="E58" s="2938">
        <v>79439.399999999994</v>
      </c>
      <c r="F58" s="2938" t="s">
        <v>3059</v>
      </c>
      <c r="G58" s="2938" t="s">
        <v>3010</v>
      </c>
      <c r="H58" s="2938" t="s">
        <v>3056</v>
      </c>
      <c r="I58" s="2938">
        <v>19860</v>
      </c>
      <c r="J58" s="2938">
        <v>19860</v>
      </c>
      <c r="K58" s="2938">
        <v>2500.0100000000002</v>
      </c>
      <c r="L58" s="2938">
        <f t="shared" si="0"/>
        <v>4500</v>
      </c>
      <c r="M58" s="2938">
        <v>0</v>
      </c>
      <c r="N58" s="2938" t="s">
        <v>3057</v>
      </c>
    </row>
    <row r="59" spans="1:14" s="2938" customFormat="1">
      <c r="A59" s="2938" t="s">
        <v>3058</v>
      </c>
      <c r="B59" s="2938" t="s">
        <v>3007</v>
      </c>
      <c r="C59" s="2938" t="s">
        <v>3008</v>
      </c>
      <c r="D59" s="2938">
        <v>35795</v>
      </c>
      <c r="E59" s="2938">
        <v>78749</v>
      </c>
      <c r="F59" s="2938" t="s">
        <v>3055</v>
      </c>
      <c r="G59" s="2938" t="s">
        <v>3010</v>
      </c>
      <c r="H59" s="2938" t="s">
        <v>3056</v>
      </c>
      <c r="I59" s="2938">
        <v>16108</v>
      </c>
      <c r="J59" s="2938">
        <v>16108</v>
      </c>
      <c r="K59" s="2938">
        <v>2045.49</v>
      </c>
      <c r="L59" s="2938">
        <f t="shared" si="0"/>
        <v>4500</v>
      </c>
      <c r="M59" s="2938">
        <v>0</v>
      </c>
      <c r="N59" s="2938" t="s">
        <v>3057</v>
      </c>
    </row>
    <row r="60" spans="1:14" s="2938" customFormat="1">
      <c r="A60" s="2938" t="s">
        <v>3058</v>
      </c>
      <c r="B60" s="2938" t="s">
        <v>3007</v>
      </c>
      <c r="C60" s="2938" t="s">
        <v>3008</v>
      </c>
      <c r="D60" s="2938">
        <v>52106</v>
      </c>
      <c r="E60" s="2938">
        <v>93790.8</v>
      </c>
      <c r="F60" s="2938" t="s">
        <v>3059</v>
      </c>
      <c r="G60" s="2938" t="s">
        <v>3010</v>
      </c>
      <c r="H60" s="2938" t="s">
        <v>3056</v>
      </c>
      <c r="I60" s="2938">
        <v>23448</v>
      </c>
      <c r="J60" s="2938">
        <v>23448</v>
      </c>
      <c r="K60" s="2938">
        <v>2500.0300000000002</v>
      </c>
      <c r="L60" s="2938">
        <f t="shared" si="0"/>
        <v>4500</v>
      </c>
      <c r="M60" s="2938">
        <v>0</v>
      </c>
      <c r="N60" s="2938" t="s">
        <v>3057</v>
      </c>
    </row>
    <row r="61" spans="1:14" s="2938" customFormat="1">
      <c r="A61" s="2938" t="s">
        <v>3058</v>
      </c>
      <c r="B61" s="2938" t="s">
        <v>3007</v>
      </c>
      <c r="C61" s="2938" t="s">
        <v>3008</v>
      </c>
      <c r="D61" s="2938">
        <v>42113</v>
      </c>
      <c r="E61" s="2938">
        <v>92648.6</v>
      </c>
      <c r="F61" s="2938" t="s">
        <v>3055</v>
      </c>
      <c r="G61" s="2938" t="s">
        <v>3010</v>
      </c>
      <c r="H61" s="2938" t="s">
        <v>3056</v>
      </c>
      <c r="I61" s="2938">
        <v>18951</v>
      </c>
      <c r="J61" s="2938">
        <v>18951</v>
      </c>
      <c r="K61" s="2938">
        <v>2045.47</v>
      </c>
      <c r="L61" s="2938">
        <f t="shared" si="0"/>
        <v>4500</v>
      </c>
      <c r="M61" s="2938">
        <v>0</v>
      </c>
      <c r="N61" s="2938" t="s">
        <v>3057</v>
      </c>
    </row>
    <row r="62" spans="1:14" s="2938" customFormat="1">
      <c r="A62" s="2938" t="s">
        <v>3054</v>
      </c>
      <c r="B62" s="2938" t="s">
        <v>3007</v>
      </c>
      <c r="C62" s="2938" t="s">
        <v>3008</v>
      </c>
      <c r="D62" s="2938">
        <v>43075</v>
      </c>
      <c r="E62" s="2938">
        <v>94765</v>
      </c>
      <c r="F62" s="2938" t="s">
        <v>3055</v>
      </c>
      <c r="G62" s="2938" t="s">
        <v>3010</v>
      </c>
      <c r="H62" s="2938" t="s">
        <v>3056</v>
      </c>
      <c r="I62" s="2938">
        <v>19384</v>
      </c>
      <c r="J62" s="2938">
        <v>19384</v>
      </c>
      <c r="K62" s="2938">
        <v>2045.48</v>
      </c>
      <c r="L62" s="2938">
        <f t="shared" si="0"/>
        <v>4500</v>
      </c>
      <c r="M62" s="2938">
        <v>0</v>
      </c>
      <c r="N62" s="2938" t="s">
        <v>3057</v>
      </c>
    </row>
    <row r="63" spans="1:14" s="2938" customFormat="1">
      <c r="A63" s="2938" t="s">
        <v>3060</v>
      </c>
      <c r="B63" s="2938" t="s">
        <v>3007</v>
      </c>
      <c r="C63" s="2938" t="s">
        <v>3008</v>
      </c>
      <c r="D63" s="2938">
        <v>37624</v>
      </c>
      <c r="E63" s="2938">
        <v>60198.400000000001</v>
      </c>
      <c r="F63" s="2938" t="s">
        <v>3027</v>
      </c>
      <c r="G63" s="2938" t="s">
        <v>3010</v>
      </c>
      <c r="H63" s="2938" t="s">
        <v>3056</v>
      </c>
      <c r="I63" s="2938">
        <v>16931</v>
      </c>
      <c r="J63" s="2938">
        <v>16931</v>
      </c>
      <c r="K63" s="2938">
        <v>2812.53</v>
      </c>
      <c r="L63" s="2938">
        <f t="shared" si="0"/>
        <v>4500</v>
      </c>
      <c r="M63" s="2938">
        <v>0</v>
      </c>
      <c r="N63" s="2938" t="s">
        <v>3057</v>
      </c>
    </row>
    <row r="64" spans="1:14" s="2938" customFormat="1">
      <c r="A64" s="2938" t="s">
        <v>3054</v>
      </c>
      <c r="B64" s="2938" t="s">
        <v>3007</v>
      </c>
      <c r="C64" s="2938" t="s">
        <v>3008</v>
      </c>
      <c r="D64" s="2938">
        <v>44224</v>
      </c>
      <c r="E64" s="2938">
        <v>97292.800000000003</v>
      </c>
      <c r="F64" s="2938" t="s">
        <v>3055</v>
      </c>
      <c r="G64" s="2938" t="s">
        <v>3010</v>
      </c>
      <c r="H64" s="2938" t="s">
        <v>3056</v>
      </c>
      <c r="I64" s="2938">
        <v>19901</v>
      </c>
      <c r="J64" s="2938">
        <v>19901</v>
      </c>
      <c r="K64" s="2938">
        <v>2045.48</v>
      </c>
      <c r="L64" s="2938">
        <f t="shared" si="0"/>
        <v>4500</v>
      </c>
      <c r="M64" s="2938">
        <v>0</v>
      </c>
      <c r="N64" s="2938" t="s">
        <v>3057</v>
      </c>
    </row>
    <row r="65" spans="1:14" s="2938" customFormat="1">
      <c r="A65" s="2938" t="s">
        <v>3058</v>
      </c>
      <c r="B65" s="2938" t="s">
        <v>3007</v>
      </c>
      <c r="C65" s="2938" t="s">
        <v>3008</v>
      </c>
      <c r="D65" s="2938">
        <v>21933</v>
      </c>
      <c r="E65" s="2938">
        <v>35092.800000000003</v>
      </c>
      <c r="F65" s="2938" t="s">
        <v>3027</v>
      </c>
      <c r="G65" s="2938" t="s">
        <v>3010</v>
      </c>
      <c r="H65" s="2938" t="s">
        <v>3056</v>
      </c>
      <c r="I65" s="2938">
        <v>9870</v>
      </c>
      <c r="J65" s="2938">
        <v>9870</v>
      </c>
      <c r="K65" s="2938">
        <v>2812.53</v>
      </c>
      <c r="L65" s="2938">
        <f t="shared" si="0"/>
        <v>4500</v>
      </c>
      <c r="M65" s="2938">
        <v>0</v>
      </c>
      <c r="N65" s="2938" t="s">
        <v>3057</v>
      </c>
    </row>
    <row r="66" spans="1:14" s="2938" customFormat="1">
      <c r="A66" s="2938" t="s">
        <v>3061</v>
      </c>
      <c r="B66" s="2938" t="s">
        <v>3007</v>
      </c>
      <c r="C66" s="2938" t="s">
        <v>3008</v>
      </c>
      <c r="D66" s="2938">
        <v>4982</v>
      </c>
      <c r="E66" s="2938">
        <v>6476.6</v>
      </c>
      <c r="F66" s="2938" t="s">
        <v>3062</v>
      </c>
      <c r="G66" s="2938" t="s">
        <v>3010</v>
      </c>
      <c r="H66" s="2938" t="s">
        <v>3063</v>
      </c>
      <c r="I66" s="2938">
        <v>2989</v>
      </c>
      <c r="J66" s="2938">
        <v>2989</v>
      </c>
      <c r="K66" s="2938">
        <v>4615.07</v>
      </c>
      <c r="L66" s="2938">
        <f t="shared" si="0"/>
        <v>6000</v>
      </c>
      <c r="M66" s="2938">
        <v>0</v>
      </c>
      <c r="N66" s="2938" t="s">
        <v>3064</v>
      </c>
    </row>
    <row r="67" spans="1:14" s="2938" customFormat="1">
      <c r="A67" s="2938" t="s">
        <v>3065</v>
      </c>
      <c r="B67" s="2938" t="s">
        <v>3007</v>
      </c>
      <c r="C67" s="2938" t="s">
        <v>3008</v>
      </c>
      <c r="D67" s="2938">
        <v>31689</v>
      </c>
      <c r="E67" s="2938">
        <v>50702.400000000001</v>
      </c>
      <c r="F67" s="2938" t="s">
        <v>3045</v>
      </c>
      <c r="G67" s="2938" t="s">
        <v>3010</v>
      </c>
      <c r="H67" s="2938" t="s">
        <v>3063</v>
      </c>
      <c r="I67" s="2938">
        <v>26143</v>
      </c>
      <c r="J67" s="2938">
        <v>37143</v>
      </c>
      <c r="K67" s="2938">
        <v>7325.68</v>
      </c>
      <c r="L67" s="2938">
        <f t="shared" si="0"/>
        <v>11721</v>
      </c>
      <c r="M67" s="2938">
        <v>42.08</v>
      </c>
      <c r="N67" s="2938" t="s">
        <v>3066</v>
      </c>
    </row>
    <row r="68" spans="1:14" s="2938" customFormat="1">
      <c r="A68" s="2938" t="s">
        <v>3067</v>
      </c>
      <c r="B68" s="2938" t="s">
        <v>3007</v>
      </c>
      <c r="C68" s="2938" t="s">
        <v>3008</v>
      </c>
      <c r="D68" s="2938">
        <v>70000</v>
      </c>
      <c r="E68" s="2938">
        <v>140000</v>
      </c>
      <c r="F68" s="2938" t="s">
        <v>3009</v>
      </c>
      <c r="G68" s="2938" t="s">
        <v>3010</v>
      </c>
      <c r="H68" s="2938" t="s">
        <v>3063</v>
      </c>
      <c r="I68" s="2938">
        <v>42000</v>
      </c>
      <c r="J68" s="2938">
        <v>71054</v>
      </c>
      <c r="K68" s="2938">
        <v>5075.28</v>
      </c>
      <c r="L68" s="2938">
        <f t="shared" si="0"/>
        <v>10151</v>
      </c>
      <c r="M68" s="2938">
        <v>69.180000000000007</v>
      </c>
      <c r="N68" s="2938" t="s">
        <v>3068</v>
      </c>
    </row>
    <row r="69" spans="1:14" s="2938" customFormat="1">
      <c r="A69" s="2938" t="s">
        <v>3069</v>
      </c>
      <c r="B69" s="2938" t="s">
        <v>3007</v>
      </c>
      <c r="C69" s="2938" t="s">
        <v>3008</v>
      </c>
      <c r="D69" s="2938">
        <v>34738</v>
      </c>
      <c r="E69" s="2938">
        <v>48633.2</v>
      </c>
      <c r="F69" s="2938" t="s">
        <v>3070</v>
      </c>
      <c r="G69" s="2938" t="s">
        <v>3010</v>
      </c>
      <c r="H69" s="2938" t="s">
        <v>3063</v>
      </c>
      <c r="I69" s="2938">
        <v>20843</v>
      </c>
      <c r="J69" s="2938">
        <v>23243</v>
      </c>
      <c r="K69" s="2938">
        <v>4779.25</v>
      </c>
      <c r="L69" s="2938">
        <f t="shared" si="0"/>
        <v>6691</v>
      </c>
      <c r="M69" s="2938">
        <v>11.51</v>
      </c>
      <c r="N69" s="2938" t="s">
        <v>3066</v>
      </c>
    </row>
    <row r="70" spans="1:14" s="2938" customFormat="1">
      <c r="A70" s="2938" t="s">
        <v>3067</v>
      </c>
      <c r="B70" s="2938" t="s">
        <v>3007</v>
      </c>
      <c r="C70" s="2938" t="s">
        <v>3008</v>
      </c>
      <c r="D70" s="2938">
        <v>56487</v>
      </c>
      <c r="E70" s="2938">
        <v>112974</v>
      </c>
      <c r="F70" s="2938" t="s">
        <v>3009</v>
      </c>
      <c r="G70" s="2938" t="s">
        <v>3010</v>
      </c>
      <c r="H70" s="2938" t="s">
        <v>3063</v>
      </c>
      <c r="I70" s="2938">
        <v>33892</v>
      </c>
      <c r="J70" s="2938">
        <v>57338</v>
      </c>
      <c r="K70" s="2938">
        <v>5075.32</v>
      </c>
      <c r="L70" s="2938">
        <f t="shared" si="0"/>
        <v>10151</v>
      </c>
      <c r="M70" s="2938">
        <v>69.180000000000007</v>
      </c>
      <c r="N70" s="2938" t="s">
        <v>3068</v>
      </c>
    </row>
    <row r="71" spans="1:14" s="2938" customFormat="1">
      <c r="A71" s="2938" t="s">
        <v>3071</v>
      </c>
      <c r="B71" s="2938" t="s">
        <v>3007</v>
      </c>
      <c r="C71" s="2938" t="s">
        <v>3008</v>
      </c>
      <c r="D71" s="2938">
        <v>9008</v>
      </c>
      <c r="E71" s="2938">
        <v>13512</v>
      </c>
      <c r="F71" s="2938" t="s">
        <v>3019</v>
      </c>
      <c r="G71" s="2938" t="s">
        <v>3010</v>
      </c>
      <c r="H71" s="2938" t="s">
        <v>3072</v>
      </c>
      <c r="I71" s="2938">
        <v>946</v>
      </c>
      <c r="J71" s="2938">
        <v>1346</v>
      </c>
      <c r="K71" s="2938">
        <v>996.14</v>
      </c>
      <c r="L71" s="2938">
        <f t="shared" si="0"/>
        <v>1494</v>
      </c>
      <c r="M71" s="2938">
        <v>42.28</v>
      </c>
      <c r="N71" s="2938" t="s">
        <v>3073</v>
      </c>
    </row>
    <row r="72" spans="1:14" s="2938" customFormat="1">
      <c r="A72" s="2938" t="s">
        <v>3074</v>
      </c>
      <c r="B72" s="2938" t="s">
        <v>3007</v>
      </c>
      <c r="C72" s="2938" t="s">
        <v>3008</v>
      </c>
      <c r="D72" s="2938">
        <v>50000</v>
      </c>
      <c r="E72" s="2938">
        <v>100000</v>
      </c>
      <c r="F72" s="2938" t="s">
        <v>3009</v>
      </c>
      <c r="G72" s="2938" t="s">
        <v>3010</v>
      </c>
      <c r="H72" s="2938" t="s">
        <v>3072</v>
      </c>
      <c r="I72" s="2938">
        <v>24000</v>
      </c>
      <c r="J72" s="2938">
        <v>53122.9</v>
      </c>
      <c r="K72" s="2938">
        <v>5312.28</v>
      </c>
      <c r="L72" s="2938">
        <f t="shared" si="0"/>
        <v>10625</v>
      </c>
      <c r="M72" s="2938">
        <v>121.35</v>
      </c>
      <c r="N72" s="2938" t="s">
        <v>3075</v>
      </c>
    </row>
    <row r="73" spans="1:14" s="2938" customFormat="1">
      <c r="A73" s="2938" t="s">
        <v>3076</v>
      </c>
      <c r="B73" s="2938" t="s">
        <v>3007</v>
      </c>
      <c r="C73" s="2938" t="s">
        <v>3008</v>
      </c>
      <c r="D73" s="2938">
        <v>49573</v>
      </c>
      <c r="E73" s="2938">
        <v>59487.6</v>
      </c>
      <c r="F73" s="2938" t="s">
        <v>3077</v>
      </c>
      <c r="G73" s="2938" t="s">
        <v>3010</v>
      </c>
      <c r="H73" s="2938" t="s">
        <v>3072</v>
      </c>
      <c r="I73" s="2938">
        <v>14872</v>
      </c>
      <c r="J73" s="2938">
        <v>38159</v>
      </c>
      <c r="K73" s="2938">
        <v>6414.6</v>
      </c>
      <c r="L73" s="2938">
        <f t="shared" si="0"/>
        <v>7698</v>
      </c>
      <c r="M73" s="2938">
        <v>156.58000000000001</v>
      </c>
      <c r="N73" s="2938" t="s">
        <v>3020</v>
      </c>
    </row>
    <row r="74" spans="1:14" s="2938" customFormat="1">
      <c r="A74" s="2938" t="s">
        <v>3076</v>
      </c>
      <c r="B74" s="2938" t="s">
        <v>3007</v>
      </c>
      <c r="C74" s="2938" t="s">
        <v>3008</v>
      </c>
      <c r="D74" s="2938">
        <v>44093</v>
      </c>
      <c r="E74" s="2938">
        <v>52911.6</v>
      </c>
      <c r="F74" s="2938" t="s">
        <v>3077</v>
      </c>
      <c r="G74" s="2938" t="s">
        <v>3010</v>
      </c>
      <c r="H74" s="2938" t="s">
        <v>3072</v>
      </c>
      <c r="I74" s="2938">
        <v>13228</v>
      </c>
      <c r="J74" s="2938">
        <v>33941</v>
      </c>
      <c r="K74" s="2938">
        <v>6414.65</v>
      </c>
      <c r="L74" s="2938">
        <f t="shared" si="0"/>
        <v>7698</v>
      </c>
      <c r="M74" s="2938">
        <v>156.58000000000001</v>
      </c>
      <c r="N74" s="2938" t="s">
        <v>3020</v>
      </c>
    </row>
    <row r="75" spans="1:14" s="2938" customFormat="1">
      <c r="A75" s="2938" t="s">
        <v>3078</v>
      </c>
      <c r="B75" s="2938" t="s">
        <v>3007</v>
      </c>
      <c r="C75" s="2938" t="s">
        <v>3008</v>
      </c>
      <c r="D75" s="2938">
        <v>26824</v>
      </c>
      <c r="E75" s="2938">
        <v>40236</v>
      </c>
      <c r="F75" s="2938" t="s">
        <v>3079</v>
      </c>
      <c r="G75" s="2938" t="s">
        <v>3010</v>
      </c>
      <c r="H75" s="2938" t="s">
        <v>3072</v>
      </c>
      <c r="I75" s="2938">
        <v>2817</v>
      </c>
      <c r="J75" s="2938">
        <v>14127</v>
      </c>
      <c r="K75" s="2938">
        <v>3511.03</v>
      </c>
      <c r="L75" s="2938">
        <f t="shared" si="0"/>
        <v>5267</v>
      </c>
      <c r="M75" s="2938">
        <v>401.49</v>
      </c>
      <c r="N75" s="2938" t="s">
        <v>3080</v>
      </c>
    </row>
    <row r="76" spans="1:14" s="2938" customFormat="1">
      <c r="A76" s="2938" t="s">
        <v>3074</v>
      </c>
      <c r="B76" s="2938" t="s">
        <v>3007</v>
      </c>
      <c r="C76" s="2938" t="s">
        <v>3008</v>
      </c>
      <c r="D76" s="2938">
        <v>51792</v>
      </c>
      <c r="E76" s="2938">
        <v>103584</v>
      </c>
      <c r="F76" s="2938" t="s">
        <v>3009</v>
      </c>
      <c r="G76" s="2938" t="s">
        <v>3010</v>
      </c>
      <c r="H76" s="2938" t="s">
        <v>3072</v>
      </c>
      <c r="I76" s="2938">
        <v>24860</v>
      </c>
      <c r="J76" s="2938">
        <v>55026.47</v>
      </c>
      <c r="K76" s="2938">
        <v>5312.26</v>
      </c>
      <c r="L76" s="2938">
        <f t="shared" si="0"/>
        <v>10625</v>
      </c>
      <c r="M76" s="2938">
        <v>121.35</v>
      </c>
      <c r="N76" s="2938" t="s">
        <v>3075</v>
      </c>
    </row>
    <row r="77" spans="1:14" s="2938" customFormat="1">
      <c r="A77" s="2938" t="s">
        <v>3081</v>
      </c>
      <c r="B77" s="2938" t="s">
        <v>3007</v>
      </c>
      <c r="C77" s="2938" t="s">
        <v>3008</v>
      </c>
      <c r="D77" s="2938">
        <v>60032</v>
      </c>
      <c r="E77" s="2938">
        <v>150080</v>
      </c>
      <c r="F77" s="2938" t="s">
        <v>3082</v>
      </c>
      <c r="G77" s="2938" t="s">
        <v>3010</v>
      </c>
      <c r="H77" s="2938" t="s">
        <v>3072</v>
      </c>
      <c r="I77" s="2938">
        <v>23413</v>
      </c>
      <c r="J77" s="2938">
        <v>82213</v>
      </c>
      <c r="K77" s="2938">
        <v>5477.94</v>
      </c>
      <c r="L77" s="2938">
        <f t="shared" si="0"/>
        <v>13695</v>
      </c>
      <c r="M77" s="2938">
        <v>251.14</v>
      </c>
      <c r="N77" s="2938" t="s">
        <v>3083</v>
      </c>
    </row>
    <row r="78" spans="1:14" s="2938" customFormat="1">
      <c r="A78" s="2938" t="s">
        <v>3074</v>
      </c>
      <c r="B78" s="2938" t="s">
        <v>3007</v>
      </c>
      <c r="C78" s="2938" t="s">
        <v>3008</v>
      </c>
      <c r="D78" s="2938">
        <v>55951</v>
      </c>
      <c r="E78" s="2938">
        <v>111902</v>
      </c>
      <c r="F78" s="2938" t="s">
        <v>3009</v>
      </c>
      <c r="G78" s="2938" t="s">
        <v>3010</v>
      </c>
      <c r="H78" s="2938" t="s">
        <v>3072</v>
      </c>
      <c r="I78" s="2938">
        <v>26857</v>
      </c>
      <c r="J78" s="2938">
        <v>59446.73</v>
      </c>
      <c r="K78" s="2938">
        <v>5312.39</v>
      </c>
      <c r="L78" s="2938">
        <f t="shared" si="0"/>
        <v>10625</v>
      </c>
      <c r="M78" s="2938">
        <v>121.35</v>
      </c>
      <c r="N78" s="2938" t="s">
        <v>3075</v>
      </c>
    </row>
    <row r="79" spans="1:14" s="2938" customFormat="1">
      <c r="A79" s="2938" t="s">
        <v>3074</v>
      </c>
      <c r="B79" s="2938" t="s">
        <v>3007</v>
      </c>
      <c r="C79" s="2938" t="s">
        <v>3008</v>
      </c>
      <c r="D79" s="2938">
        <v>54460</v>
      </c>
      <c r="E79" s="2938">
        <v>108920</v>
      </c>
      <c r="F79" s="2938" t="s">
        <v>3009</v>
      </c>
      <c r="G79" s="2938" t="s">
        <v>3010</v>
      </c>
      <c r="H79" s="2938" t="s">
        <v>3072</v>
      </c>
      <c r="I79" s="2938">
        <v>26141</v>
      </c>
      <c r="J79" s="2938">
        <v>57861.9</v>
      </c>
      <c r="K79" s="2938">
        <v>5312.32</v>
      </c>
      <c r="L79" s="2938">
        <f t="shared" si="0"/>
        <v>10625</v>
      </c>
      <c r="M79" s="2938">
        <v>121.35</v>
      </c>
      <c r="N79" s="2938" t="s">
        <v>3075</v>
      </c>
    </row>
    <row r="80" spans="1:14" s="2938" customFormat="1">
      <c r="A80" s="2938" t="s">
        <v>3084</v>
      </c>
      <c r="B80" s="2938" t="s">
        <v>3007</v>
      </c>
      <c r="C80" s="2938" t="s">
        <v>3008</v>
      </c>
      <c r="D80" s="2938">
        <v>15605</v>
      </c>
      <c r="E80" s="2938">
        <v>23407.5</v>
      </c>
      <c r="F80" s="2938" t="s">
        <v>3019</v>
      </c>
      <c r="G80" s="2938" t="s">
        <v>3010</v>
      </c>
      <c r="H80" s="2938" t="s">
        <v>3085</v>
      </c>
      <c r="I80" s="2938">
        <v>843</v>
      </c>
      <c r="J80" s="2938">
        <v>848</v>
      </c>
      <c r="K80" s="2938">
        <v>362.27</v>
      </c>
      <c r="L80" s="2938">
        <f t="shared" si="0"/>
        <v>543</v>
      </c>
      <c r="M80" s="2938">
        <v>0.59</v>
      </c>
      <c r="N80" s="2938" t="s">
        <v>3086</v>
      </c>
    </row>
    <row r="81" spans="1:14" s="2938" customFormat="1">
      <c r="A81" s="2938" t="s">
        <v>3087</v>
      </c>
      <c r="B81" s="2938" t="s">
        <v>3007</v>
      </c>
      <c r="C81" s="2938" t="s">
        <v>3008</v>
      </c>
      <c r="D81" s="2938">
        <v>25466</v>
      </c>
      <c r="E81" s="2938">
        <v>38199</v>
      </c>
      <c r="F81" s="2938" t="s">
        <v>3019</v>
      </c>
      <c r="G81" s="2938" t="s">
        <v>3010</v>
      </c>
      <c r="H81" s="2938" t="s">
        <v>3085</v>
      </c>
      <c r="I81" s="2938">
        <v>5960</v>
      </c>
      <c r="J81" s="2938">
        <v>5960</v>
      </c>
      <c r="K81" s="2938">
        <v>1560.25</v>
      </c>
      <c r="L81" s="2938">
        <f t="shared" si="0"/>
        <v>2340</v>
      </c>
      <c r="M81" s="2938">
        <v>0</v>
      </c>
      <c r="N81" s="2938" t="s">
        <v>3088</v>
      </c>
    </row>
    <row r="82" spans="1:14" s="2938" customFormat="1">
      <c r="A82" s="2938" t="s">
        <v>3089</v>
      </c>
      <c r="B82" s="2938" t="s">
        <v>3007</v>
      </c>
      <c r="C82" s="2938" t="s">
        <v>3008</v>
      </c>
      <c r="D82" s="2938">
        <v>4674</v>
      </c>
      <c r="E82" s="2938">
        <v>7011</v>
      </c>
      <c r="F82" s="2938" t="s">
        <v>3019</v>
      </c>
      <c r="G82" s="2938" t="s">
        <v>3010</v>
      </c>
      <c r="H82" s="2938" t="s">
        <v>3085</v>
      </c>
      <c r="I82" s="2938">
        <v>1094</v>
      </c>
      <c r="J82" s="2938">
        <v>1094</v>
      </c>
      <c r="K82" s="2938">
        <v>1560.41</v>
      </c>
      <c r="L82" s="2938">
        <f t="shared" si="0"/>
        <v>2341</v>
      </c>
      <c r="M82" s="2938">
        <v>0</v>
      </c>
      <c r="N82" s="2938" t="s">
        <v>3088</v>
      </c>
    </row>
    <row r="83" spans="1:14" s="2938" customFormat="1">
      <c r="A83" s="2938" t="s">
        <v>3090</v>
      </c>
      <c r="B83" s="2938" t="s">
        <v>3007</v>
      </c>
      <c r="C83" s="2938" t="s">
        <v>3008</v>
      </c>
      <c r="D83" s="2938">
        <v>62592</v>
      </c>
      <c r="E83" s="2938">
        <v>93888</v>
      </c>
      <c r="F83" s="2938" t="s">
        <v>3019</v>
      </c>
      <c r="G83" s="2938" t="s">
        <v>3010</v>
      </c>
      <c r="H83" s="2938" t="s">
        <v>3085</v>
      </c>
      <c r="I83" s="2938">
        <v>14647</v>
      </c>
      <c r="J83" s="2938">
        <v>39447</v>
      </c>
      <c r="K83" s="2938">
        <v>4201.5</v>
      </c>
      <c r="L83" s="2938">
        <f t="shared" si="0"/>
        <v>6302</v>
      </c>
      <c r="M83" s="2938">
        <v>169.32</v>
      </c>
      <c r="N83" s="2938" t="s">
        <v>3091</v>
      </c>
    </row>
    <row r="84" spans="1:14" s="2938" customFormat="1">
      <c r="A84" s="2938" t="s">
        <v>3092</v>
      </c>
      <c r="B84" s="2938" t="s">
        <v>3007</v>
      </c>
      <c r="C84" s="2938" t="s">
        <v>3008</v>
      </c>
      <c r="D84" s="2938">
        <v>35477</v>
      </c>
      <c r="E84" s="2938">
        <v>53215.5</v>
      </c>
      <c r="F84" s="2938" t="s">
        <v>3019</v>
      </c>
      <c r="G84" s="2938" t="s">
        <v>3010</v>
      </c>
      <c r="H84" s="2938" t="s">
        <v>3085</v>
      </c>
      <c r="I84" s="2938">
        <v>8304</v>
      </c>
      <c r="J84" s="2938">
        <v>8304</v>
      </c>
      <c r="K84" s="2938">
        <v>1560.45</v>
      </c>
      <c r="L84" s="2938">
        <f t="shared" si="0"/>
        <v>2341</v>
      </c>
      <c r="M84" s="2938">
        <v>0</v>
      </c>
      <c r="N84" s="2938" t="s">
        <v>3088</v>
      </c>
    </row>
    <row r="85" spans="1:14" s="2938" customFormat="1">
      <c r="A85" s="2938" t="s">
        <v>3093</v>
      </c>
      <c r="B85" s="2938" t="s">
        <v>3007</v>
      </c>
      <c r="C85" s="2938" t="s">
        <v>3008</v>
      </c>
      <c r="D85" s="2938">
        <v>69952</v>
      </c>
      <c r="E85" s="2938">
        <v>104928</v>
      </c>
      <c r="F85" s="2938" t="s">
        <v>3019</v>
      </c>
      <c r="G85" s="2938" t="s">
        <v>3010</v>
      </c>
      <c r="H85" s="2938" t="s">
        <v>3085</v>
      </c>
      <c r="I85" s="2938">
        <v>16800</v>
      </c>
      <c r="J85" s="2938">
        <v>46497</v>
      </c>
      <c r="K85" s="2938">
        <v>4431.3100000000004</v>
      </c>
      <c r="L85" s="2938">
        <f t="shared" si="0"/>
        <v>6647</v>
      </c>
      <c r="M85" s="2938">
        <v>176.77</v>
      </c>
      <c r="N85" s="2938" t="s">
        <v>3094</v>
      </c>
    </row>
    <row r="86" spans="1:14" s="2938" customFormat="1">
      <c r="A86" s="2938" t="s">
        <v>3095</v>
      </c>
      <c r="B86" s="2938" t="s">
        <v>3007</v>
      </c>
      <c r="C86" s="2938" t="s">
        <v>3008</v>
      </c>
      <c r="D86" s="2938">
        <v>68975</v>
      </c>
      <c r="E86" s="2938">
        <v>103462.5</v>
      </c>
      <c r="F86" s="2938" t="s">
        <v>3019</v>
      </c>
      <c r="G86" s="2938" t="s">
        <v>3010</v>
      </c>
      <c r="H86" s="2938" t="s">
        <v>3085</v>
      </c>
      <c r="I86" s="2938">
        <v>16543</v>
      </c>
      <c r="J86" s="2938">
        <v>45848</v>
      </c>
      <c r="K86" s="2938">
        <v>4431.3500000000004</v>
      </c>
      <c r="L86" s="2938">
        <f t="shared" si="0"/>
        <v>6647</v>
      </c>
      <c r="M86" s="2938">
        <v>177.14</v>
      </c>
      <c r="N86" s="2938" t="s">
        <v>3094</v>
      </c>
    </row>
    <row r="87" spans="1:14" s="2938" customFormat="1">
      <c r="A87" s="2938" t="s">
        <v>3096</v>
      </c>
      <c r="B87" s="2938" t="s">
        <v>3007</v>
      </c>
      <c r="C87" s="2938" t="s">
        <v>3008</v>
      </c>
      <c r="D87" s="2938">
        <v>58518</v>
      </c>
      <c r="E87" s="2938">
        <v>87777</v>
      </c>
      <c r="F87" s="2938" t="s">
        <v>3019</v>
      </c>
      <c r="G87" s="2938" t="s">
        <v>3010</v>
      </c>
      <c r="H87" s="2938" t="s">
        <v>3085</v>
      </c>
      <c r="I87" s="2938">
        <v>13694</v>
      </c>
      <c r="J87" s="2938">
        <v>13694</v>
      </c>
      <c r="K87" s="2938">
        <v>1560.08</v>
      </c>
      <c r="L87" s="2938">
        <f t="shared" si="0"/>
        <v>2340</v>
      </c>
      <c r="M87" s="2938">
        <v>0</v>
      </c>
      <c r="N87" s="2938" t="s">
        <v>3088</v>
      </c>
    </row>
    <row r="88" spans="1:14" s="2938" customFormat="1">
      <c r="A88" s="2938" t="s">
        <v>3097</v>
      </c>
      <c r="B88" s="2938" t="s">
        <v>3007</v>
      </c>
      <c r="C88" s="2938" t="s">
        <v>3008</v>
      </c>
      <c r="D88" s="2938">
        <v>1292</v>
      </c>
      <c r="E88" s="2938">
        <v>1938</v>
      </c>
      <c r="F88" s="2938" t="s">
        <v>3019</v>
      </c>
      <c r="G88" s="2938" t="s">
        <v>3010</v>
      </c>
      <c r="H88" s="2938" t="s">
        <v>3085</v>
      </c>
      <c r="I88" s="2938">
        <v>303</v>
      </c>
      <c r="J88" s="2938">
        <v>303</v>
      </c>
      <c r="K88" s="2938">
        <v>1563.47</v>
      </c>
      <c r="L88" s="2938">
        <f t="shared" si="0"/>
        <v>2345</v>
      </c>
      <c r="M88" s="2938">
        <v>0</v>
      </c>
      <c r="N88" s="2938" t="s">
        <v>3088</v>
      </c>
    </row>
    <row r="89" spans="1:14" s="2938" customFormat="1">
      <c r="A89" s="2938" t="s">
        <v>3098</v>
      </c>
      <c r="B89" s="2938" t="s">
        <v>3007</v>
      </c>
      <c r="C89" s="2938" t="s">
        <v>3008</v>
      </c>
      <c r="D89" s="2938">
        <v>66867</v>
      </c>
      <c r="E89" s="2938">
        <v>100300.5</v>
      </c>
      <c r="F89" s="2938" t="s">
        <v>3019</v>
      </c>
      <c r="G89" s="2938" t="s">
        <v>3010</v>
      </c>
      <c r="H89" s="2938" t="s">
        <v>3085</v>
      </c>
      <c r="I89" s="2938">
        <v>16048</v>
      </c>
      <c r="J89" s="2938">
        <v>44446</v>
      </c>
      <c r="K89" s="2938">
        <v>4431.2700000000004</v>
      </c>
      <c r="L89" s="2938">
        <f t="shared" si="0"/>
        <v>6647</v>
      </c>
      <c r="M89" s="2938">
        <v>176.96</v>
      </c>
      <c r="N89" s="2938" t="s">
        <v>3094</v>
      </c>
    </row>
    <row r="90" spans="1:14" s="2938" customFormat="1">
      <c r="A90" s="2938" t="s">
        <v>3099</v>
      </c>
      <c r="B90" s="2938" t="s">
        <v>3007</v>
      </c>
      <c r="C90" s="2938" t="s">
        <v>3008</v>
      </c>
      <c r="D90" s="2938">
        <v>48978</v>
      </c>
      <c r="E90" s="2938">
        <v>73467</v>
      </c>
      <c r="F90" s="2938" t="s">
        <v>3019</v>
      </c>
      <c r="G90" s="2938" t="s">
        <v>3010</v>
      </c>
      <c r="H90" s="2938" t="s">
        <v>3085</v>
      </c>
      <c r="I90" s="2938">
        <v>11458</v>
      </c>
      <c r="J90" s="2938">
        <v>11458</v>
      </c>
      <c r="K90" s="2938">
        <v>1559.6</v>
      </c>
      <c r="L90" s="2938">
        <f t="shared" si="0"/>
        <v>2339</v>
      </c>
      <c r="M90" s="2938">
        <v>0</v>
      </c>
      <c r="N90" s="2938" t="s">
        <v>3088</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194" t="str">
        <f>项目基本情况!B1</f>
        <v>出让国有建设用地使用权预评估</v>
      </c>
      <c r="C37" s="3194"/>
      <c r="D37" s="3194"/>
      <c r="E37" s="3194"/>
      <c r="F37" s="3194"/>
      <c r="G37" s="3194"/>
      <c r="H37" s="3194"/>
      <c r="I37" s="3194"/>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13" sqref="C1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809" t="s">
        <v>2985</v>
      </c>
      <c r="C1" s="2104"/>
      <c r="D1" s="2104"/>
      <c r="E1" s="2104"/>
      <c r="F1" s="2104"/>
      <c r="G1" s="2104"/>
      <c r="H1" s="2104"/>
      <c r="I1" s="2104"/>
      <c r="J1" s="2104"/>
      <c r="K1" s="421">
        <f>MATCH(B1,'数据-取费表'!A6:A16,0)+5</f>
        <v>6</v>
      </c>
    </row>
    <row r="2" spans="1:31" s="2041" customFormat="1" ht="18" customHeight="1">
      <c r="A2" s="2101" t="s">
        <v>465</v>
      </c>
      <c r="B2" s="2105">
        <f ca="1">C36</f>
        <v>34966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4686</v>
      </c>
      <c r="C3" s="2104"/>
      <c r="D3" s="2104"/>
      <c r="E3" s="2104"/>
      <c r="F3" s="2104"/>
      <c r="G3" s="2104"/>
      <c r="H3" s="2104"/>
      <c r="I3" s="2104"/>
      <c r="J3" s="2104"/>
      <c r="K3" s="2104"/>
    </row>
    <row r="4" spans="1:31" s="2041" customFormat="1" ht="18" customHeight="1">
      <c r="A4" s="425" t="s">
        <v>466</v>
      </c>
      <c r="B4" s="426">
        <f ca="1">ROUND(B2*10000/IF(B1="",'数据-汇总表'!D3,INDIRECT("'数据-取费表'!R"&amp;$K$1)),0)</f>
        <v>8323</v>
      </c>
      <c r="C4" s="427"/>
      <c r="D4" s="421"/>
      <c r="E4" s="421"/>
      <c r="F4" s="421"/>
      <c r="G4" s="421"/>
      <c r="H4" s="421"/>
      <c r="I4" s="421"/>
      <c r="J4" s="421"/>
      <c r="K4" s="421"/>
    </row>
    <row r="5" spans="1:31" s="2041" customFormat="1" ht="18" customHeight="1" thickBot="1">
      <c r="A5" s="428"/>
      <c r="B5" s="429">
        <f ca="1">ROUND(B2/(IF(B1="",'数据-汇总表'!D3,INDIRECT("'数据-取费表'!R"&amp;$K$1))/666.67),0)</f>
        <v>555</v>
      </c>
      <c r="C5" s="430" t="s">
        <v>467</v>
      </c>
      <c r="D5" s="421"/>
      <c r="E5" s="421"/>
      <c r="F5" s="421"/>
      <c r="G5" s="421"/>
      <c r="H5" s="421"/>
      <c r="I5" s="421"/>
      <c r="J5" s="421"/>
      <c r="K5" s="421"/>
    </row>
    <row r="6" spans="1:31" s="2111" customFormat="1" ht="16.5" customHeight="1">
      <c r="A6" s="2828" t="s">
        <v>1841</v>
      </c>
      <c r="B6" s="2829"/>
      <c r="C6" s="2830">
        <f>SUM(C10:K10)</f>
        <v>79847</v>
      </c>
      <c r="D6" s="2829"/>
      <c r="E6" s="2829"/>
      <c r="F6" s="2829"/>
      <c r="G6" s="2829"/>
      <c r="H6" s="2829"/>
      <c r="I6" s="2829"/>
      <c r="J6" s="2829"/>
      <c r="K6" s="2831"/>
    </row>
    <row r="7" spans="1:31" s="2113" customFormat="1" ht="15">
      <c r="A7" s="2832" t="s">
        <v>468</v>
      </c>
      <c r="B7" s="2833" t="s">
        <v>469</v>
      </c>
      <c r="C7" s="435" t="s">
        <v>2985</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1844</v>
      </c>
      <c r="B8" s="260" t="s">
        <v>470</v>
      </c>
      <c r="C8" s="2834">
        <f>'不动产比较法（高层住宅）'!B3</f>
        <v>10700</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1845</v>
      </c>
      <c r="B9" s="260" t="s">
        <v>471</v>
      </c>
      <c r="C9" s="440">
        <f>SUMIF('数据-汇总表'!$C19:$C33,'剩余法-待开发'!C7,'数据-汇总表'!$E19:$E33)</f>
        <v>74623.399999999994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472</v>
      </c>
      <c r="C10" s="3028">
        <f>'不动产比较法（高层住宅）'!B2</f>
        <v>79847</v>
      </c>
      <c r="D10" s="3028"/>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468</v>
      </c>
      <c r="B12" s="2812" t="s">
        <v>469</v>
      </c>
      <c r="C12" s="2841" t="s">
        <v>473</v>
      </c>
      <c r="D12" s="2808" t="s">
        <v>474</v>
      </c>
      <c r="E12" s="2808" t="s">
        <v>475</v>
      </c>
      <c r="F12" s="2808" t="s">
        <v>476</v>
      </c>
      <c r="G12" s="2812"/>
      <c r="H12" s="2813"/>
      <c r="I12" s="2813"/>
      <c r="J12" s="2813"/>
      <c r="K12" s="2814"/>
    </row>
    <row r="13" spans="1:31" s="2116" customFormat="1" ht="13.5" customHeight="1">
      <c r="A13" s="2842" t="s">
        <v>1847</v>
      </c>
      <c r="B13" s="2843" t="s">
        <v>477</v>
      </c>
      <c r="C13" s="449">
        <f ca="1">IF(B1="",'数据-取费表'!P16,INDIRECT("'数据-取费表'!p"&amp;$K$1)+INDIRECT("'数据-取费表'!t"&amp;$K$1))</f>
        <v>20994</v>
      </c>
      <c r="D13" s="2844"/>
      <c r="E13" s="2845"/>
      <c r="F13" s="2846"/>
      <c r="G13" s="2812"/>
      <c r="H13" s="2813"/>
      <c r="I13" s="2813"/>
      <c r="J13" s="2813"/>
      <c r="K13" s="2814"/>
    </row>
    <row r="14" spans="1:31" s="2116" customFormat="1" ht="13.5" customHeight="1">
      <c r="A14" s="2842" t="s">
        <v>1848</v>
      </c>
      <c r="B14" s="2843" t="s">
        <v>478</v>
      </c>
      <c r="C14" s="52">
        <f ca="1">ROUND(C13*F14,0)</f>
        <v>630</v>
      </c>
      <c r="D14" s="2844"/>
      <c r="E14" s="2845"/>
      <c r="F14" s="2847">
        <f>'数据-取费表'!B33</f>
        <v>0.03</v>
      </c>
      <c r="G14" s="2812" t="s">
        <v>479</v>
      </c>
      <c r="H14" s="2813"/>
      <c r="I14" s="2813"/>
      <c r="J14" s="2813"/>
      <c r="K14" s="2814"/>
    </row>
    <row r="15" spans="1:31" s="2116" customFormat="1" ht="13.5" customHeight="1">
      <c r="A15" s="2842" t="s">
        <v>1849</v>
      </c>
      <c r="B15" s="2843" t="s">
        <v>480</v>
      </c>
      <c r="C15" s="52">
        <f ca="1">ROUND(IF(B1="",SUMIF('数据-取费表'!C:C,"住宅",'数据-取费表'!P:P)*F15,IF(INDIRECT("'数据-取费表'!c"&amp;$K$1)="住宅",INDIRECT("'数据-取费表'!P"&amp;$K$1)*F15,0)),0)</f>
        <v>672</v>
      </c>
      <c r="D15" s="2844"/>
      <c r="E15" s="2845"/>
      <c r="F15" s="2847">
        <f>'数据-取费表'!B34</f>
        <v>0.05</v>
      </c>
      <c r="G15" s="2812" t="s">
        <v>481</v>
      </c>
      <c r="H15" s="2813"/>
      <c r="I15" s="2813"/>
      <c r="J15" s="2813"/>
      <c r="K15" s="2814"/>
    </row>
    <row r="16" spans="1:31" s="2117" customFormat="1" ht="13.5" customHeight="1">
      <c r="A16" s="2842" t="s">
        <v>1850</v>
      </c>
      <c r="B16" s="2843" t="s">
        <v>482</v>
      </c>
      <c r="C16" s="52">
        <f ca="1">ROUND(D16*E16/10000,0)</f>
        <v>2333</v>
      </c>
      <c r="D16" s="2844">
        <f ca="1">IF(B1="",'数据-汇总表'!E3,INDIRECT("'数据-取费表'!K"&amp;$K$1)+INDIRECT("'数据-取费表'!S"&amp;$K$1))</f>
        <v>116636.4</v>
      </c>
      <c r="E16" s="52">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483</v>
      </c>
      <c r="C17" s="2848">
        <f ca="1">ROUND(C13*F17,0)</f>
        <v>315</v>
      </c>
      <c r="D17" s="474"/>
      <c r="E17" s="2848"/>
      <c r="F17" s="2849">
        <f>'数据-取费表'!B36</f>
        <v>1.4999999999999999E-2</v>
      </c>
      <c r="G17" s="260" t="s">
        <v>484</v>
      </c>
      <c r="H17" s="2815"/>
      <c r="I17" s="2815"/>
      <c r="J17" s="2815"/>
      <c r="K17" s="278"/>
    </row>
    <row r="18" spans="1:14" s="2116" customFormat="1" ht="13.5" customHeight="1">
      <c r="A18" s="2850" t="s">
        <v>1852</v>
      </c>
      <c r="B18" s="2851" t="s">
        <v>485</v>
      </c>
      <c r="C18" s="2852">
        <f ca="1">SUM(C13:C17)</f>
        <v>24944</v>
      </c>
      <c r="D18" s="2853"/>
      <c r="E18" s="467"/>
      <c r="F18" s="467"/>
      <c r="G18" s="2816" t="s">
        <v>2431</v>
      </c>
      <c r="H18" s="2817"/>
      <c r="I18" s="2817"/>
      <c r="J18" s="2817"/>
      <c r="K18" s="2818"/>
    </row>
    <row r="19" spans="1:14" s="2116" customFormat="1" ht="13.5" customHeight="1">
      <c r="A19" s="2850" t="s">
        <v>1853</v>
      </c>
      <c r="B19" s="2851" t="s">
        <v>486</v>
      </c>
      <c r="C19" s="2808">
        <f ca="1">ROUND(D19*E19/10000,0)</f>
        <v>583</v>
      </c>
      <c r="D19" s="2854">
        <f ca="1">D16</f>
        <v>116636.4</v>
      </c>
      <c r="E19" s="2808">
        <f>'数据-取费表'!B32</f>
        <v>50</v>
      </c>
      <c r="F19" s="467"/>
      <c r="G19" s="2812" t="s">
        <v>487</v>
      </c>
      <c r="H19" s="2813"/>
      <c r="I19" s="2817"/>
      <c r="J19" s="2817"/>
      <c r="K19" s="2818"/>
    </row>
    <row r="20" spans="1:14" s="2116" customFormat="1" ht="13.5" customHeight="1">
      <c r="A20" s="2850" t="s">
        <v>1854</v>
      </c>
      <c r="B20" s="2851" t="s">
        <v>488</v>
      </c>
      <c r="C20" s="2808">
        <f ca="1">C21+C22-IF(B1="",'数据-取费表'!B29,IF(G20="已全部缴纳",C21+C22,H20))</f>
        <v>1074</v>
      </c>
      <c r="D20" s="2854"/>
      <c r="E20" s="2808"/>
      <c r="F20" s="2855"/>
      <c r="G20" s="3086"/>
      <c r="H20" s="2810"/>
      <c r="I20" s="2811" t="s">
        <v>2652</v>
      </c>
      <c r="J20" s="2817"/>
      <c r="K20" s="2818"/>
    </row>
    <row r="21" spans="1:14" s="2116" customFormat="1" ht="13.5" customHeight="1">
      <c r="A21" s="2842" t="s">
        <v>1855</v>
      </c>
      <c r="B21" s="2843" t="s">
        <v>489</v>
      </c>
      <c r="C21" s="52">
        <f ca="1">ROUND(D21*E21/10000,0)</f>
        <v>687</v>
      </c>
      <c r="D21" s="2844">
        <f ca="1">IF(B1="",'数据-汇总表'!E5,IF(INDIRECT("'数据-取费表'!c"&amp;$K$1)="住宅",INDIRECT("'数据-取费表'!k"&amp;$K$1),0))</f>
        <v>74623.399999999994</v>
      </c>
      <c r="E21" s="52">
        <f>'数据-取费表'!B27</f>
        <v>92</v>
      </c>
      <c r="F21" s="2847"/>
      <c r="G21" s="25"/>
      <c r="H21" s="50"/>
      <c r="I21" s="50"/>
      <c r="J21" s="50"/>
      <c r="K21" s="2819"/>
    </row>
    <row r="22" spans="1:14" s="2116" customFormat="1" ht="13.5" customHeight="1">
      <c r="A22" s="2842" t="s">
        <v>1856</v>
      </c>
      <c r="B22" s="2843" t="s">
        <v>490</v>
      </c>
      <c r="C22" s="52">
        <f ca="1">ROUND(D22*E22/10000,0)</f>
        <v>387</v>
      </c>
      <c r="D22" s="2844">
        <f ca="1">IF(B1="",'数据-汇总表'!E6,IF(INDIRECT("'数据-取费表'!c"&amp;$K$1)="住宅",INDIRECT("'数据-取费表'!s"&amp;$K$1),INDIRECT("'数据-取费表'!k"&amp;$K$1)+INDIRECT("'数据-取费表'!s"&amp;$K$1)))</f>
        <v>42013</v>
      </c>
      <c r="E22" s="52">
        <f>'数据-取费表'!B28</f>
        <v>92</v>
      </c>
      <c r="F22" s="2847"/>
      <c r="G22" s="25"/>
      <c r="H22" s="50"/>
      <c r="I22" s="50"/>
      <c r="J22" s="50"/>
      <c r="K22" s="2819"/>
    </row>
    <row r="23" spans="1:14" s="2116" customFormat="1" ht="13.5" customHeight="1">
      <c r="A23" s="2850" t="s">
        <v>1857</v>
      </c>
      <c r="B23" s="3034" t="s">
        <v>2835</v>
      </c>
      <c r="C23" s="2852">
        <f ca="1">ROUND((C18+C19+C20)*F23,0)</f>
        <v>532</v>
      </c>
      <c r="D23" s="467"/>
      <c r="E23" s="467"/>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ROUND(C6*F24,0)</f>
        <v>1198</v>
      </c>
      <c r="D24" s="474"/>
      <c r="E24" s="472"/>
      <c r="F24" s="2856">
        <f>'数据-取费表'!B38</f>
        <v>1.4999999999999999E-2</v>
      </c>
      <c r="G24" s="2821" t="s">
        <v>497</v>
      </c>
      <c r="H24" s="2815"/>
      <c r="I24" s="2815"/>
      <c r="J24" s="2815"/>
      <c r="K24" s="278"/>
      <c r="L24" s="2118"/>
      <c r="M24" s="2118"/>
      <c r="N24" s="2118"/>
    </row>
    <row r="25" spans="1:14" s="2119" customFormat="1" ht="13.5" customHeight="1">
      <c r="A25" s="2850" t="s">
        <v>1859</v>
      </c>
      <c r="B25" s="3034" t="s">
        <v>2836</v>
      </c>
      <c r="C25" s="466">
        <f>ROUND(F25/(1+'数据-取费表'!C42),4)</f>
        <v>2.9000000000000001E-2</v>
      </c>
      <c r="D25" s="461" t="s">
        <v>2830</v>
      </c>
      <c r="E25" s="468"/>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1346</v>
      </c>
      <c r="D26" s="466">
        <f ca="1">C27</f>
        <v>0.10009999999999999</v>
      </c>
      <c r="E26" s="468" t="s">
        <v>493</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1855</v>
      </c>
      <c r="B27" s="2858" t="s">
        <v>494</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1856</v>
      </c>
      <c r="B28" s="2858" t="s">
        <v>2839</v>
      </c>
      <c r="C28" s="2860">
        <f ca="1">ROUND(IF('数据-取费表'!B22&lt;=1,(C18+C19+C20+C23+C24)*F26*'数据-取费表'!B24/2,(C18+C19+C20+C23+C24)*(POWER((1+F26),'数据-取费表'!B24/2)-1)),0)</f>
        <v>1346</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1861</v>
      </c>
      <c r="B29" s="2851" t="s">
        <v>495</v>
      </c>
      <c r="C29" s="2852">
        <f>ROUND(C6*F29/(1+'数据-取费表'!C42),0)</f>
        <v>4259</v>
      </c>
      <c r="D29" s="467"/>
      <c r="E29" s="467"/>
      <c r="F29" s="3036">
        <f>'数据-取费表'!B41</f>
        <v>5.6000000000000001E-2</v>
      </c>
      <c r="G29" s="2821" t="s">
        <v>496</v>
      </c>
      <c r="H29" s="2813"/>
      <c r="I29" s="2813"/>
      <c r="J29" s="2813"/>
      <c r="K29" s="2814"/>
    </row>
    <row r="30" spans="1:14" s="2121" customFormat="1" ht="13.5" customHeight="1">
      <c r="A30" s="1634" t="s">
        <v>1862</v>
      </c>
      <c r="B30" s="2862" t="s">
        <v>498</v>
      </c>
      <c r="C30" s="2857">
        <f ca="1">C31</f>
        <v>33936</v>
      </c>
      <c r="D30" s="476">
        <f ca="1">C32</f>
        <v>0.12909999999999999</v>
      </c>
      <c r="E30" s="468" t="s">
        <v>493</v>
      </c>
      <c r="F30" s="470"/>
      <c r="G30" s="2820" t="s">
        <v>2973</v>
      </c>
      <c r="H30" s="2813"/>
      <c r="I30" s="2813"/>
      <c r="J30" s="2813"/>
      <c r="K30" s="2814"/>
    </row>
    <row r="31" spans="1:14" s="2120" customFormat="1" ht="13.5" customHeight="1">
      <c r="A31" s="802" t="s">
        <v>1855</v>
      </c>
      <c r="B31" s="2858"/>
      <c r="C31" s="449">
        <f ca="1">C18+C19+C20+C23+C24+C26+C29</f>
        <v>33936</v>
      </c>
      <c r="D31" s="471"/>
      <c r="E31" s="472"/>
      <c r="F31" s="473"/>
      <c r="G31" s="260"/>
      <c r="H31" s="2815"/>
      <c r="I31" s="2815"/>
      <c r="J31" s="2815"/>
      <c r="K31" s="278"/>
    </row>
    <row r="32" spans="1:14" s="2120" customFormat="1" ht="13.5" customHeight="1">
      <c r="A32" s="802" t="s">
        <v>1856</v>
      </c>
      <c r="B32" s="2858"/>
      <c r="C32" s="52">
        <f ca="1">ROUND(C25+D26,4)</f>
        <v>0.12909999999999999</v>
      </c>
      <c r="D32" s="471"/>
      <c r="E32" s="472"/>
      <c r="F32" s="473"/>
      <c r="G32" s="260"/>
      <c r="H32" s="2815"/>
      <c r="I32" s="2815"/>
      <c r="J32" s="2815"/>
      <c r="K32" s="278"/>
    </row>
    <row r="33" spans="1:11" s="2122" customFormat="1" ht="13.5" customHeight="1">
      <c r="A33" s="3033" t="s">
        <v>2834</v>
      </c>
      <c r="B33" s="3031" t="s">
        <v>2832</v>
      </c>
      <c r="C33" s="477">
        <f ca="1">C35</f>
        <v>2833</v>
      </c>
      <c r="D33" s="466">
        <f ca="1">C34</f>
        <v>0.10290000000000001</v>
      </c>
      <c r="E33" s="468" t="s">
        <v>493</v>
      </c>
      <c r="F33" s="478">
        <f ca="1">IF(B1="",'数据-取费表'!Q16,INDIRECT("'数据-取费表'!q"&amp;$K$1))</f>
        <v>0.1</v>
      </c>
      <c r="G33" s="2816"/>
      <c r="H33" s="2817"/>
      <c r="I33" s="2817"/>
      <c r="J33" s="2817"/>
      <c r="K33" s="2818"/>
    </row>
    <row r="34" spans="1:11" s="2123" customFormat="1" ht="13.5" customHeight="1">
      <c r="A34" s="374" t="s">
        <v>1855</v>
      </c>
      <c r="B34" s="2863" t="s">
        <v>499</v>
      </c>
      <c r="C34" s="471">
        <f ca="1">ROUND((1+C25)*F33,4)</f>
        <v>0.10290000000000001</v>
      </c>
      <c r="D34" s="471"/>
      <c r="E34" s="472"/>
      <c r="F34" s="479"/>
      <c r="G34" s="260" t="s">
        <v>2291</v>
      </c>
      <c r="H34" s="2815"/>
      <c r="I34" s="2815"/>
      <c r="J34" s="2815"/>
      <c r="K34" s="278"/>
    </row>
    <row r="35" spans="1:11" s="2123" customFormat="1" ht="13.5" customHeight="1" thickBot="1">
      <c r="A35" s="1635" t="s">
        <v>1856</v>
      </c>
      <c r="B35" s="3032" t="s">
        <v>2840</v>
      </c>
      <c r="C35" s="1627">
        <f ca="1">ROUND((C18+C19+C20+C23+C24)*F33,0)</f>
        <v>2833</v>
      </c>
      <c r="D35" s="1628"/>
      <c r="E35" s="2864"/>
      <c r="F35" s="1629"/>
      <c r="G35" s="2822"/>
      <c r="H35" s="2823"/>
      <c r="I35" s="2823"/>
      <c r="J35" s="2823"/>
      <c r="K35" s="2824"/>
    </row>
    <row r="36" spans="1:11" s="2085" customFormat="1" ht="13.5" customHeight="1" thickBot="1">
      <c r="A36" s="283" t="s">
        <v>1843</v>
      </c>
      <c r="B36" s="2826"/>
      <c r="C36" s="2865">
        <f ca="1">ROUND((C6-C30-C33)/(1+D30+D33),0)</f>
        <v>34966</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464</v>
      </c>
      <c r="B1" s="2809"/>
      <c r="C1" s="2104"/>
      <c r="D1" s="2104"/>
      <c r="E1" s="2104"/>
      <c r="F1" s="2104"/>
      <c r="G1" s="2104"/>
      <c r="H1" s="2104"/>
      <c r="I1" s="2104"/>
      <c r="J1" s="2104"/>
      <c r="K1" s="421">
        <f>MATCH(B1,'数据-取费表'!A6:A16,0)+5</f>
        <v>7</v>
      </c>
    </row>
    <row r="2" spans="1:41" s="2041" customFormat="1" ht="18" customHeight="1">
      <c r="A2" s="422" t="s">
        <v>465</v>
      </c>
      <c r="B2" s="423">
        <f ca="1">C32</f>
        <v>0</v>
      </c>
      <c r="C2" s="2104"/>
      <c r="D2" s="2104"/>
      <c r="E2" s="2104"/>
      <c r="F2" s="2104"/>
      <c r="G2" s="2104"/>
      <c r="H2" s="2104"/>
      <c r="I2" s="2104"/>
      <c r="J2" s="2104"/>
      <c r="K2" s="2104"/>
    </row>
    <row r="3" spans="1:41" s="2041" customFormat="1" ht="18" customHeight="1">
      <c r="A3" s="1378" t="s">
        <v>1683</v>
      </c>
      <c r="B3" s="424">
        <f ca="1">ROUND(B2*10000/IF(B1="",'数据-汇总表'!E3,INDIRECT("'数据-取费表'!K"&amp;$K$1)),0)</f>
        <v>0</v>
      </c>
      <c r="C3" s="2104"/>
      <c r="D3" s="2104"/>
      <c r="E3" s="2104"/>
      <c r="F3" s="2104"/>
      <c r="G3" s="2104"/>
      <c r="H3" s="2104"/>
      <c r="I3" s="2104"/>
      <c r="J3" s="2104"/>
      <c r="K3" s="2104"/>
    </row>
    <row r="4" spans="1:41" s="2041" customFormat="1" ht="18" customHeight="1">
      <c r="A4" s="425" t="s">
        <v>466</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467</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468</v>
      </c>
      <c r="B7" s="434" t="s">
        <v>469</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7" t="s">
        <v>470</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472</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3" t="s">
        <v>468</v>
      </c>
      <c r="B12" s="443" t="s">
        <v>469</v>
      </c>
      <c r="C12" s="444" t="s">
        <v>473</v>
      </c>
      <c r="D12" s="445" t="s">
        <v>474</v>
      </c>
      <c r="E12" s="445" t="s">
        <v>475</v>
      </c>
      <c r="F12" s="445" t="s">
        <v>476</v>
      </c>
      <c r="G12" s="443"/>
      <c r="H12" s="446"/>
      <c r="I12" s="446"/>
      <c r="J12" s="446"/>
      <c r="K12" s="447"/>
    </row>
    <row r="13" spans="1:41" s="2116" customFormat="1" ht="13.5" customHeight="1">
      <c r="A13" s="1632" t="s">
        <v>1847</v>
      </c>
      <c r="B13" s="448" t="s">
        <v>477</v>
      </c>
      <c r="C13" s="449">
        <f ca="1">IF(B1="",'数据-取费表'!M16,INDIRECT("'数据-取费表'!M"&amp;$K$1)+INDIRECT("'数据-取费表'!t"&amp;$K$1))</f>
        <v>20994</v>
      </c>
      <c r="D13" s="450"/>
      <c r="E13" s="364"/>
      <c r="F13" s="451"/>
      <c r="G13" s="443"/>
      <c r="H13" s="446"/>
      <c r="I13" s="446"/>
      <c r="J13" s="446"/>
      <c r="K13" s="447"/>
    </row>
    <row r="14" spans="1:41" s="2116" customFormat="1" ht="13.5" customHeight="1">
      <c r="A14" s="1632" t="s">
        <v>1848</v>
      </c>
      <c r="B14" s="448" t="s">
        <v>478</v>
      </c>
      <c r="C14" s="52">
        <f ca="1">ROUND(C13*F14,0)</f>
        <v>630</v>
      </c>
      <c r="D14" s="450"/>
      <c r="E14" s="364"/>
      <c r="F14" s="452">
        <f>'数据-取费表'!B33</f>
        <v>0.03</v>
      </c>
      <c r="G14" s="443" t="s">
        <v>500</v>
      </c>
      <c r="H14" s="446"/>
      <c r="I14" s="446"/>
      <c r="J14" s="446"/>
      <c r="K14" s="447"/>
    </row>
    <row r="15" spans="1:41" s="2116" customFormat="1" ht="13.5" customHeight="1">
      <c r="A15" s="1632" t="s">
        <v>1849</v>
      </c>
      <c r="B15" s="448" t="s">
        <v>480</v>
      </c>
      <c r="C15" s="52">
        <f ca="1">ROUND(IF(B1="",SUMIF('数据-取费表'!C:C,"住宅",'数据-取费表'!M:M)*F15,IF(INDIRECT("'数据-取费表'!c"&amp;$K$1)="住宅",INDIRECT("'数据-取费表'!M"&amp;$K$1)*F15,0)),0)</f>
        <v>672</v>
      </c>
      <c r="D15" s="450"/>
      <c r="E15" s="364"/>
      <c r="F15" s="452">
        <f>'数据-取费表'!B34</f>
        <v>0.05</v>
      </c>
      <c r="G15" s="443" t="s">
        <v>500</v>
      </c>
      <c r="H15" s="446"/>
      <c r="I15" s="446"/>
      <c r="J15" s="446"/>
      <c r="K15" s="447"/>
    </row>
    <row r="16" spans="1:41" s="2117" customFormat="1" ht="13.5" customHeight="1">
      <c r="A16" s="1632" t="s">
        <v>1850</v>
      </c>
      <c r="B16" s="448" t="s">
        <v>482</v>
      </c>
      <c r="C16" s="52">
        <f ca="1">ROUND(D16*E16/10000,0)</f>
        <v>2353</v>
      </c>
      <c r="D16" s="450">
        <f ca="1">IF(B1="",'数据-汇总表'!E3,INDIRECT("'数据-取费表'!K"&amp;$K$1)+INDIRECT("'数据-取费表'!S"&amp;$K$1))</f>
        <v>117636.4</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8" t="s">
        <v>483</v>
      </c>
      <c r="C17" s="453">
        <f ca="1">ROUND(C13*F17,0)</f>
        <v>315</v>
      </c>
      <c r="D17" s="454"/>
      <c r="E17" s="453"/>
      <c r="F17" s="455">
        <f>'数据-取费表'!B36</f>
        <v>1.4999999999999999E-2</v>
      </c>
      <c r="G17" s="443" t="s">
        <v>500</v>
      </c>
      <c r="H17" s="456"/>
      <c r="I17" s="456"/>
      <c r="J17" s="456"/>
      <c r="K17" s="457"/>
    </row>
    <row r="18" spans="1:14" s="2119" customFormat="1" ht="13.5" customHeight="1">
      <c r="A18" s="1633" t="s">
        <v>1852</v>
      </c>
      <c r="B18" s="458" t="s">
        <v>485</v>
      </c>
      <c r="C18" s="459">
        <f ca="1">SUM(C13:C17)</f>
        <v>24964</v>
      </c>
      <c r="D18" s="460"/>
      <c r="E18" s="461"/>
      <c r="F18" s="461"/>
      <c r="G18" s="1325" t="s">
        <v>2433</v>
      </c>
      <c r="H18" s="446"/>
      <c r="I18" s="446"/>
      <c r="J18" s="446"/>
      <c r="K18" s="447"/>
    </row>
    <row r="19" spans="1:14" s="2119" customFormat="1" ht="13.5" customHeight="1">
      <c r="A19" s="1633" t="s">
        <v>1853</v>
      </c>
      <c r="B19" s="458" t="s">
        <v>491</v>
      </c>
      <c r="C19" s="459">
        <f ca="1">ROUND(C18*F19,0)</f>
        <v>499</v>
      </c>
      <c r="D19" s="461"/>
      <c r="E19" s="461"/>
      <c r="F19" s="465">
        <f>'数据-取费表'!B37</f>
        <v>0.02</v>
      </c>
      <c r="G19" s="443" t="s">
        <v>501</v>
      </c>
      <c r="H19" s="446"/>
      <c r="I19" s="446"/>
      <c r="J19" s="446"/>
      <c r="K19" s="447"/>
      <c r="L19" s="2121"/>
      <c r="M19" s="2121"/>
      <c r="N19" s="2121"/>
    </row>
    <row r="20" spans="1:14" s="2119" customFormat="1" ht="13.5" customHeight="1">
      <c r="A20" s="1633" t="s">
        <v>1854</v>
      </c>
      <c r="B20" s="458" t="s">
        <v>502</v>
      </c>
      <c r="C20" s="3029">
        <f>F20</f>
        <v>1.4999999999999999E-2</v>
      </c>
      <c r="D20" s="468" t="s">
        <v>503</v>
      </c>
      <c r="E20" s="468"/>
      <c r="F20" s="485">
        <f>'数据-取费表'!B38</f>
        <v>1.4999999999999999E-2</v>
      </c>
      <c r="G20" s="1325" t="s">
        <v>504</v>
      </c>
      <c r="H20" s="446"/>
      <c r="I20" s="446"/>
      <c r="J20" s="446"/>
      <c r="K20" s="447"/>
      <c r="L20" s="2121"/>
      <c r="M20" s="2121"/>
      <c r="N20" s="2121"/>
    </row>
    <row r="21" spans="1:14" s="2121" customFormat="1" ht="13.5" customHeight="1">
      <c r="A21" s="1633" t="s">
        <v>1857</v>
      </c>
      <c r="B21" s="460" t="s">
        <v>492</v>
      </c>
      <c r="C21" s="469">
        <f ca="1">C22</f>
        <v>1209</v>
      </c>
      <c r="D21" s="466">
        <f ca="1">C23</f>
        <v>6.9999999999999999E-4</v>
      </c>
      <c r="E21" s="468" t="s">
        <v>505</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1847</v>
      </c>
      <c r="B22" s="1326" t="s">
        <v>2436</v>
      </c>
      <c r="C22" s="486">
        <f ca="1">ROUND(IF('数据-取费表'!B22&lt;=1,(C18+C19)*F21*'数据-取费表'!B20/2,(C18+C19)*(POWER((1+F21),'数据-取费表'!B20/2)-1)),0)</f>
        <v>1209</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1848</v>
      </c>
      <c r="B23" s="1326" t="s">
        <v>506</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1858</v>
      </c>
      <c r="B24" s="3031" t="s">
        <v>2833</v>
      </c>
      <c r="C24" s="477">
        <f ca="1">C25</f>
        <v>2546</v>
      </c>
      <c r="D24" s="488">
        <f ca="1">C26</f>
        <v>1.5E-3</v>
      </c>
      <c r="E24" s="468" t="s">
        <v>505</v>
      </c>
      <c r="F24" s="478">
        <f ca="1">IF(B1="",'数据-取费表'!Q16,INDIRECT("'数据-取费表'!q"&amp;$K$1))</f>
        <v>0.1</v>
      </c>
      <c r="G24" s="443"/>
      <c r="H24" s="446"/>
      <c r="I24" s="446"/>
      <c r="J24" s="446"/>
      <c r="K24" s="447"/>
    </row>
    <row r="25" spans="1:14" s="2120" customFormat="1" ht="13.5" customHeight="1">
      <c r="A25" s="1632" t="s">
        <v>1847</v>
      </c>
      <c r="B25" s="1326" t="s">
        <v>2437</v>
      </c>
      <c r="C25" s="489">
        <f ca="1">ROUND((C18+C19)*F24,0)</f>
        <v>2546</v>
      </c>
      <c r="D25" s="471"/>
      <c r="E25" s="472"/>
      <c r="F25" s="479"/>
      <c r="G25" s="1324" t="s">
        <v>2434</v>
      </c>
      <c r="H25" s="456"/>
      <c r="I25" s="456"/>
      <c r="J25" s="456"/>
      <c r="K25" s="457"/>
    </row>
    <row r="26" spans="1:14" s="2120" customFormat="1" ht="13.5" customHeight="1">
      <c r="A26" s="1632" t="s">
        <v>1848</v>
      </c>
      <c r="B26" s="1326" t="s">
        <v>507</v>
      </c>
      <c r="C26" s="490">
        <f ca="1">ROUND(F20*F24,4)</f>
        <v>1.5E-3</v>
      </c>
      <c r="D26" s="471"/>
      <c r="E26" s="480"/>
      <c r="F26" s="479"/>
      <c r="G26" s="1324" t="s">
        <v>508</v>
      </c>
      <c r="H26" s="456"/>
      <c r="I26" s="456"/>
      <c r="J26" s="456"/>
      <c r="K26" s="457"/>
    </row>
    <row r="27" spans="1:14" s="2120" customFormat="1" ht="13.5" customHeight="1">
      <c r="A27" s="1636" t="s">
        <v>1866</v>
      </c>
      <c r="B27" s="458" t="s">
        <v>509</v>
      </c>
      <c r="C27" s="3030">
        <f>ROUND(F27/(1+'数据-取费表'!C42),4)</f>
        <v>5.33E-2</v>
      </c>
      <c r="D27" s="461" t="s">
        <v>2831</v>
      </c>
      <c r="E27" s="461"/>
      <c r="F27" s="465">
        <f>'数据-取费表'!B41</f>
        <v>5.6000000000000001E-2</v>
      </c>
      <c r="G27" s="1960" t="s">
        <v>2292</v>
      </c>
      <c r="H27" s="446"/>
      <c r="I27" s="446"/>
      <c r="J27" s="446"/>
      <c r="K27" s="447"/>
    </row>
    <row r="28" spans="1:14" s="2121" customFormat="1" ht="13.5" customHeight="1">
      <c r="A28" s="1636" t="s">
        <v>1867</v>
      </c>
      <c r="B28" s="475" t="s">
        <v>510</v>
      </c>
      <c r="C28" s="469">
        <f ca="1">ROUND((C18+C19+C21+C24)/(1-C20-D21-D24-C27),0)</f>
        <v>31434</v>
      </c>
      <c r="D28" s="476"/>
      <c r="E28" s="468"/>
      <c r="F28" s="470"/>
      <c r="G28" s="1325" t="s">
        <v>2435</v>
      </c>
      <c r="H28" s="446"/>
      <c r="I28" s="446"/>
      <c r="J28" s="446"/>
      <c r="K28" s="447"/>
    </row>
    <row r="29" spans="1:14" s="2121" customFormat="1" ht="13.5" customHeight="1">
      <c r="A29" s="1636" t="s">
        <v>1868</v>
      </c>
      <c r="B29" s="475" t="s">
        <v>511</v>
      </c>
      <c r="C29" s="491">
        <f ca="1">IF(B1="",'数据-取费表'!N16,INDIRECT("'数据-取费表'!N"&amp;$K$1))</f>
        <v>0</v>
      </c>
      <c r="D29" s="492"/>
      <c r="E29" s="493"/>
      <c r="F29" s="494"/>
      <c r="G29" s="443"/>
      <c r="H29" s="446"/>
      <c r="I29" s="446"/>
      <c r="J29" s="446"/>
      <c r="K29" s="447"/>
    </row>
    <row r="30" spans="1:14" s="2121" customFormat="1" ht="13.5" customHeight="1">
      <c r="A30" s="442">
        <v>2</v>
      </c>
      <c r="B30" s="475" t="s">
        <v>512</v>
      </c>
      <c r="C30" s="496">
        <f ca="1">ROUND(C28*C29,0)</f>
        <v>0</v>
      </c>
      <c r="D30" s="492"/>
      <c r="E30" s="497"/>
      <c r="F30" s="498"/>
      <c r="G30" s="1327" t="s">
        <v>513</v>
      </c>
      <c r="H30" s="495"/>
      <c r="I30" s="495"/>
      <c r="J30" s="446"/>
      <c r="K30" s="447"/>
    </row>
    <row r="31" spans="1:14" s="2126" customFormat="1" ht="13.5" customHeight="1">
      <c r="A31" s="2482" t="s">
        <v>1864</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83"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514</v>
      </c>
      <c r="B1" s="502"/>
      <c r="C1" s="503" t="s">
        <v>595</v>
      </c>
      <c r="D1" s="504" t="s">
        <v>516</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465</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1684</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518</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519</v>
      </c>
      <c r="B6" s="512"/>
      <c r="C6" s="3381" t="s">
        <v>520</v>
      </c>
      <c r="D6" s="3382"/>
      <c r="E6" s="3405" t="s">
        <v>521</v>
      </c>
      <c r="F6" s="3406"/>
      <c r="G6" s="3381" t="s">
        <v>522</v>
      </c>
      <c r="H6" s="3382"/>
      <c r="I6" s="3381" t="s">
        <v>523</v>
      </c>
      <c r="J6" s="3382"/>
      <c r="K6" s="513" t="s">
        <v>524</v>
      </c>
      <c r="L6" s="2133"/>
      <c r="M6" s="2134"/>
      <c r="N6" s="2134"/>
      <c r="O6" s="2134"/>
      <c r="P6" s="3383" t="s">
        <v>525</v>
      </c>
      <c r="Q6" s="3384"/>
      <c r="R6" s="3369" t="s">
        <v>521</v>
      </c>
      <c r="S6" s="3370"/>
      <c r="T6" s="3369" t="s">
        <v>522</v>
      </c>
      <c r="U6" s="3370"/>
      <c r="V6" s="3389" t="s">
        <v>523</v>
      </c>
      <c r="W6" s="3389"/>
      <c r="X6" s="1566"/>
      <c r="Y6" s="3369" t="s">
        <v>525</v>
      </c>
      <c r="Z6" s="3370"/>
      <c r="AA6" s="3364" t="s">
        <v>521</v>
      </c>
      <c r="AB6" s="3365" t="s">
        <v>522</v>
      </c>
      <c r="AC6" s="3364" t="s">
        <v>523</v>
      </c>
    </row>
    <row r="7" spans="1:29" ht="15">
      <c r="A7" s="514"/>
      <c r="B7" s="515"/>
      <c r="C7" s="3392" t="s">
        <v>2928</v>
      </c>
      <c r="D7" s="3393"/>
      <c r="E7" s="3407" t="s">
        <v>2929</v>
      </c>
      <c r="F7" s="3408"/>
      <c r="G7" s="3392" t="s">
        <v>2930</v>
      </c>
      <c r="H7" s="3393"/>
      <c r="I7" s="3392" t="s">
        <v>2931</v>
      </c>
      <c r="J7" s="3393"/>
      <c r="K7" s="513"/>
      <c r="L7" s="2133"/>
      <c r="M7" s="2134"/>
      <c r="N7" s="2134"/>
      <c r="O7" s="2134"/>
      <c r="P7" s="3385"/>
      <c r="Q7" s="3386"/>
      <c r="R7" s="3371"/>
      <c r="S7" s="3372"/>
      <c r="T7" s="3371"/>
      <c r="U7" s="3372"/>
      <c r="V7" s="3389"/>
      <c r="W7" s="3389"/>
      <c r="X7" s="1566"/>
      <c r="Y7" s="3371"/>
      <c r="Z7" s="3372"/>
      <c r="AA7" s="3365"/>
      <c r="AB7" s="3365"/>
      <c r="AC7" s="3365"/>
    </row>
    <row r="8" spans="1:29" ht="15.75" thickBot="1">
      <c r="A8" s="516"/>
      <c r="B8" s="517"/>
      <c r="C8" s="3390" t="s">
        <v>2932</v>
      </c>
      <c r="D8" s="3391"/>
      <c r="E8" s="3409" t="s">
        <v>2932</v>
      </c>
      <c r="F8" s="3410"/>
      <c r="G8" s="3390" t="s">
        <v>2932</v>
      </c>
      <c r="H8" s="3391"/>
      <c r="I8" s="3390" t="s">
        <v>2932</v>
      </c>
      <c r="J8" s="3391"/>
      <c r="K8" s="513" t="s">
        <v>526</v>
      </c>
      <c r="L8" s="2133"/>
      <c r="M8" s="2134"/>
      <c r="N8" s="2134"/>
      <c r="O8" s="2134"/>
      <c r="P8" s="3387"/>
      <c r="Q8" s="3388"/>
      <c r="R8" s="3371"/>
      <c r="S8" s="3372"/>
      <c r="T8" s="3373"/>
      <c r="U8" s="3374"/>
      <c r="V8" s="3389"/>
      <c r="W8" s="3389"/>
      <c r="X8" s="1566"/>
      <c r="Y8" s="3373"/>
      <c r="Z8" s="3374"/>
      <c r="AA8" s="3366"/>
      <c r="AB8" s="3366"/>
      <c r="AC8" s="3366"/>
    </row>
    <row r="9" spans="1:29" s="1218" customFormat="1" ht="15.75" thickBot="1">
      <c r="A9" s="2911"/>
      <c r="B9" s="2918" t="s">
        <v>527</v>
      </c>
      <c r="C9" s="518">
        <f>'数据-取费表'!B2</f>
        <v>43276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67" t="s">
        <v>528</v>
      </c>
      <c r="Q9" s="3376"/>
      <c r="R9" s="1567" t="s">
        <v>8</v>
      </c>
      <c r="S9" s="1568">
        <f t="shared" ref="S9:S17" si="0">F9</f>
        <v>0</v>
      </c>
      <c r="T9" s="1567" t="s">
        <v>8</v>
      </c>
      <c r="U9" s="1568">
        <f t="shared" ref="U9:U17" si="1">H9</f>
        <v>0</v>
      </c>
      <c r="V9" s="1567" t="s">
        <v>8</v>
      </c>
      <c r="W9" s="1568">
        <f t="shared" ref="W9:W17" si="2">J9</f>
        <v>0</v>
      </c>
      <c r="X9" s="1569"/>
      <c r="Y9" s="3367" t="s">
        <v>528</v>
      </c>
      <c r="Z9" s="3368"/>
      <c r="AA9" s="1570" t="e">
        <f>D9/F9</f>
        <v>#DIV/0!</v>
      </c>
      <c r="AB9" s="1570" t="e">
        <f>D9/H9</f>
        <v>#DIV/0!</v>
      </c>
      <c r="AC9" s="1570" t="e">
        <f>D9/J9</f>
        <v>#DIV/0!</v>
      </c>
    </row>
    <row r="10" spans="1:29" s="1218" customFormat="1" ht="15.75" thickBot="1">
      <c r="A10" s="2912"/>
      <c r="B10" s="2919" t="s">
        <v>529</v>
      </c>
      <c r="C10" s="524" t="s">
        <v>530</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67" t="s">
        <v>531</v>
      </c>
      <c r="Q10" s="3368"/>
      <c r="R10" s="1567" t="s">
        <v>8</v>
      </c>
      <c r="S10" s="1568">
        <f t="shared" si="0"/>
        <v>0</v>
      </c>
      <c r="T10" s="1567" t="s">
        <v>8</v>
      </c>
      <c r="U10" s="1568">
        <f t="shared" si="1"/>
        <v>0</v>
      </c>
      <c r="V10" s="1567" t="s">
        <v>8</v>
      </c>
      <c r="W10" s="1568">
        <f t="shared" si="2"/>
        <v>0</v>
      </c>
      <c r="X10" s="1569"/>
      <c r="Y10" s="3367" t="s">
        <v>531</v>
      </c>
      <c r="Z10" s="3368"/>
      <c r="AA10" s="1570" t="e">
        <f t="shared" ref="AA10:AA42" si="3">D10/F10</f>
        <v>#DIV/0!</v>
      </c>
      <c r="AB10" s="1570" t="e">
        <f t="shared" ref="AB10:AB42" si="4">D10/H10</f>
        <v>#DIV/0!</v>
      </c>
      <c r="AC10" s="1570"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5" t="s">
        <v>533</v>
      </c>
      <c r="Q11" s="1149" t="str">
        <f t="shared" ref="Q11:Q17" si="6">B11</f>
        <v>用途</v>
      </c>
      <c r="R11" s="1567" t="s">
        <v>8</v>
      </c>
      <c r="S11" s="1568">
        <f t="shared" si="0"/>
        <v>100</v>
      </c>
      <c r="T11" s="1567" t="s">
        <v>8</v>
      </c>
      <c r="U11" s="1568">
        <f t="shared" si="1"/>
        <v>100</v>
      </c>
      <c r="V11" s="1567" t="s">
        <v>8</v>
      </c>
      <c r="W11" s="1568">
        <f t="shared" si="2"/>
        <v>100</v>
      </c>
      <c r="X11" s="1569"/>
      <c r="Y11" s="3332" t="s">
        <v>534</v>
      </c>
      <c r="Z11" s="1148" t="str">
        <f t="shared" ref="Z11:Z17" si="7">Q11</f>
        <v>用途</v>
      </c>
      <c r="AA11" s="1570">
        <f t="shared" si="3"/>
        <v>1</v>
      </c>
      <c r="AB11" s="1570">
        <f t="shared" si="4"/>
        <v>1</v>
      </c>
      <c r="AC11" s="1570">
        <f t="shared" si="5"/>
        <v>1</v>
      </c>
    </row>
    <row r="12" spans="1:29" s="1336" customFormat="1" ht="27">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75"/>
      <c r="Q12" s="1149" t="str">
        <f t="shared" si="6"/>
        <v>土地使用年限（年）</v>
      </c>
      <c r="R12" s="1567" t="s">
        <v>8</v>
      </c>
      <c r="S12" s="1568">
        <f t="shared" si="0"/>
        <v>100</v>
      </c>
      <c r="T12" s="1567" t="s">
        <v>8</v>
      </c>
      <c r="U12" s="1568">
        <f t="shared" si="1"/>
        <v>100</v>
      </c>
      <c r="V12" s="1567" t="s">
        <v>8</v>
      </c>
      <c r="W12" s="1568">
        <f t="shared" si="2"/>
        <v>100</v>
      </c>
      <c r="X12" s="1569"/>
      <c r="Y12" s="3332"/>
      <c r="Z12" s="1148" t="str">
        <f t="shared" si="7"/>
        <v>土地使用年限（年）</v>
      </c>
      <c r="AA12" s="1570">
        <f t="shared" si="3"/>
        <v>1</v>
      </c>
      <c r="AB12" s="1570">
        <f t="shared" si="4"/>
        <v>1</v>
      </c>
      <c r="AC12" s="1570">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5"/>
      <c r="Q13" s="1149" t="str">
        <f t="shared" si="6"/>
        <v>容积率</v>
      </c>
      <c r="R13" s="1567" t="s">
        <v>8</v>
      </c>
      <c r="S13" s="1568" t="e">
        <f t="shared" si="0"/>
        <v>#N/A</v>
      </c>
      <c r="T13" s="1567" t="s">
        <v>8</v>
      </c>
      <c r="U13" s="1568" t="e">
        <f t="shared" si="1"/>
        <v>#N/A</v>
      </c>
      <c r="V13" s="1567" t="s">
        <v>8</v>
      </c>
      <c r="W13" s="1568" t="e">
        <f t="shared" si="2"/>
        <v>#N/A</v>
      </c>
      <c r="X13" s="1569"/>
      <c r="Y13" s="3332"/>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5"/>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5"/>
      <c r="Q15" s="1149">
        <f t="shared" si="6"/>
        <v>111</v>
      </c>
      <c r="R15" s="1567" t="s">
        <v>8</v>
      </c>
      <c r="S15" s="1568">
        <f t="shared" si="0"/>
        <v>100</v>
      </c>
      <c r="T15" s="1567" t="s">
        <v>8</v>
      </c>
      <c r="U15" s="1568">
        <f t="shared" si="1"/>
        <v>100</v>
      </c>
      <c r="V15" s="1567" t="s">
        <v>8</v>
      </c>
      <c r="W15" s="1568">
        <f t="shared" si="2"/>
        <v>100</v>
      </c>
      <c r="X15" s="1569"/>
      <c r="Y15" s="3332"/>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5"/>
      <c r="Q16" s="1149">
        <f t="shared" si="6"/>
        <v>111</v>
      </c>
      <c r="R16" s="1567" t="s">
        <v>8</v>
      </c>
      <c r="S16" s="1568">
        <f t="shared" si="0"/>
        <v>100</v>
      </c>
      <c r="T16" s="1567" t="s">
        <v>8</v>
      </c>
      <c r="U16" s="1568">
        <f t="shared" si="1"/>
        <v>100</v>
      </c>
      <c r="V16" s="1567" t="s">
        <v>8</v>
      </c>
      <c r="W16" s="1568">
        <f t="shared" si="2"/>
        <v>100</v>
      </c>
      <c r="X16" s="1569"/>
      <c r="Y16" s="3332"/>
      <c r="Z16" s="1148">
        <f t="shared" si="7"/>
        <v>111</v>
      </c>
      <c r="AA16" s="1570">
        <f t="shared" si="3"/>
        <v>1</v>
      </c>
      <c r="AB16" s="1570">
        <f t="shared" si="4"/>
        <v>1</v>
      </c>
      <c r="AC16" s="1570">
        <f t="shared" si="5"/>
        <v>1</v>
      </c>
    </row>
    <row r="17" spans="1:29" ht="57">
      <c r="A17" s="2909" t="s">
        <v>2755</v>
      </c>
      <c r="B17" s="165" t="s">
        <v>596</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77" t="s">
        <v>538</v>
      </c>
      <c r="Q17" s="1571" t="str">
        <f t="shared" si="6"/>
        <v>产业集聚程度</v>
      </c>
      <c r="R17" s="1572" t="s">
        <v>8</v>
      </c>
      <c r="S17" s="1573">
        <f t="shared" si="0"/>
        <v>100</v>
      </c>
      <c r="T17" s="1572" t="s">
        <v>8</v>
      </c>
      <c r="U17" s="1573">
        <f t="shared" si="1"/>
        <v>100</v>
      </c>
      <c r="V17" s="1572" t="s">
        <v>8</v>
      </c>
      <c r="W17" s="1573">
        <f t="shared" si="2"/>
        <v>100</v>
      </c>
      <c r="X17" s="1566"/>
      <c r="Y17" s="3377" t="s">
        <v>538</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78"/>
      <c r="Q18" s="1571"/>
      <c r="R18" s="1572"/>
      <c r="S18" s="1573"/>
      <c r="T18" s="1572"/>
      <c r="U18" s="1573"/>
      <c r="V18" s="1572"/>
      <c r="W18" s="1573"/>
      <c r="X18" s="1566"/>
      <c r="Y18" s="3378"/>
      <c r="Z18" s="1574"/>
      <c r="AA18" s="1575">
        <v>1</v>
      </c>
      <c r="AB18" s="1575">
        <v>1</v>
      </c>
      <c r="AC18" s="1575">
        <v>1</v>
      </c>
    </row>
    <row r="19" spans="1:29" ht="85.5">
      <c r="A19" s="531"/>
      <c r="B19" s="870" t="s">
        <v>541</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78"/>
      <c r="Q19" s="1571" t="str">
        <f>B19</f>
        <v>交通便捷度</v>
      </c>
      <c r="R19" s="1572" t="s">
        <v>8</v>
      </c>
      <c r="S19" s="1573">
        <f>F19</f>
        <v>100</v>
      </c>
      <c r="T19" s="1572" t="s">
        <v>8</v>
      </c>
      <c r="U19" s="1573">
        <f>H19</f>
        <v>100</v>
      </c>
      <c r="V19" s="1572" t="s">
        <v>8</v>
      </c>
      <c r="W19" s="1573">
        <f>J19</f>
        <v>100</v>
      </c>
      <c r="X19" s="1566"/>
      <c r="Y19" s="3378"/>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378"/>
      <c r="Q20" s="1571"/>
      <c r="R20" s="1572"/>
      <c r="S20" s="1573"/>
      <c r="T20" s="1572"/>
      <c r="U20" s="1573"/>
      <c r="V20" s="1572"/>
      <c r="W20" s="1573"/>
      <c r="X20" s="1566"/>
      <c r="Y20" s="3378"/>
      <c r="Z20" s="1574"/>
      <c r="AA20" s="1575">
        <v>1</v>
      </c>
      <c r="AB20" s="1575">
        <v>1</v>
      </c>
      <c r="AC20" s="1575">
        <v>1</v>
      </c>
    </row>
    <row r="21" spans="1:29" ht="27">
      <c r="A21" s="514"/>
      <c r="B21" s="870" t="s">
        <v>542</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378"/>
      <c r="Q21" s="1571" t="str">
        <f t="shared" ref="Q21:Q35" si="8">B21</f>
        <v>区域土地利用方向</v>
      </c>
      <c r="R21" s="1572" t="s">
        <v>8</v>
      </c>
      <c r="S21" s="1573">
        <f>F21</f>
        <v>100</v>
      </c>
      <c r="T21" s="1572" t="s">
        <v>8</v>
      </c>
      <c r="U21" s="1573">
        <f>H21</f>
        <v>100</v>
      </c>
      <c r="V21" s="1572" t="s">
        <v>8</v>
      </c>
      <c r="W21" s="1573">
        <f>J21</f>
        <v>100</v>
      </c>
      <c r="X21" s="1566"/>
      <c r="Y21" s="3378"/>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378"/>
      <c r="Q22" s="1571"/>
      <c r="R22" s="1572"/>
      <c r="S22" s="1573"/>
      <c r="T22" s="1572"/>
      <c r="U22" s="1573"/>
      <c r="V22" s="1572"/>
      <c r="W22" s="1573"/>
      <c r="X22" s="1566"/>
      <c r="Y22" s="3378"/>
      <c r="Z22" s="1574"/>
      <c r="AA22" s="1575"/>
      <c r="AB22" s="1575"/>
      <c r="AC22" s="1575"/>
    </row>
    <row r="23" spans="1:29" ht="71.25">
      <c r="A23" s="514"/>
      <c r="B23" s="920" t="s">
        <v>597</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78"/>
      <c r="Q23" s="1571" t="str">
        <f t="shared" si="8"/>
        <v>环境状况</v>
      </c>
      <c r="R23" s="1572" t="s">
        <v>8</v>
      </c>
      <c r="S23" s="1573">
        <f>F23</f>
        <v>100</v>
      </c>
      <c r="T23" s="1572" t="s">
        <v>8</v>
      </c>
      <c r="U23" s="1573">
        <f>H23</f>
        <v>100</v>
      </c>
      <c r="V23" s="1572" t="s">
        <v>8</v>
      </c>
      <c r="W23" s="1573">
        <f>J23</f>
        <v>100</v>
      </c>
      <c r="X23" s="1566"/>
      <c r="Y23" s="3378"/>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78"/>
      <c r="Q24" s="1571"/>
      <c r="R24" s="1572"/>
      <c r="S24" s="1573"/>
      <c r="T24" s="1572"/>
      <c r="U24" s="1573"/>
      <c r="V24" s="1572"/>
      <c r="W24" s="1573"/>
      <c r="X24" s="1566"/>
      <c r="Y24" s="3378"/>
      <c r="Z24" s="1574"/>
      <c r="AA24" s="1575">
        <v>1</v>
      </c>
      <c r="AB24" s="1575">
        <v>1</v>
      </c>
      <c r="AC24" s="1575">
        <v>1</v>
      </c>
    </row>
    <row r="25" spans="1:29" s="1218" customFormat="1" ht="42.75">
      <c r="A25" s="576"/>
      <c r="B25" s="2593"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78"/>
      <c r="Q25" s="1149" t="str">
        <f t="shared" si="8"/>
        <v>公共配套设施</v>
      </c>
      <c r="R25" s="1567" t="s">
        <v>8</v>
      </c>
      <c r="S25" s="1568">
        <f>F25</f>
        <v>100</v>
      </c>
      <c r="T25" s="1567" t="s">
        <v>8</v>
      </c>
      <c r="U25" s="1568">
        <f>H25</f>
        <v>100</v>
      </c>
      <c r="V25" s="1567" t="s">
        <v>8</v>
      </c>
      <c r="W25" s="1568">
        <f>J25</f>
        <v>100</v>
      </c>
      <c r="X25" s="1569"/>
      <c r="Y25" s="3378"/>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378"/>
      <c r="Q26" s="1149"/>
      <c r="R26" s="1567"/>
      <c r="S26" s="1568"/>
      <c r="T26" s="1567"/>
      <c r="U26" s="1568"/>
      <c r="V26" s="1567"/>
      <c r="W26" s="1568"/>
      <c r="X26" s="1569"/>
      <c r="Y26" s="3378"/>
      <c r="Z26" s="1148"/>
      <c r="AA26" s="1570">
        <v>1</v>
      </c>
      <c r="AB26" s="1570">
        <v>1</v>
      </c>
      <c r="AC26" s="1570">
        <v>1</v>
      </c>
    </row>
    <row r="27" spans="1:29" s="1218" customFormat="1" ht="28.5">
      <c r="A27" s="576"/>
      <c r="B27" s="2593"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78"/>
      <c r="Q27" s="2578" t="str">
        <f t="shared" ref="Q27" si="9">B27</f>
        <v>基础设施水平</v>
      </c>
      <c r="R27" s="1567" t="s">
        <v>8</v>
      </c>
      <c r="S27" s="1568">
        <f>F27</f>
        <v>100</v>
      </c>
      <c r="T27" s="1567" t="s">
        <v>8</v>
      </c>
      <c r="U27" s="1568">
        <f>H27</f>
        <v>100</v>
      </c>
      <c r="V27" s="1567" t="s">
        <v>8</v>
      </c>
      <c r="W27" s="1568">
        <f>J27</f>
        <v>100</v>
      </c>
      <c r="X27" s="1569"/>
      <c r="Y27" s="3378"/>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378"/>
      <c r="Q28" s="2578"/>
      <c r="R28" s="1567"/>
      <c r="S28" s="1568"/>
      <c r="T28" s="1567"/>
      <c r="U28" s="1568"/>
      <c r="V28" s="1567"/>
      <c r="W28" s="1568"/>
      <c r="X28" s="1569"/>
      <c r="Y28" s="3378"/>
      <c r="Z28" s="2575"/>
      <c r="AA28" s="1570">
        <v>1</v>
      </c>
      <c r="AB28" s="1570">
        <v>1</v>
      </c>
      <c r="AC28" s="1570">
        <v>1</v>
      </c>
    </row>
    <row r="29" spans="1:29" ht="15">
      <c r="A29" s="531"/>
      <c r="B29" s="594" t="s">
        <v>545</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7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8"/>
      <c r="Z29" s="1574" t="str">
        <f t="shared" ref="Z29:Z42" si="13">Q29</f>
        <v>临街状况</v>
      </c>
      <c r="AA29" s="1575">
        <f t="shared" si="3"/>
        <v>1</v>
      </c>
      <c r="AB29" s="1575">
        <f t="shared" si="4"/>
        <v>1</v>
      </c>
      <c r="AC29" s="1575">
        <f t="shared" si="5"/>
        <v>1</v>
      </c>
    </row>
    <row r="30" spans="1:29" ht="27">
      <c r="A30" s="531"/>
      <c r="B30" s="920" t="s">
        <v>546</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78"/>
      <c r="Q30" s="1571" t="str">
        <f t="shared" si="8"/>
        <v>毗邻道路的类型与等级</v>
      </c>
      <c r="R30" s="1572" t="s">
        <v>8</v>
      </c>
      <c r="S30" s="1573">
        <f t="shared" si="10"/>
        <v>100</v>
      </c>
      <c r="T30" s="1572" t="s">
        <v>8</v>
      </c>
      <c r="U30" s="1573">
        <f t="shared" si="11"/>
        <v>100</v>
      </c>
      <c r="V30" s="1572" t="s">
        <v>8</v>
      </c>
      <c r="W30" s="1573">
        <f t="shared" si="12"/>
        <v>100</v>
      </c>
      <c r="X30" s="1566"/>
      <c r="Y30" s="3378"/>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78"/>
      <c r="Q31" s="1571"/>
      <c r="R31" s="1572"/>
      <c r="S31" s="1573"/>
      <c r="T31" s="1572"/>
      <c r="U31" s="1573"/>
      <c r="V31" s="1572"/>
      <c r="W31" s="1573"/>
      <c r="X31" s="1566"/>
      <c r="Y31" s="3378"/>
      <c r="Z31" s="1574"/>
      <c r="AA31" s="1575">
        <v>1</v>
      </c>
      <c r="AB31" s="1575">
        <v>1</v>
      </c>
      <c r="AC31" s="1575">
        <v>1</v>
      </c>
    </row>
    <row r="32" spans="1:29" ht="15">
      <c r="A32" s="531"/>
      <c r="B32" s="526" t="s">
        <v>547</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78"/>
      <c r="Q32" s="1571" t="str">
        <f t="shared" si="8"/>
        <v>土地级别</v>
      </c>
      <c r="R32" s="1572" t="s">
        <v>8</v>
      </c>
      <c r="S32" s="1573">
        <f t="shared" si="10"/>
        <v>100</v>
      </c>
      <c r="T32" s="1572" t="s">
        <v>8</v>
      </c>
      <c r="U32" s="1573">
        <f t="shared" si="11"/>
        <v>100</v>
      </c>
      <c r="V32" s="1572" t="s">
        <v>8</v>
      </c>
      <c r="W32" s="1573">
        <f t="shared" si="12"/>
        <v>100</v>
      </c>
      <c r="X32" s="1566"/>
      <c r="Y32" s="3378"/>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78"/>
      <c r="Q33" s="1571">
        <f t="shared" si="8"/>
        <v>111</v>
      </c>
      <c r="R33" s="1572" t="s">
        <v>8</v>
      </c>
      <c r="S33" s="1573">
        <f t="shared" si="10"/>
        <v>100</v>
      </c>
      <c r="T33" s="1572" t="s">
        <v>8</v>
      </c>
      <c r="U33" s="1573">
        <f t="shared" si="11"/>
        <v>100</v>
      </c>
      <c r="V33" s="1572" t="s">
        <v>8</v>
      </c>
      <c r="W33" s="1573">
        <f t="shared" si="12"/>
        <v>100</v>
      </c>
      <c r="X33" s="1566"/>
      <c r="Y33" s="3378"/>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79" t="s">
        <v>548</v>
      </c>
      <c r="Q34" s="1571">
        <f t="shared" si="8"/>
        <v>111</v>
      </c>
      <c r="R34" s="1572" t="s">
        <v>8</v>
      </c>
      <c r="S34" s="1573">
        <f t="shared" si="10"/>
        <v>100</v>
      </c>
      <c r="T34" s="1572" t="s">
        <v>8</v>
      </c>
      <c r="U34" s="1573">
        <f t="shared" si="11"/>
        <v>100</v>
      </c>
      <c r="V34" s="1572" t="s">
        <v>8</v>
      </c>
      <c r="W34" s="1573">
        <f t="shared" si="12"/>
        <v>100</v>
      </c>
      <c r="X34" s="1566"/>
      <c r="Y34" s="3380" t="s">
        <v>548</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80"/>
      <c r="Q35" s="1571">
        <f t="shared" si="8"/>
        <v>111</v>
      </c>
      <c r="R35" s="1576" t="s">
        <v>8</v>
      </c>
      <c r="S35" s="1577">
        <f t="shared" si="10"/>
        <v>100</v>
      </c>
      <c r="T35" s="1576" t="s">
        <v>8</v>
      </c>
      <c r="U35" s="1577">
        <f t="shared" si="11"/>
        <v>100</v>
      </c>
      <c r="V35" s="1576" t="s">
        <v>8</v>
      </c>
      <c r="W35" s="1577">
        <f t="shared" si="12"/>
        <v>100</v>
      </c>
      <c r="X35" s="1578"/>
      <c r="Y35" s="3380"/>
      <c r="Z35" s="1579">
        <f t="shared" si="13"/>
        <v>111</v>
      </c>
      <c r="AA35" s="1575">
        <f t="shared" si="3"/>
        <v>1</v>
      </c>
      <c r="AB35" s="1575">
        <f t="shared" si="4"/>
        <v>1</v>
      </c>
      <c r="AC35" s="1575">
        <f t="shared" si="5"/>
        <v>1</v>
      </c>
    </row>
    <row r="36" spans="1:29" ht="15">
      <c r="A36" s="2907" t="s">
        <v>2756</v>
      </c>
      <c r="B36" s="594" t="s">
        <v>550</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80"/>
      <c r="Q36" s="1571" t="str">
        <f>B36</f>
        <v>宗地面积</v>
      </c>
      <c r="R36" s="1572" t="s">
        <v>8</v>
      </c>
      <c r="S36" s="1573" t="e">
        <f t="shared" si="10"/>
        <v>#N/A</v>
      </c>
      <c r="T36" s="1572" t="s">
        <v>8</v>
      </c>
      <c r="U36" s="1573" t="e">
        <f t="shared" si="11"/>
        <v>#N/A</v>
      </c>
      <c r="V36" s="1572" t="s">
        <v>8</v>
      </c>
      <c r="W36" s="1573" t="e">
        <f t="shared" si="12"/>
        <v>#N/A</v>
      </c>
      <c r="X36" s="1566"/>
      <c r="Y36" s="3380"/>
      <c r="Z36" s="1574" t="str">
        <f t="shared" si="13"/>
        <v>宗地面积</v>
      </c>
      <c r="AA36" s="1575" t="e">
        <f t="shared" si="3"/>
        <v>#N/A</v>
      </c>
      <c r="AB36" s="1575" t="e">
        <f t="shared" si="4"/>
        <v>#N/A</v>
      </c>
      <c r="AC36" s="1575" t="e">
        <f t="shared" si="5"/>
        <v>#N/A</v>
      </c>
    </row>
    <row r="37" spans="1:29" ht="15">
      <c r="A37" s="593"/>
      <c r="B37" s="526" t="s">
        <v>551</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80"/>
      <c r="Q37" s="1571" t="str">
        <f t="shared" ref="Q37:Q42" si="14">B37</f>
        <v>宗地形状</v>
      </c>
      <c r="R37" s="1572" t="s">
        <v>8</v>
      </c>
      <c r="S37" s="1573">
        <f t="shared" si="10"/>
        <v>100</v>
      </c>
      <c r="T37" s="1572" t="s">
        <v>8</v>
      </c>
      <c r="U37" s="1573">
        <f t="shared" si="11"/>
        <v>100</v>
      </c>
      <c r="V37" s="1572" t="s">
        <v>8</v>
      </c>
      <c r="W37" s="1573">
        <f t="shared" si="12"/>
        <v>100</v>
      </c>
      <c r="X37" s="1566"/>
      <c r="Y37" s="3380"/>
      <c r="Z37" s="1574" t="str">
        <f t="shared" si="13"/>
        <v>宗地形状</v>
      </c>
      <c r="AA37" s="1575">
        <f t="shared" si="3"/>
        <v>1</v>
      </c>
      <c r="AB37" s="1575">
        <f t="shared" si="4"/>
        <v>1</v>
      </c>
      <c r="AC37" s="1575">
        <f t="shared" si="5"/>
        <v>1</v>
      </c>
    </row>
    <row r="38" spans="1:29" s="1218"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80"/>
      <c r="Q38" s="1571" t="str">
        <f t="shared" si="14"/>
        <v>宗地开发程度</v>
      </c>
      <c r="R38" s="1567" t="s">
        <v>8</v>
      </c>
      <c r="S38" s="1568">
        <f t="shared" si="10"/>
        <v>100</v>
      </c>
      <c r="T38" s="1567" t="s">
        <v>8</v>
      </c>
      <c r="U38" s="1568">
        <f t="shared" si="11"/>
        <v>100</v>
      </c>
      <c r="V38" s="1567" t="s">
        <v>8</v>
      </c>
      <c r="W38" s="1568">
        <f t="shared" si="12"/>
        <v>100</v>
      </c>
      <c r="X38" s="1569"/>
      <c r="Y38" s="3380"/>
      <c r="Z38" s="1148" t="str">
        <f t="shared" si="13"/>
        <v>宗地开发程度</v>
      </c>
      <c r="AA38" s="1570">
        <f t="shared" si="3"/>
        <v>1</v>
      </c>
      <c r="AB38" s="1570">
        <f t="shared" si="4"/>
        <v>1</v>
      </c>
      <c r="AC38" s="1570">
        <f t="shared" si="5"/>
        <v>1</v>
      </c>
    </row>
    <row r="39" spans="1:29" ht="15">
      <c r="A39" s="593"/>
      <c r="B39" s="526" t="s">
        <v>553</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0" t="s">
        <v>599</v>
      </c>
      <c r="Q39" s="1571" t="str">
        <f t="shared" si="14"/>
        <v>工程地质条件</v>
      </c>
      <c r="R39" s="1572" t="s">
        <v>8</v>
      </c>
      <c r="S39" s="1573">
        <f t="shared" si="10"/>
        <v>100</v>
      </c>
      <c r="T39" s="1572" t="s">
        <v>8</v>
      </c>
      <c r="U39" s="1573">
        <f t="shared" si="11"/>
        <v>100</v>
      </c>
      <c r="V39" s="1572" t="s">
        <v>8</v>
      </c>
      <c r="W39" s="1573">
        <f t="shared" si="12"/>
        <v>100</v>
      </c>
      <c r="X39" s="1566"/>
      <c r="Y39" s="3380" t="s">
        <v>599</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80"/>
      <c r="Q40" s="1571">
        <f t="shared" si="14"/>
        <v>111</v>
      </c>
      <c r="R40" s="1572" t="s">
        <v>8</v>
      </c>
      <c r="S40" s="1573">
        <f t="shared" si="10"/>
        <v>100</v>
      </c>
      <c r="T40" s="1572" t="s">
        <v>8</v>
      </c>
      <c r="U40" s="1573">
        <f t="shared" si="11"/>
        <v>100</v>
      </c>
      <c r="V40" s="1572" t="s">
        <v>8</v>
      </c>
      <c r="W40" s="1573">
        <f t="shared" si="12"/>
        <v>100</v>
      </c>
      <c r="X40" s="1566"/>
      <c r="Y40" s="3380"/>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80"/>
      <c r="Q41" s="1571">
        <f t="shared" si="14"/>
        <v>111</v>
      </c>
      <c r="R41" s="1572" t="s">
        <v>8</v>
      </c>
      <c r="S41" s="1573">
        <f t="shared" si="10"/>
        <v>100</v>
      </c>
      <c r="T41" s="1572" t="s">
        <v>8</v>
      </c>
      <c r="U41" s="1573">
        <f t="shared" si="11"/>
        <v>100</v>
      </c>
      <c r="V41" s="1572" t="s">
        <v>8</v>
      </c>
      <c r="W41" s="1573">
        <f t="shared" si="12"/>
        <v>100</v>
      </c>
      <c r="X41" s="1566"/>
      <c r="Y41" s="3380"/>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80"/>
      <c r="Q42" s="1571">
        <f t="shared" si="14"/>
        <v>111</v>
      </c>
      <c r="R42" s="1576" t="s">
        <v>8</v>
      </c>
      <c r="S42" s="1577">
        <f t="shared" si="10"/>
        <v>100</v>
      </c>
      <c r="T42" s="1576" t="s">
        <v>8</v>
      </c>
      <c r="U42" s="1577">
        <f t="shared" si="11"/>
        <v>100</v>
      </c>
      <c r="V42" s="1576" t="s">
        <v>8</v>
      </c>
      <c r="W42" s="1577">
        <f t="shared" si="12"/>
        <v>100</v>
      </c>
      <c r="X42" s="1578"/>
      <c r="Y42" s="3380"/>
      <c r="Z42" s="1579">
        <f t="shared" si="13"/>
        <v>111</v>
      </c>
      <c r="AA42" s="1575">
        <f t="shared" si="3"/>
        <v>1</v>
      </c>
      <c r="AB42" s="1575">
        <f t="shared" si="4"/>
        <v>1</v>
      </c>
      <c r="AC42" s="1575">
        <f t="shared" si="5"/>
        <v>1</v>
      </c>
    </row>
    <row r="43" spans="1:29" ht="15">
      <c r="A43" s="606" t="s">
        <v>554</v>
      </c>
      <c r="B43" s="607" t="s">
        <v>2933</v>
      </c>
      <c r="C43" s="608" t="s">
        <v>1</v>
      </c>
      <c r="D43" s="609"/>
      <c r="E43" s="610"/>
      <c r="F43" s="611"/>
      <c r="G43" s="612"/>
      <c r="H43" s="613"/>
      <c r="I43" s="610"/>
      <c r="J43" s="613"/>
      <c r="K43" s="1338"/>
      <c r="L43" s="2144"/>
      <c r="M43" s="2134"/>
      <c r="N43" s="2134"/>
      <c r="O43" s="2145"/>
      <c r="P43" s="3375" t="str">
        <f>A43</f>
        <v>成交单价</v>
      </c>
      <c r="Q43" s="3375"/>
      <c r="R43" s="3389">
        <f>E43</f>
        <v>0</v>
      </c>
      <c r="S43" s="3389"/>
      <c r="T43" s="3389">
        <f>G43</f>
        <v>0</v>
      </c>
      <c r="U43" s="3389"/>
      <c r="V43" s="3389">
        <f>I43</f>
        <v>0</v>
      </c>
      <c r="W43" s="3389"/>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39"/>
      <c r="L44" s="2144"/>
      <c r="M44" s="2134"/>
      <c r="N44" s="2134"/>
      <c r="O44" s="2145"/>
      <c r="P44" s="3375" t="str">
        <f>A44</f>
        <v>比较价格（元/平方米）</v>
      </c>
      <c r="Q44" s="3375"/>
      <c r="R44" s="3399" t="e">
        <f>ROUND(PRODUCT(R43,AA9:AA42),0)</f>
        <v>#DIV/0!</v>
      </c>
      <c r="S44" s="3399"/>
      <c r="T44" s="3399" t="e">
        <f>ROUND(PRODUCT(T43,AB9:AB42),0)</f>
        <v>#DIV/0!</v>
      </c>
      <c r="U44" s="3399"/>
      <c r="V44" s="3399" t="e">
        <f>ROUND(PRODUCT(V43,AC9:AC42),0)</f>
        <v>#DIV/0!</v>
      </c>
      <c r="W44" s="3399"/>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0"/>
      <c r="L45" s="2144"/>
      <c r="M45" s="2134"/>
      <c r="N45" s="2134"/>
      <c r="O45" s="2145"/>
      <c r="P45" s="3396" t="str">
        <f>A45</f>
        <v>估价对象XX用房的比较价格（楼面单价，元/平方米）</v>
      </c>
      <c r="Q45" s="3397"/>
      <c r="R45" s="3398" t="e">
        <f>ROUND(AVERAGE(R44:V44),0)</f>
        <v>#DIV/0!</v>
      </c>
      <c r="S45" s="3398"/>
      <c r="T45" s="3398"/>
      <c r="U45" s="3398"/>
      <c r="V45" s="3398"/>
      <c r="W45" s="339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555</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556</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557</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558</v>
      </c>
      <c r="B52" s="629" t="s">
        <v>559</v>
      </c>
      <c r="C52" s="1559" t="s">
        <v>1723</v>
      </c>
      <c r="D52" s="2227" t="s">
        <v>2294</v>
      </c>
      <c r="E52" s="630" t="s">
        <v>560</v>
      </c>
      <c r="F52" s="1951" t="s">
        <v>561</v>
      </c>
      <c r="G52" s="3400" t="s">
        <v>2285</v>
      </c>
      <c r="H52" s="3401"/>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562</v>
      </c>
      <c r="B53" s="633" t="e">
        <f>C45</f>
        <v>#DIV/0!</v>
      </c>
      <c r="C53" s="634">
        <v>1</v>
      </c>
      <c r="D53" s="2228">
        <v>1</v>
      </c>
      <c r="E53" s="634">
        <f>'数据-汇总表'!E8+'数据-汇总表'!E9</f>
        <v>75623.399999999994</v>
      </c>
      <c r="F53" s="1950" t="e">
        <f t="shared" ref="F53:F62" si="15">ROUND(B53*E53/10000,0)</f>
        <v>#DIV/0!</v>
      </c>
      <c r="G53" s="3402"/>
      <c r="H53" s="340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563</v>
      </c>
      <c r="B54" s="637" t="e">
        <f>ROUND($C$45*C54*D54,0)</f>
        <v>#DIV/0!</v>
      </c>
      <c r="C54" s="377">
        <f t="shared" ref="C54:C62" si="16">IF($C$52="北京市系数",I54,J54)</f>
        <v>0</v>
      </c>
      <c r="D54" s="2229">
        <v>0.25</v>
      </c>
      <c r="E54" s="638"/>
      <c r="F54" s="1950" t="e">
        <f t="shared" si="15"/>
        <v>#DIV/0!</v>
      </c>
      <c r="G54" s="3404"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564</v>
      </c>
      <c r="B55" s="637" t="e">
        <f t="shared" ref="B55:B62" si="17">ROUND($C$45*C55*D55,0)</f>
        <v>#DIV/0!</v>
      </c>
      <c r="C55" s="377">
        <f t="shared" si="16"/>
        <v>0</v>
      </c>
      <c r="D55" s="2229">
        <v>0.25</v>
      </c>
      <c r="E55" s="638"/>
      <c r="F55" s="1950" t="e">
        <f t="shared" si="15"/>
        <v>#DIV/0!</v>
      </c>
      <c r="G55" s="340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565</v>
      </c>
      <c r="B56" s="637" t="e">
        <f t="shared" si="17"/>
        <v>#DIV/0!</v>
      </c>
      <c r="C56" s="377">
        <f t="shared" si="16"/>
        <v>0</v>
      </c>
      <c r="D56" s="2229">
        <v>0.25</v>
      </c>
      <c r="E56" s="638"/>
      <c r="F56" s="1950" t="e">
        <f t="shared" si="15"/>
        <v>#DIV/0!</v>
      </c>
      <c r="G56" s="340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566</v>
      </c>
      <c r="B57" s="637" t="e">
        <f t="shared" si="17"/>
        <v>#DIV/0!</v>
      </c>
      <c r="C57" s="377">
        <f t="shared" si="16"/>
        <v>0</v>
      </c>
      <c r="D57" s="2229">
        <v>0.25</v>
      </c>
      <c r="E57" s="638"/>
      <c r="F57" s="1950" t="e">
        <f t="shared" si="15"/>
        <v>#DIV/0!</v>
      </c>
      <c r="G57" s="340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567</v>
      </c>
      <c r="B59" s="637" t="e">
        <f t="shared" si="17"/>
        <v>#DIV/0!</v>
      </c>
      <c r="C59" s="377">
        <f t="shared" si="16"/>
        <v>0</v>
      </c>
      <c r="D59" s="2229">
        <v>0.25</v>
      </c>
      <c r="E59" s="640">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568</v>
      </c>
      <c r="B60" s="637" t="e">
        <f t="shared" si="17"/>
        <v>#DIV/0!</v>
      </c>
      <c r="C60" s="377">
        <f t="shared" si="16"/>
        <v>0</v>
      </c>
      <c r="D60" s="2229">
        <v>0.25</v>
      </c>
      <c r="E60" s="640">
        <f>'数据-汇总表'!E13</f>
        <v>0</v>
      </c>
      <c r="F60" s="1950" t="e">
        <f t="shared" si="15"/>
        <v>#DIV/0!</v>
      </c>
      <c r="G60" s="1946" t="s">
        <v>921</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569</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570</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571</v>
      </c>
      <c r="B63" s="642" t="s">
        <v>17</v>
      </c>
      <c r="C63" s="642" t="s">
        <v>18</v>
      </c>
      <c r="D63" s="642" t="s">
        <v>2295</v>
      </c>
      <c r="E63" s="642">
        <f>IF(B43="楼面地价",SUM(E53:E62),'数据-汇总表'!D3)</f>
        <v>42013</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2018-6-1</v>
      </c>
      <c r="D65" s="2799">
        <f>EDATE(C65,-3)</f>
        <v>43160</v>
      </c>
      <c r="E65" s="2799">
        <f t="shared" ref="E65:N65" si="18">EDATE(D65,-3)</f>
        <v>43070</v>
      </c>
      <c r="F65" s="2799">
        <f t="shared" si="18"/>
        <v>42979</v>
      </c>
      <c r="G65" s="2799">
        <f t="shared" si="18"/>
        <v>42887</v>
      </c>
      <c r="H65" s="2799">
        <f t="shared" si="18"/>
        <v>42795</v>
      </c>
      <c r="I65" s="2799">
        <f t="shared" si="18"/>
        <v>42705</v>
      </c>
      <c r="J65" s="2799">
        <f t="shared" si="18"/>
        <v>42614</v>
      </c>
      <c r="K65" s="2799">
        <f t="shared" si="18"/>
        <v>42522</v>
      </c>
      <c r="L65" s="2799">
        <f t="shared" si="18"/>
        <v>42430</v>
      </c>
      <c r="M65" s="2799">
        <f t="shared" si="18"/>
        <v>42339</v>
      </c>
      <c r="N65" s="2799">
        <f t="shared" si="18"/>
        <v>42248</v>
      </c>
      <c r="O65" s="2145"/>
      <c r="P65" s="2145"/>
      <c r="Q65" s="2145"/>
      <c r="R65" s="2145"/>
      <c r="S65" s="2145"/>
      <c r="T65" s="2145"/>
      <c r="U65" s="2145"/>
      <c r="V65" s="2145"/>
      <c r="W65" s="2145"/>
      <c r="X65" s="2145"/>
      <c r="Y65" s="2145"/>
      <c r="Z65" s="2145"/>
      <c r="AA65" s="2145"/>
      <c r="AB65" s="2145"/>
      <c r="AC65" s="2145"/>
    </row>
    <row r="66" spans="1:29" ht="21.75" thickBot="1">
      <c r="A66" s="1583" t="s">
        <v>572</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2534</v>
      </c>
      <c r="B67" s="645"/>
      <c r="C67" s="2794" t="str">
        <f>YEAR(C65)&amp;"-"&amp;ROUNDUP(MONTH(C65)/3,0)</f>
        <v>2018-2</v>
      </c>
      <c r="D67" s="2801" t="str">
        <f t="shared" ref="D67:N67" si="19">YEAR(D65)&amp;"-"&amp;ROUNDUP(MONTH(D65)/3,0)</f>
        <v>2018-1</v>
      </c>
      <c r="E67" s="2801" t="str">
        <f t="shared" si="19"/>
        <v>2017-4</v>
      </c>
      <c r="F67" s="2801" t="str">
        <f t="shared" si="19"/>
        <v>2017-3</v>
      </c>
      <c r="G67" s="2801" t="str">
        <f t="shared" si="19"/>
        <v>2017-2</v>
      </c>
      <c r="H67" s="2801" t="str">
        <f t="shared" si="19"/>
        <v>2017-1</v>
      </c>
      <c r="I67" s="2801" t="str">
        <f t="shared" si="19"/>
        <v>2016-4</v>
      </c>
      <c r="J67" s="2801" t="str">
        <f t="shared" si="19"/>
        <v>2016-3</v>
      </c>
      <c r="K67" s="2801" t="str">
        <f t="shared" si="19"/>
        <v>2016-2</v>
      </c>
      <c r="L67" s="2801" t="str">
        <f t="shared" si="19"/>
        <v>2016-1</v>
      </c>
      <c r="M67" s="2801" t="str">
        <f t="shared" si="19"/>
        <v>2015-4</v>
      </c>
      <c r="N67" s="2801"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2650</v>
      </c>
      <c r="B68" s="478" t="str">
        <f>"北京市平均增长率"&amp;TEXT(基准地价!P24,"0.00%")</f>
        <v>北京市平均增长率1.35%</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573</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529</v>
      </c>
      <c r="B70" s="647"/>
      <c r="C70" s="659" t="s">
        <v>574</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575</v>
      </c>
      <c r="B72" s="664" t="s">
        <v>532</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535</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536</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537</v>
      </c>
      <c r="B85" s="664" t="s">
        <v>600</v>
      </c>
      <c r="C85" s="702" t="s">
        <v>577</v>
      </c>
      <c r="D85" s="702" t="s">
        <v>578</v>
      </c>
      <c r="E85" s="702" t="s">
        <v>579</v>
      </c>
      <c r="F85" s="702" t="s">
        <v>580</v>
      </c>
      <c r="G85" s="702" t="s">
        <v>581</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584</v>
      </c>
      <c r="C87" s="707" t="s">
        <v>577</v>
      </c>
      <c r="D87" s="707" t="s">
        <v>578</v>
      </c>
      <c r="E87" s="707" t="s">
        <v>579</v>
      </c>
      <c r="F87" s="707" t="s">
        <v>580</v>
      </c>
      <c r="G87" s="707" t="s">
        <v>581</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585</v>
      </c>
      <c r="C89" s="707" t="s">
        <v>577</v>
      </c>
      <c r="D89" s="707" t="s">
        <v>578</v>
      </c>
      <c r="E89" s="707" t="s">
        <v>579</v>
      </c>
      <c r="F89" s="707" t="s">
        <v>580</v>
      </c>
      <c r="G89" s="707" t="s">
        <v>581</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586</v>
      </c>
      <c r="C91" s="702" t="s">
        <v>577</v>
      </c>
      <c r="D91" s="702" t="s">
        <v>578</v>
      </c>
      <c r="E91" s="702" t="s">
        <v>579</v>
      </c>
      <c r="F91" s="702" t="s">
        <v>580</v>
      </c>
      <c r="G91" s="702" t="s">
        <v>581</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2549</v>
      </c>
      <c r="C93" s="702" t="s">
        <v>577</v>
      </c>
      <c r="D93" s="702" t="s">
        <v>578</v>
      </c>
      <c r="E93" s="702" t="s">
        <v>579</v>
      </c>
      <c r="F93" s="702" t="s">
        <v>580</v>
      </c>
      <c r="G93" s="702" t="s">
        <v>581</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587</v>
      </c>
      <c r="D97" s="673" t="s">
        <v>588</v>
      </c>
      <c r="E97" s="673" t="s">
        <v>589</v>
      </c>
      <c r="F97" s="673" t="s">
        <v>590</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546</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547</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549</v>
      </c>
      <c r="B109" s="664" t="s">
        <v>591</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592</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594</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20">
        <f>SUM(D29:D30,D33:D39)</f>
        <v>0</v>
      </c>
      <c r="E1" s="1405" t="s">
        <v>2428</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5" t="s">
        <v>2763</v>
      </c>
      <c r="S1" s="2935" t="s">
        <v>2764</v>
      </c>
      <c r="T1" s="2935" t="s">
        <v>2785</v>
      </c>
      <c r="U1" s="2935" t="s">
        <v>2786</v>
      </c>
      <c r="V1" s="2935" t="s">
        <v>2787</v>
      </c>
      <c r="W1" s="2189"/>
      <c r="X1" s="2189"/>
      <c r="Y1" s="2189"/>
      <c r="Z1" s="2189"/>
      <c r="AA1" s="2189"/>
      <c r="AB1" s="2189"/>
      <c r="AC1" s="2190"/>
    </row>
    <row r="2" spans="1:39" ht="15.75">
      <c r="A2" s="1405" t="s">
        <v>918</v>
      </c>
      <c r="B2" s="1036" t="e">
        <f>C26</f>
        <v>#DIV/0!</v>
      </c>
      <c r="C2" s="1406" t="s">
        <v>919</v>
      </c>
      <c r="D2" s="1407" t="s">
        <v>920</v>
      </c>
      <c r="E2" s="1408"/>
      <c r="F2" s="1407" t="s">
        <v>922</v>
      </c>
      <c r="G2" s="1651">
        <f>IF(E2="商业",项目基本情况!B43,IF(E2="办公",项目基本情况!C43,IF(E2="住宅",项目基本情况!D43,项目基本情况!E43)))</f>
        <v>0</v>
      </c>
      <c r="H2" s="1407" t="s">
        <v>924</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1686</v>
      </c>
      <c r="B3" s="1036" t="e">
        <f>ROUND(B2*10000/D1,0)</f>
        <v>#DIV/0!</v>
      </c>
      <c r="C3" s="1406" t="s">
        <v>925</v>
      </c>
      <c r="D3" s="1407" t="s">
        <v>926</v>
      </c>
      <c r="E3" s="1411"/>
      <c r="F3" s="1412" t="s">
        <v>2935</v>
      </c>
      <c r="G3" s="1037">
        <f>IF(F3="宗地容积率",'数据-汇总表'!I4,IF(F3="估价对象容积率",'数据-汇总表'!I6,'数据-汇总表'!I7))</f>
        <v>1.8</v>
      </c>
      <c r="H3" s="1413" t="s">
        <v>927</v>
      </c>
      <c r="I3" s="1038">
        <v>8</v>
      </c>
      <c r="J3" s="1409" t="s">
        <v>928</v>
      </c>
      <c r="K3" s="1400"/>
      <c r="L3" s="1885" t="s">
        <v>2241</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2281</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1822</v>
      </c>
      <c r="B5" s="1414" t="s">
        <v>929</v>
      </c>
      <c r="C5" s="1039" t="e">
        <f>ROUND(IF(E2="商业",IF(F16="增加",C6*C7+C16,C6*C7-C16),IF(E2="住宅",IF(F16="增加",C6*C12+C16,C6*C12-C16),IF(F16="增加",C6+C16,C6-C16))),0)</f>
        <v>#DIV/0!</v>
      </c>
      <c r="D5" s="311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929</v>
      </c>
      <c r="C6" s="1040">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12" t="str">
        <f>IF(E2="商业",IF(C8="不临58条商业街","",2),"")</f>
        <v/>
      </c>
      <c r="B7" s="1426" t="s">
        <v>930</v>
      </c>
      <c r="C7" s="1041" t="e">
        <f>IF(C8="不临58条商业街",1,ROUND(1+(1.6*E8+1.2*E9+0.8*E10+0.4*E11)*C9,4))</f>
        <v>#DIV/0!</v>
      </c>
      <c r="D7" s="1427" t="s">
        <v>931</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1.8</v>
      </c>
      <c r="AA7" s="2192"/>
      <c r="AB7" s="2192"/>
      <c r="AC7" s="2193"/>
      <c r="AD7" s="2928"/>
      <c r="AE7" s="2928"/>
      <c r="AF7" s="2928"/>
      <c r="AG7" s="2928"/>
      <c r="AH7" s="2928"/>
      <c r="AI7" s="2928"/>
      <c r="AJ7" s="2929"/>
    </row>
    <row r="8" spans="1:39" ht="15">
      <c r="A8" s="3413"/>
      <c r="B8" s="1413" t="s">
        <v>932</v>
      </c>
      <c r="C8" s="1528"/>
      <c r="D8" s="1043" t="s">
        <v>933</v>
      </c>
      <c r="E8" s="1044" t="e">
        <f>ROUND(C11/E7,4)</f>
        <v>#DIV/0!</v>
      </c>
      <c r="F8" s="1431" t="s">
        <v>934</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22" t="s">
        <v>2784</v>
      </c>
      <c r="X8" s="3423"/>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3"/>
      <c r="B9" s="1413" t="s">
        <v>935</v>
      </c>
      <c r="C9" s="1045">
        <f>SUMIF(修正!C59:C119,C8,修正!E59:E119)</f>
        <v>0</v>
      </c>
      <c r="D9" s="1046" t="s">
        <v>936</v>
      </c>
      <c r="E9" s="1046" t="e">
        <f>ROUND(C11/E7,4)</f>
        <v>#DIV/0!</v>
      </c>
      <c r="F9" s="1431" t="s">
        <v>937</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21"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3"/>
      <c r="B10" s="1413" t="s">
        <v>938</v>
      </c>
      <c r="C10" s="1046">
        <f>SUMIF(修正!C59:C119,C8,修正!F59:F119)</f>
        <v>0</v>
      </c>
      <c r="D10" s="1046" t="s">
        <v>939</v>
      </c>
      <c r="E10" s="1046" t="e">
        <f>ROUND(C11/E7,4)</f>
        <v>#DIV/0!</v>
      </c>
      <c r="F10" s="1431" t="s">
        <v>940</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21"/>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3"/>
      <c r="B11" s="1434" t="s">
        <v>941</v>
      </c>
      <c r="C11" s="1047">
        <f>C10/4</f>
        <v>0</v>
      </c>
      <c r="D11" s="1047" t="s">
        <v>942</v>
      </c>
      <c r="E11" s="1047" t="e">
        <f>ROUND(C11/E7,4)</f>
        <v>#DIV/0!</v>
      </c>
      <c r="F11" s="1435" t="s">
        <v>943</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21" t="s">
        <v>2782</v>
      </c>
      <c r="X11" s="1046" t="s">
        <v>2767</v>
      </c>
      <c r="Y11" s="1652">
        <f>$G$3</f>
        <v>1.8</v>
      </c>
      <c r="Z11" s="1652">
        <f t="shared" ref="Z11:AJ11" si="3">$G$3</f>
        <v>1.8</v>
      </c>
      <c r="AA11" s="1652">
        <f t="shared" si="3"/>
        <v>1.8</v>
      </c>
      <c r="AB11" s="1652">
        <f t="shared" si="3"/>
        <v>1.8</v>
      </c>
      <c r="AC11" s="1652">
        <f t="shared" si="3"/>
        <v>1.8</v>
      </c>
      <c r="AD11" s="1652">
        <f t="shared" si="3"/>
        <v>1.8</v>
      </c>
      <c r="AE11" s="1652">
        <f t="shared" si="3"/>
        <v>1.8</v>
      </c>
      <c r="AF11" s="1652">
        <f t="shared" si="3"/>
        <v>1.8</v>
      </c>
      <c r="AG11" s="1652">
        <f t="shared" si="3"/>
        <v>1.8</v>
      </c>
      <c r="AH11" s="1652">
        <f t="shared" si="3"/>
        <v>1.8</v>
      </c>
      <c r="AI11" s="1652">
        <f t="shared" si="3"/>
        <v>1.8</v>
      </c>
      <c r="AJ11" s="1652">
        <f t="shared" si="3"/>
        <v>1.8</v>
      </c>
    </row>
    <row r="12" spans="1:39" ht="25.5" thickBot="1">
      <c r="A12" s="3412" t="s">
        <v>1870</v>
      </c>
      <c r="B12" s="1438" t="s">
        <v>944</v>
      </c>
      <c r="C12" s="1041">
        <f>ROUND(C15*D15*E15*F15*G15*H15*I15*J15,4)</f>
        <v>1</v>
      </c>
      <c r="D12" s="1439" t="s">
        <v>945</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21"/>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4"/>
      <c r="B13" s="1443" t="s">
        <v>1695</v>
      </c>
      <c r="C13" s="1444" t="s">
        <v>1696</v>
      </c>
      <c r="D13" s="1087" t="s">
        <v>1697</v>
      </c>
      <c r="E13" s="1087" t="s">
        <v>1698</v>
      </c>
      <c r="F13" s="1445" t="s">
        <v>946</v>
      </c>
      <c r="G13" s="1446" t="s">
        <v>1641</v>
      </c>
      <c r="H13" s="1447" t="s">
        <v>1641</v>
      </c>
      <c r="I13" s="1448" t="s">
        <v>1641</v>
      </c>
      <c r="J13" s="1449" t="s">
        <v>1641</v>
      </c>
      <c r="K13" s="1400"/>
      <c r="L13" s="2189"/>
      <c r="M13" s="2189"/>
      <c r="N13" s="2189"/>
      <c r="O13" s="2189"/>
      <c r="P13" s="2189"/>
      <c r="Q13" s="2189"/>
      <c r="R13" s="2936">
        <v>12</v>
      </c>
      <c r="S13" s="2925"/>
      <c r="T13" s="2936" t="e">
        <f t="shared" si="0"/>
        <v>#DIV/0!</v>
      </c>
      <c r="U13" s="2925"/>
      <c r="V13" s="2936" t="e">
        <f t="shared" si="1"/>
        <v>#DIV/0!</v>
      </c>
      <c r="W13" s="3421"/>
      <c r="X13" s="2933"/>
      <c r="Y13" s="2932">
        <f>(-0.163*(Y12^2)-0.59*Y12+7617)*(10^(-4))/Y11</f>
        <v>0.42316666666666669</v>
      </c>
      <c r="Z13" s="2932">
        <f t="shared" ref="Z13:AJ13" si="5">(-0.163*(Z12^2)-0.59*Z12+7617)*(10^(-4))/Z11</f>
        <v>0.42316666666666669</v>
      </c>
      <c r="AA13" s="2932">
        <f t="shared" si="5"/>
        <v>0.42316666666666669</v>
      </c>
      <c r="AB13" s="2932">
        <f t="shared" si="5"/>
        <v>0.42316666666666669</v>
      </c>
      <c r="AC13" s="2932">
        <f t="shared" si="5"/>
        <v>0.42316666666666669</v>
      </c>
      <c r="AD13" s="2932">
        <f t="shared" si="5"/>
        <v>0.42316666666666669</v>
      </c>
      <c r="AE13" s="2932">
        <f t="shared" si="5"/>
        <v>0.42316666666666669</v>
      </c>
      <c r="AF13" s="2932">
        <f t="shared" si="5"/>
        <v>0.42316666666666669</v>
      </c>
      <c r="AG13" s="2932">
        <f t="shared" si="5"/>
        <v>0.42316666666666669</v>
      </c>
      <c r="AH13" s="2932">
        <f t="shared" si="5"/>
        <v>0.42316666666666669</v>
      </c>
      <c r="AI13" s="2932">
        <f t="shared" si="5"/>
        <v>0.42316666666666669</v>
      </c>
      <c r="AJ13" s="2932">
        <f t="shared" si="5"/>
        <v>0.42316666666666669</v>
      </c>
    </row>
    <row r="14" spans="1:39" ht="12.75" customHeight="1" thickBot="1">
      <c r="A14" s="3414"/>
      <c r="B14" s="1450"/>
      <c r="C14" s="1451"/>
      <c r="D14" s="1452"/>
      <c r="E14" s="1452"/>
      <c r="F14" s="1453"/>
      <c r="G14" s="1454" t="s">
        <v>947</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15"/>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896</v>
      </c>
      <c r="M15" s="1427" t="s">
        <v>982</v>
      </c>
      <c r="N15" s="1427" t="s">
        <v>983</v>
      </c>
      <c r="O15" s="1427" t="s">
        <v>900</v>
      </c>
      <c r="P15" s="1475" t="s">
        <v>984</v>
      </c>
      <c r="Q15" s="2189"/>
      <c r="R15" s="2936">
        <v>14</v>
      </c>
      <c r="S15" s="2925"/>
      <c r="T15" s="2936" t="e">
        <f t="shared" si="0"/>
        <v>#DIV/0!</v>
      </c>
      <c r="U15" s="2925"/>
      <c r="V15" s="2936" t="e">
        <f t="shared" si="1"/>
        <v>#DIV/0!</v>
      </c>
      <c r="W15" s="2189"/>
      <c r="X15" s="2189"/>
      <c r="Y15" s="2189"/>
      <c r="Z15" s="2189"/>
      <c r="AA15" s="2189"/>
      <c r="AB15" s="2189"/>
      <c r="AC15" s="2190"/>
    </row>
    <row r="16" spans="1:39" ht="24">
      <c r="A16" s="3412" t="s">
        <v>1837</v>
      </c>
      <c r="B16" s="1426" t="s">
        <v>948</v>
      </c>
      <c r="C16" s="1052" t="e">
        <f>ROUND(SUM(G17:J17)/C17,0)</f>
        <v>#DIV/0!</v>
      </c>
      <c r="D16" s="1459" t="s">
        <v>949</v>
      </c>
      <c r="E16" s="1460"/>
      <c r="F16" s="1461"/>
      <c r="G16" s="1462"/>
      <c r="H16" s="1462"/>
      <c r="I16" s="1462"/>
      <c r="J16" s="1462"/>
      <c r="K16" s="1400"/>
      <c r="L16" s="1463" t="s">
        <v>986</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13"/>
      <c r="B17" s="1464" t="s">
        <v>951</v>
      </c>
      <c r="C17" s="1053">
        <f>SUMPRODUCT((修正!A2:A5=E2)*(修正!B1:M1=G2)*(修正!B2:M5))</f>
        <v>0</v>
      </c>
      <c r="D17" s="1466" t="s">
        <v>952</v>
      </c>
      <c r="E17" s="1467" t="str">
        <f>IF(OR(G2="八级",G2="九级",G2="十级",G2="十一级",G2="十二级"),"五通一平","七通一平")</f>
        <v>七通一平</v>
      </c>
      <c r="F17" s="1465"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972</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954</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955</v>
      </c>
      <c r="C19" s="1055" t="e">
        <f>ROUND(IF(H19="按公示增长率计算",SUMPRODUCT((地价!A3:A22=YEAR(G19)&amp;"-"&amp;ROUNDUP(MONTH(G19)/3,0))*(地价!X2:AB2=E2)*(地价!X3:AB22)),IF(H19="地价指数",M20/M19,(1+I19)^O19)),4)</f>
        <v>#DIV/0!</v>
      </c>
      <c r="D19" s="1473" t="s">
        <v>956</v>
      </c>
      <c r="E19" s="1056">
        <v>41640</v>
      </c>
      <c r="F19" s="1473" t="s">
        <v>957</v>
      </c>
      <c r="G19" s="1057">
        <f>'数据-取费表'!B2</f>
        <v>43276</v>
      </c>
      <c r="H19" s="1474" t="s">
        <v>2936</v>
      </c>
      <c r="I19" s="2784" t="str">
        <f>IF(H19="季度增幅（自定义）",SUMIF(N21:N24,E2,O21:O24),"")</f>
        <v/>
      </c>
      <c r="J19" s="1470"/>
      <c r="K19" s="1480"/>
      <c r="L19" s="3039" t="s">
        <v>2842</v>
      </c>
      <c r="M19" s="3040">
        <f>ROUND(SUMIF(地价!B2:F2,E2,地价!B22:F22),0)</f>
        <v>0</v>
      </c>
      <c r="N19" s="2786" t="s">
        <v>1675</v>
      </c>
      <c r="O19" s="2785">
        <f>ROUNDDOWN(DATEDIF(E19,G19,"M")/3,0)</f>
        <v>17</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970</v>
      </c>
      <c r="C20" s="2780" t="e">
        <f>ROUND(POWER(1+G20,J20-I20)*(POWER(1+G20,I20)-1)/(POWER(1+G20,J20)-1),4)</f>
        <v>#DIV/0!</v>
      </c>
      <c r="D20" s="2781" t="s">
        <v>971</v>
      </c>
      <c r="E20" s="3093">
        <f ca="1">存贷款利率!I4/100</f>
        <v>4.3499999999999997E-2</v>
      </c>
      <c r="F20" s="2781" t="s">
        <v>972</v>
      </c>
      <c r="G20" s="2782">
        <f>SUMIF(M15:P15,E2,M17:P17)</f>
        <v>0</v>
      </c>
      <c r="H20" s="2781" t="s">
        <v>973</v>
      </c>
      <c r="I20" s="2771" t="e">
        <f>SUMIF('数据-取费表'!C6:C15,E2,'数据-取费表'!F6:F15)/COUNTIF('数据-取费表'!C6:C15,E2)</f>
        <v>#DIV/0!</v>
      </c>
      <c r="J20" s="2783">
        <f>IF(E2="住宅",70,IF(E2="商业",40,50))</f>
        <v>50</v>
      </c>
      <c r="K20" s="1480"/>
      <c r="L20" s="3041" t="s">
        <v>2843</v>
      </c>
      <c r="M20" s="3042">
        <f>ROUND(SUMPRODUCT((地价!A4:A22=YEAR(G19)&amp;"-"&amp;ROUNDUP(MONTH(G19)/3,0))*(地价!B2:F2=E2)*(地价!B4:F22)),0)</f>
        <v>0</v>
      </c>
      <c r="N20" s="2789" t="s">
        <v>2646</v>
      </c>
      <c r="O20" s="2787" t="s">
        <v>2645</v>
      </c>
      <c r="P20" s="2788" t="s">
        <v>2651</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1836</v>
      </c>
      <c r="B21" s="1479" t="s">
        <v>2762</v>
      </c>
      <c r="C21" s="1156">
        <f>IF(B21="容积率修正",IF(G3&lt;=10,D22,J22),C23)</f>
        <v>0</v>
      </c>
      <c r="D21" s="1480"/>
      <c r="E21" s="1480"/>
      <c r="F21" s="1480"/>
      <c r="G21" s="1480"/>
      <c r="H21" s="1480"/>
      <c r="I21" s="1480"/>
      <c r="J21" s="1481"/>
      <c r="K21" s="1480"/>
      <c r="L21" s="1480"/>
      <c r="M21" s="1480"/>
      <c r="N21" s="1477" t="s">
        <v>974</v>
      </c>
      <c r="O21" s="1541"/>
      <c r="P21" s="2769">
        <f>SUMPRODUCT((地价!A3:A22=YEAR(G19)&amp;"-"&amp;ROUNDUP(MONTH(G19)/3,0))*(地价!AD2:AH2=N21)*(地价!AD3:AH22))</f>
        <v>1.5699999999999999E-2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1869</v>
      </c>
      <c r="B22" s="1482" t="s">
        <v>975</v>
      </c>
      <c r="C22" s="1058" t="s">
        <v>1701</v>
      </c>
      <c r="D22" s="1058" t="b">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80"/>
      <c r="L22" s="1480"/>
      <c r="M22" s="1480"/>
      <c r="N22" s="1477" t="s">
        <v>977</v>
      </c>
      <c r="O22" s="1541"/>
      <c r="P22" s="2769">
        <f>SUMPRODUCT((地价!A3:A22=YEAR(G19)&amp;"-"&amp;ROUNDUP(MONTH(G19)/3,0))*(地价!AD2:AH2=N22)*(地价!AD3:AH22))</f>
        <v>1.5699999999999999E-2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1870</v>
      </c>
      <c r="B23" s="1482" t="s">
        <v>978</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921</v>
      </c>
      <c r="O23" s="1541"/>
      <c r="P23" s="2769">
        <f>SUMPRODUCT((地价!A3:A22=YEAR(G19)&amp;"-"&amp;ROUNDUP(MONTH(G19)/3,0))*(地价!AD2:AH2=N23)*(地价!AD3:AH22))</f>
        <v>2.5000000000000001E-2</v>
      </c>
      <c r="R23" s="2924"/>
      <c r="S23" s="2924"/>
      <c r="T23" s="2924"/>
      <c r="U23" s="2924"/>
      <c r="V23" s="2924"/>
      <c r="W23" s="2195"/>
      <c r="X23" s="2195"/>
      <c r="Y23" s="2195"/>
      <c r="Z23" s="2195"/>
      <c r="AA23" s="2195"/>
      <c r="AB23" s="2195"/>
      <c r="AC23" s="2195"/>
      <c r="AN23" s="1403"/>
    </row>
    <row r="24" spans="1:40" s="1420" customFormat="1" ht="15.75" thickBot="1">
      <c r="A24" s="1640" t="s">
        <v>1871</v>
      </c>
      <c r="B24" s="1414" t="s">
        <v>979</v>
      </c>
      <c r="C24" s="1060">
        <f>SUMIF(A44:A87,E2,B44:B87)</f>
        <v>0</v>
      </c>
      <c r="D24" s="1534"/>
      <c r="E24" s="1535"/>
      <c r="F24" s="1535"/>
      <c r="G24" s="1535"/>
      <c r="H24" s="1535"/>
      <c r="I24" s="1535"/>
      <c r="J24" s="1535"/>
      <c r="K24" s="1480"/>
      <c r="L24" s="1480"/>
      <c r="M24" s="1480"/>
      <c r="N24" s="1483" t="s">
        <v>980</v>
      </c>
      <c r="O24" s="1542"/>
      <c r="P24" s="1540">
        <f>SUMPRODUCT((地价!A3:A22=YEAR(G19)&amp;"-"&amp;ROUNDUP(MONTH(G19)/3,0))*(地价!AD2:AH2=N24)*(地价!AD3:AH22))</f>
        <v>1.35E-2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1872</v>
      </c>
      <c r="B25" s="1485" t="s">
        <v>981</v>
      </c>
      <c r="C25" s="1486"/>
      <c r="D25" s="1429"/>
      <c r="E25" s="1429"/>
      <c r="F25" s="1487"/>
      <c r="G25" s="1429"/>
      <c r="H25" s="1429"/>
      <c r="I25" s="1429"/>
      <c r="J25" s="1430"/>
      <c r="K25" s="1400"/>
      <c r="L25" s="2195"/>
      <c r="M25" s="2195"/>
      <c r="N25" s="2797" t="s">
        <v>2649</v>
      </c>
      <c r="O25" s="2195"/>
      <c r="P25" s="1540">
        <f>SUMPRODUCT((地价!A3:A22=YEAR(G19)&amp;"-"&amp;ROUNDUP(MONTH(G19)/3,0))*(地价!AD2:AH2=N25)*(地价!AD3:AH22))</f>
        <v>2.2700000000000001E-2</v>
      </c>
      <c r="R25" s="2924"/>
      <c r="S25" s="2924"/>
      <c r="T25" s="2924"/>
      <c r="U25" s="2924"/>
      <c r="V25" s="2924"/>
      <c r="W25" s="2195"/>
      <c r="X25" s="2195"/>
      <c r="Y25" s="2195"/>
      <c r="Z25" s="2195"/>
      <c r="AA25" s="2195"/>
      <c r="AB25" s="2195"/>
      <c r="AC25" s="2195"/>
    </row>
    <row r="26" spans="1:40" ht="14.25">
      <c r="A26" s="1488"/>
      <c r="B26" s="1482" t="s">
        <v>985</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987</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988</v>
      </c>
      <c r="C28" s="1498" t="s">
        <v>989</v>
      </c>
      <c r="D28" s="1498" t="s">
        <v>990</v>
      </c>
      <c r="E28" s="1499" t="s">
        <v>991</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992</v>
      </c>
      <c r="C29" s="1061" t="e">
        <f>ROUND(C5*C18*C19*C20*C21*C24,0)</f>
        <v>#DIV/0!</v>
      </c>
      <c r="D29" s="1503"/>
      <c r="E29" s="1849" t="e">
        <f>ROUND(C29*D29/10000,0)</f>
        <v>#DIV/0!</v>
      </c>
      <c r="F29" s="1504" t="s">
        <v>1700</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993</v>
      </c>
      <c r="C30" s="1049" t="e">
        <f>ROUND(IF(E2="工业",C29*M39,C29*M38),0)</f>
        <v>#DIV/0!</v>
      </c>
      <c r="D30" s="1509"/>
      <c r="E30" s="1849" t="e">
        <f>ROUND(C30*D30/10000,0)</f>
        <v>#DIV/0!</v>
      </c>
      <c r="F30" s="1510" t="s">
        <v>994</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995</v>
      </c>
      <c r="C31" s="1515" t="s">
        <v>996</v>
      </c>
      <c r="D31" s="1441"/>
      <c r="E31" s="1515"/>
      <c r="F31" s="1515"/>
      <c r="G31" s="1439" t="s">
        <v>994</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989</v>
      </c>
      <c r="D32" s="1519" t="s">
        <v>990</v>
      </c>
      <c r="E32" s="1519" t="s">
        <v>991</v>
      </c>
      <c r="F32" s="1520" t="s">
        <v>997</v>
      </c>
      <c r="G32" s="1478" t="s">
        <v>989</v>
      </c>
      <c r="H32" s="1478" t="s">
        <v>990</v>
      </c>
      <c r="I32" s="1478" t="s">
        <v>991</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8" t="s">
        <v>2962</v>
      </c>
      <c r="B33" s="1523" t="s">
        <v>998</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9"/>
      <c r="B34" s="1444" t="s">
        <v>999</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9"/>
      <c r="B35" s="1444" t="s">
        <v>1000</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0"/>
      <c r="B36" s="1444" t="s">
        <v>1001</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1002</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1003</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1004</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1005</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1006</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1007</v>
      </c>
      <c r="B46" s="2408" t="s">
        <v>1008</v>
      </c>
      <c r="C46" s="2430" t="s">
        <v>1009</v>
      </c>
      <c r="D46" s="2431" t="s">
        <v>1010</v>
      </c>
      <c r="E46" s="2432" t="s">
        <v>1012</v>
      </c>
      <c r="F46" s="2433" t="s">
        <v>2251</v>
      </c>
      <c r="G46" s="2431" t="s">
        <v>1013</v>
      </c>
      <c r="H46" s="2414" t="s">
        <v>2419</v>
      </c>
      <c r="I46" s="2431" t="s">
        <v>1011</v>
      </c>
      <c r="J46" s="2434" t="s">
        <v>1014</v>
      </c>
      <c r="K46" s="2434" t="s">
        <v>1015</v>
      </c>
      <c r="L46" s="2434" t="s">
        <v>1016</v>
      </c>
      <c r="M46" s="2434" t="s">
        <v>1017</v>
      </c>
      <c r="N46" s="2434" t="s">
        <v>1018</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1019</v>
      </c>
      <c r="B47" s="2411" t="str">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1020</v>
      </c>
      <c r="B48" s="2408">
        <f>估价对象房地状况!C18</f>
        <v>0</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1021</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1022</v>
      </c>
      <c r="B50" s="3095" t="s">
        <v>2938</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1023</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1024</v>
      </c>
      <c r="B52" s="3094" t="s">
        <v>2937</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1025</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1026</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1027</v>
      </c>
      <c r="B55" s="2412" t="str">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1028</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1007</v>
      </c>
      <c r="B57" s="2408"/>
      <c r="C57" s="2430" t="s">
        <v>1009</v>
      </c>
      <c r="D57" s="2431" t="s">
        <v>1010</v>
      </c>
      <c r="E57" s="2432" t="s">
        <v>1012</v>
      </c>
      <c r="F57" s="2433" t="s">
        <v>2252</v>
      </c>
      <c r="G57" s="2431" t="s">
        <v>1013</v>
      </c>
      <c r="H57" s="2414" t="s">
        <v>2419</v>
      </c>
      <c r="I57" s="2431" t="s">
        <v>1011</v>
      </c>
      <c r="J57" s="2434" t="s">
        <v>1014</v>
      </c>
      <c r="K57" s="2434" t="s">
        <v>1015</v>
      </c>
      <c r="L57" s="2434" t="s">
        <v>1016</v>
      </c>
      <c r="M57" s="2434" t="s">
        <v>1017</v>
      </c>
      <c r="N57" s="2434" t="s">
        <v>1018</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1029</v>
      </c>
      <c r="B58" s="2411" t="str">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1020</v>
      </c>
      <c r="B59" s="2408">
        <f>估价对象房地状况!C18</f>
        <v>0</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1021</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1022</v>
      </c>
      <c r="B61" s="3095" t="s">
        <v>2939</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1023</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1024</v>
      </c>
      <c r="B63" s="3094" t="s">
        <v>2937</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1025</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1026</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1027</v>
      </c>
      <c r="B66" s="2413" t="str">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1030</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1007</v>
      </c>
      <c r="B68" s="2408"/>
      <c r="C68" s="2430" t="s">
        <v>1009</v>
      </c>
      <c r="D68" s="2431" t="s">
        <v>1010</v>
      </c>
      <c r="E68" s="2432" t="s">
        <v>1012</v>
      </c>
      <c r="F68" s="2433" t="s">
        <v>2253</v>
      </c>
      <c r="G68" s="2431" t="s">
        <v>1013</v>
      </c>
      <c r="H68" s="2414" t="s">
        <v>2419</v>
      </c>
      <c r="I68" s="2431" t="s">
        <v>1011</v>
      </c>
      <c r="J68" s="2434" t="s">
        <v>1014</v>
      </c>
      <c r="K68" s="2434" t="s">
        <v>1015</v>
      </c>
      <c r="L68" s="2434" t="s">
        <v>1016</v>
      </c>
      <c r="M68" s="2434" t="s">
        <v>1017</v>
      </c>
      <c r="N68" s="2434" t="s">
        <v>1018</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1031</v>
      </c>
      <c r="B69" s="2411" t="str">
        <f>估价对象房地状况!C15</f>
        <v>0</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1032</v>
      </c>
      <c r="B70" s="2408">
        <f>估价对象房地状况!C18</f>
        <v>0</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1021</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1033</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1025</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1026</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1024</v>
      </c>
      <c r="B75" s="3094" t="s">
        <v>2937</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1027</v>
      </c>
      <c r="B76" s="2411" t="str">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1034</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1035</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1007</v>
      </c>
      <c r="B79" s="2408"/>
      <c r="C79" s="2430" t="s">
        <v>1009</v>
      </c>
      <c r="D79" s="2431" t="s">
        <v>1010</v>
      </c>
      <c r="E79" s="2432" t="s">
        <v>1012</v>
      </c>
      <c r="F79" s="2433" t="s">
        <v>2254</v>
      </c>
      <c r="G79" s="2431" t="s">
        <v>1013</v>
      </c>
      <c r="H79" s="2414" t="s">
        <v>2419</v>
      </c>
      <c r="I79" s="2431" t="s">
        <v>1011</v>
      </c>
      <c r="J79" s="2434" t="s">
        <v>1014</v>
      </c>
      <c r="K79" s="2434" t="s">
        <v>1015</v>
      </c>
      <c r="L79" s="2434" t="s">
        <v>1016</v>
      </c>
      <c r="M79" s="2434" t="s">
        <v>1017</v>
      </c>
      <c r="N79" s="2434" t="s">
        <v>1018</v>
      </c>
      <c r="AC79" s="1404"/>
      <c r="AD79" s="1403"/>
      <c r="AJ79" s="1402"/>
      <c r="AN79" s="1403"/>
    </row>
    <row r="80" spans="1:40" ht="36">
      <c r="A80" s="1065" t="s">
        <v>1036</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1032</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1021</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1033</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1025</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1026</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1024</v>
      </c>
      <c r="B86" s="3094" t="s">
        <v>2937</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1037</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16" t="s">
        <v>1632</v>
      </c>
      <c r="B90" s="3416"/>
      <c r="C90" s="3416"/>
      <c r="D90" s="3416"/>
      <c r="E90" s="3416"/>
      <c r="F90" s="3416"/>
      <c r="G90" s="3416"/>
      <c r="H90" s="3416"/>
      <c r="I90" s="3416"/>
      <c r="J90" s="3416"/>
      <c r="K90" s="2450"/>
      <c r="L90" s="2450"/>
      <c r="M90" s="2450"/>
      <c r="N90" s="2450"/>
    </row>
    <row r="91" spans="1:40">
      <c r="A91" s="3417" t="s">
        <v>1442</v>
      </c>
      <c r="B91" s="3417" t="s">
        <v>1633</v>
      </c>
      <c r="C91" s="1138" t="s">
        <v>1634</v>
      </c>
      <c r="D91" s="1139"/>
      <c r="E91" s="1139"/>
      <c r="F91" s="1139"/>
      <c r="G91" s="1139"/>
      <c r="H91" s="1139"/>
      <c r="I91" s="1139"/>
      <c r="J91" s="1140"/>
      <c r="K91" s="1132"/>
      <c r="L91" s="1132"/>
      <c r="M91" s="1132"/>
      <c r="N91" s="1132"/>
    </row>
    <row r="92" spans="1:40">
      <c r="A92" s="3417"/>
      <c r="B92" s="3417"/>
      <c r="C92" s="2449" t="s">
        <v>905</v>
      </c>
      <c r="D92" s="2449" t="s">
        <v>883</v>
      </c>
      <c r="E92" s="2449" t="s">
        <v>884</v>
      </c>
      <c r="F92" s="2449" t="s">
        <v>908</v>
      </c>
      <c r="G92" s="2449" t="s">
        <v>886</v>
      </c>
      <c r="H92" s="2449" t="s">
        <v>887</v>
      </c>
      <c r="I92" s="2449" t="s">
        <v>888</v>
      </c>
      <c r="J92" s="2449" t="s">
        <v>889</v>
      </c>
      <c r="K92" s="2449" t="s">
        <v>913</v>
      </c>
      <c r="L92" s="2449" t="s">
        <v>891</v>
      </c>
      <c r="M92" s="2449" t="s">
        <v>892</v>
      </c>
      <c r="N92" s="2449" t="s">
        <v>916</v>
      </c>
    </row>
    <row r="93" spans="1:40">
      <c r="A93" s="3424"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5"/>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4" t="s">
        <v>1636</v>
      </c>
      <c r="B101" s="1145" t="s">
        <v>904</v>
      </c>
      <c r="C101" s="1146">
        <f>$G$3</f>
        <v>1.8</v>
      </c>
      <c r="D101" s="1146">
        <f t="shared" ref="D101:N101" si="31">$G$3</f>
        <v>1.8</v>
      </c>
      <c r="E101" s="1146">
        <f t="shared" si="31"/>
        <v>1.8</v>
      </c>
      <c r="F101" s="1146">
        <f t="shared" si="31"/>
        <v>1.8</v>
      </c>
      <c r="G101" s="1146">
        <f t="shared" si="31"/>
        <v>1.8</v>
      </c>
      <c r="H101" s="1146">
        <f t="shared" si="31"/>
        <v>1.8</v>
      </c>
      <c r="I101" s="1146">
        <f t="shared" si="31"/>
        <v>1.8</v>
      </c>
      <c r="J101" s="1146">
        <f t="shared" si="31"/>
        <v>1.8</v>
      </c>
      <c r="K101" s="1146">
        <f t="shared" si="31"/>
        <v>1.8</v>
      </c>
      <c r="L101" s="1146">
        <f t="shared" si="31"/>
        <v>1.8</v>
      </c>
      <c r="M101" s="1146">
        <f t="shared" si="31"/>
        <v>1.8</v>
      </c>
      <c r="N101" s="1146">
        <f t="shared" si="31"/>
        <v>1.8</v>
      </c>
    </row>
    <row r="102" spans="1:14">
      <c r="A102" s="3425"/>
      <c r="B102" s="1141">
        <v>1</v>
      </c>
      <c r="C102" s="1142">
        <f>1.9362/C101</f>
        <v>1.0756666666666665</v>
      </c>
      <c r="D102" s="1142">
        <f>1.9362/D101</f>
        <v>1.0756666666666665</v>
      </c>
      <c r="E102" s="1142">
        <f>1.8629/E101</f>
        <v>1.0349444444444444</v>
      </c>
      <c r="F102" s="1142">
        <f>1.8629/F101</f>
        <v>1.0349444444444444</v>
      </c>
      <c r="G102" s="1142">
        <f>1.8629/G101</f>
        <v>1.0349444444444444</v>
      </c>
      <c r="H102" s="1142">
        <f>1.8629/H101</f>
        <v>1.0349444444444444</v>
      </c>
      <c r="I102" s="1142">
        <f>1.8629/I101</f>
        <v>1.0349444444444444</v>
      </c>
      <c r="J102" s="1142">
        <f>1.942/J101</f>
        <v>1.0788888888888888</v>
      </c>
      <c r="K102" s="1142">
        <f>1.942/K101</f>
        <v>1.0788888888888888</v>
      </c>
      <c r="L102" s="1142">
        <f>1.942/L101</f>
        <v>1.0788888888888888</v>
      </c>
      <c r="M102" s="1142">
        <f>1.942/M101</f>
        <v>1.0788888888888888</v>
      </c>
      <c r="N102" s="1142">
        <f>1.942/N101</f>
        <v>1.0788888888888888</v>
      </c>
    </row>
    <row r="103" spans="1:14">
      <c r="A103" s="3425"/>
      <c r="B103" s="1141">
        <v>2</v>
      </c>
      <c r="C103" s="1142">
        <f>1.4198/C101</f>
        <v>0.78877777777777769</v>
      </c>
      <c r="D103" s="1142">
        <f>1.4198/D101</f>
        <v>0.78877777777777769</v>
      </c>
      <c r="E103" s="1142">
        <f>1.3372/E101</f>
        <v>0.74288888888888882</v>
      </c>
      <c r="F103" s="1142">
        <f>1.3372/F101</f>
        <v>0.74288888888888882</v>
      </c>
      <c r="G103" s="1142">
        <f>1.3372/G101</f>
        <v>0.74288888888888882</v>
      </c>
      <c r="H103" s="1142">
        <f>1.3372/H101</f>
        <v>0.74288888888888882</v>
      </c>
      <c r="I103" s="1142">
        <f>1.3372/I101</f>
        <v>0.74288888888888882</v>
      </c>
      <c r="J103" s="1142">
        <f>1.2799/J101</f>
        <v>0.71105555555555555</v>
      </c>
      <c r="K103" s="1142">
        <f>1.2799/K101</f>
        <v>0.71105555555555555</v>
      </c>
      <c r="L103" s="1142">
        <f>1.2799/L101</f>
        <v>0.71105555555555555</v>
      </c>
      <c r="M103" s="1142">
        <f>1.2799/M101</f>
        <v>0.71105555555555555</v>
      </c>
      <c r="N103" s="1142">
        <f>1.2799/N101</f>
        <v>0.71105555555555555</v>
      </c>
    </row>
    <row r="104" spans="1:14">
      <c r="A104" s="3425"/>
      <c r="B104" s="1141">
        <v>3</v>
      </c>
      <c r="C104" s="1142">
        <f>1.1594/C101</f>
        <v>0.64411111111111108</v>
      </c>
      <c r="D104" s="1142">
        <f>1.1594/D101</f>
        <v>0.64411111111111108</v>
      </c>
      <c r="E104" s="1142">
        <f>1.0788/E101</f>
        <v>0.59933333333333327</v>
      </c>
      <c r="F104" s="1142">
        <f>1.0788/F101</f>
        <v>0.59933333333333327</v>
      </c>
      <c r="G104" s="1142">
        <f>1.0788/G101</f>
        <v>0.59933333333333327</v>
      </c>
      <c r="H104" s="1142">
        <f>1.0788/H101</f>
        <v>0.59933333333333327</v>
      </c>
      <c r="I104" s="1142">
        <f>1.0788/I101</f>
        <v>0.59933333333333327</v>
      </c>
      <c r="J104" s="1142">
        <f>1.0072/J101</f>
        <v>0.55955555555555558</v>
      </c>
      <c r="K104" s="1142">
        <f>1.0072/K101</f>
        <v>0.55955555555555558</v>
      </c>
      <c r="L104" s="1142">
        <f>1.0072/L101</f>
        <v>0.55955555555555558</v>
      </c>
      <c r="M104" s="1142">
        <f>1.0072/M101</f>
        <v>0.55955555555555558</v>
      </c>
      <c r="N104" s="1142">
        <f>1.0072/N101</f>
        <v>0.55955555555555558</v>
      </c>
    </row>
    <row r="105" spans="1:14">
      <c r="A105" s="3425"/>
      <c r="B105" s="1141">
        <v>4</v>
      </c>
      <c r="C105" s="1142">
        <f>0.9622/C101</f>
        <v>0.53455555555555556</v>
      </c>
      <c r="D105" s="1142">
        <f>0.9622/D101</f>
        <v>0.53455555555555556</v>
      </c>
      <c r="E105" s="1142">
        <f>0.8656/E101</f>
        <v>0.48088888888888892</v>
      </c>
      <c r="F105" s="1142">
        <f>0.8656/F101</f>
        <v>0.48088888888888892</v>
      </c>
      <c r="G105" s="1142">
        <f>0.8656/G101</f>
        <v>0.48088888888888892</v>
      </c>
      <c r="H105" s="1142">
        <f>0.8656/H101</f>
        <v>0.48088888888888892</v>
      </c>
      <c r="I105" s="1142">
        <f>0.8656/I101</f>
        <v>0.48088888888888892</v>
      </c>
      <c r="J105" s="1142">
        <f>0.7525/J101</f>
        <v>0.41805555555555551</v>
      </c>
      <c r="K105" s="1142">
        <f>0.7525/K101</f>
        <v>0.41805555555555551</v>
      </c>
      <c r="L105" s="1142">
        <f>0.7525/L101</f>
        <v>0.41805555555555551</v>
      </c>
      <c r="M105" s="1142">
        <f>0.7525/M101</f>
        <v>0.41805555555555551</v>
      </c>
      <c r="N105" s="1142">
        <f>0.7525/N101</f>
        <v>0.41805555555555551</v>
      </c>
    </row>
    <row r="106" spans="1:14">
      <c r="A106" s="3425"/>
      <c r="B106" s="1141">
        <v>5</v>
      </c>
      <c r="C106" s="1142">
        <f>0.8417/C101</f>
        <v>0.46761111111111109</v>
      </c>
      <c r="D106" s="1142">
        <f>0.8417/D101</f>
        <v>0.46761111111111109</v>
      </c>
      <c r="E106" s="1142">
        <f>0.7371/E101</f>
        <v>0.40949999999999998</v>
      </c>
      <c r="F106" s="1142">
        <f>0.7371/F101</f>
        <v>0.40949999999999998</v>
      </c>
      <c r="G106" s="1142">
        <f>0.7371/G101</f>
        <v>0.40949999999999998</v>
      </c>
      <c r="H106" s="1142">
        <f>0.7371/H101</f>
        <v>0.40949999999999998</v>
      </c>
      <c r="I106" s="1142">
        <f>0.7371/I101</f>
        <v>0.40949999999999998</v>
      </c>
      <c r="J106" s="1142">
        <f>0.5659/J101</f>
        <v>0.31438888888888888</v>
      </c>
      <c r="K106" s="1142">
        <f>0.5659/K101</f>
        <v>0.31438888888888888</v>
      </c>
      <c r="L106" s="1142">
        <f>0.5659/L101</f>
        <v>0.31438888888888888</v>
      </c>
      <c r="M106" s="1142">
        <f>0.5659/M101</f>
        <v>0.31438888888888888</v>
      </c>
      <c r="N106" s="1142">
        <f>0.5659/N101</f>
        <v>0.31438888888888888</v>
      </c>
    </row>
    <row r="107" spans="1:14">
      <c r="A107" s="3425"/>
      <c r="B107" s="1141">
        <v>6</v>
      </c>
      <c r="C107" s="1142">
        <f>0.7608/C101</f>
        <v>0.42266666666666669</v>
      </c>
      <c r="D107" s="1142">
        <f>0.7608/D101</f>
        <v>0.42266666666666669</v>
      </c>
      <c r="E107" s="1142">
        <f>0.6482/E101</f>
        <v>0.3601111111111111</v>
      </c>
      <c r="F107" s="1142">
        <f>0.6482/F101</f>
        <v>0.3601111111111111</v>
      </c>
      <c r="G107" s="1142">
        <f>0.6482/G101</f>
        <v>0.3601111111111111</v>
      </c>
      <c r="H107" s="1142">
        <f>0.6482/H101</f>
        <v>0.3601111111111111</v>
      </c>
      <c r="I107" s="1142">
        <f>0.6482/I101</f>
        <v>0.3601111111111111</v>
      </c>
      <c r="J107" s="1142">
        <f>0.4525/J101</f>
        <v>0.25138888888888888</v>
      </c>
      <c r="K107" s="1142">
        <f>0.4525/K101</f>
        <v>0.25138888888888888</v>
      </c>
      <c r="L107" s="1142">
        <f>0.4525/L101</f>
        <v>0.25138888888888888</v>
      </c>
      <c r="M107" s="1142">
        <f>0.4525/M101</f>
        <v>0.25138888888888888</v>
      </c>
      <c r="N107" s="1142">
        <f>0.4525/N101</f>
        <v>0.25138888888888888</v>
      </c>
    </row>
    <row r="108" spans="1:14">
      <c r="A108" s="3425"/>
      <c r="B108" s="3427"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6"/>
      <c r="B109" s="3428"/>
      <c r="C109" s="1144">
        <f>(-0.163*(C108^2)-0.59*C108+7617)*(10^(-4))/C101</f>
        <v>0.42232488888888886</v>
      </c>
      <c r="D109" s="1144">
        <f>(-0.163*(D108^2)-0.59*D108+7617)*(10^(-4))/D101</f>
        <v>0.42232488888888886</v>
      </c>
      <c r="E109" s="1144">
        <f>(-0.161*(E108^2)-7.509*E108+6533)*(10^(-4))/E101</f>
        <v>0.35903466666666667</v>
      </c>
      <c r="F109" s="1144">
        <f>(-0.161*(F108^2)-7.509*F108+6533)*(10^(-4))/F101</f>
        <v>0.35903466666666667</v>
      </c>
      <c r="G109" s="1144">
        <f>(-0.161*(G108^2)-7.509*G108+6533)*(10^(-4))/G101</f>
        <v>0.35903466666666667</v>
      </c>
      <c r="H109" s="1144">
        <f>(-0.161*(H108^2)-7.509*H108+6533)*(10^(-4))/H101</f>
        <v>0.35903466666666667</v>
      </c>
      <c r="I109" s="1144">
        <f>(-0.161*(I108^2)-7.509*I108+6533)*(10^(-4))/I101</f>
        <v>0.35903466666666667</v>
      </c>
      <c r="J109" s="1144">
        <f>(-0.214*(J108^2)-21.991*J108+4665)*(10^(-4))/J101</f>
        <v>0.24863200000000002</v>
      </c>
      <c r="K109" s="1144">
        <f>(-0.214*(K108^2)-21.991*K108+4665)*(10^(-4))/K101</f>
        <v>0.24863200000000002</v>
      </c>
      <c r="L109" s="1144">
        <f>(-0.214*(L108^2)-21.991*L108+4665)*(10^(-4))/L101</f>
        <v>0.24863200000000002</v>
      </c>
      <c r="M109" s="1144">
        <f>(-0.214*(M108^2)-21.991*M108+4665)*(10^(-4))/M101</f>
        <v>0.24863200000000002</v>
      </c>
      <c r="N109" s="1144">
        <f>(-0.214*(N108^2)-21.991*N108+4665)*(10^(-4))/N101</f>
        <v>0.24863200000000002</v>
      </c>
    </row>
    <row r="110" spans="1:14">
      <c r="A110" s="3411" t="s">
        <v>1638</v>
      </c>
      <c r="B110" s="3411"/>
      <c r="C110" s="3411"/>
      <c r="D110" s="3411"/>
      <c r="E110" s="3411"/>
      <c r="F110" s="3411"/>
      <c r="G110" s="3411"/>
      <c r="H110" s="3411"/>
      <c r="I110" s="3411"/>
      <c r="J110" s="3411"/>
      <c r="K110" s="2448"/>
      <c r="L110" s="2448"/>
      <c r="M110" s="2448"/>
      <c r="N110" s="2448"/>
    </row>
    <row r="112" spans="1:14" ht="12.75" thickBot="1"/>
    <row r="113" spans="1:13" ht="25.5" thickBot="1">
      <c r="A113" s="1014" t="s">
        <v>894</v>
      </c>
      <c r="B113" s="2451">
        <f>G3</f>
        <v>1.8</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0.91659999999999997</v>
      </c>
      <c r="C115" s="1028">
        <f>B115</f>
        <v>0.91659999999999997</v>
      </c>
      <c r="D115" s="1028">
        <f>ROUND(0.8331-0.0109*B113,4)</f>
        <v>0.8135</v>
      </c>
      <c r="E115" s="1028">
        <f>D115</f>
        <v>0.8135</v>
      </c>
      <c r="F115" s="1028">
        <f>E115</f>
        <v>0.8135</v>
      </c>
      <c r="G115" s="1028">
        <f>F115</f>
        <v>0.8135</v>
      </c>
      <c r="H115" s="1028">
        <f>G115</f>
        <v>0.8135</v>
      </c>
      <c r="I115" s="1028">
        <f>ROUND(0.689-0.0155*B113,4)</f>
        <v>0.66110000000000002</v>
      </c>
      <c r="J115" s="1028">
        <f t="shared" ref="J115:M118" si="33">I115</f>
        <v>0.66110000000000002</v>
      </c>
      <c r="K115" s="1028">
        <f t="shared" si="33"/>
        <v>0.66110000000000002</v>
      </c>
      <c r="L115" s="1028">
        <f t="shared" si="33"/>
        <v>0.66110000000000002</v>
      </c>
      <c r="M115" s="1029">
        <f t="shared" si="33"/>
        <v>0.66110000000000002</v>
      </c>
    </row>
    <row r="116" spans="1:13" ht="12.75">
      <c r="A116" s="1027" t="s">
        <v>899</v>
      </c>
      <c r="B116" s="1028">
        <f>ROUND(0.949-0.012*B113,4)</f>
        <v>0.9274</v>
      </c>
      <c r="C116" s="1028">
        <f>B116</f>
        <v>0.9274</v>
      </c>
      <c r="D116" s="1028">
        <f>ROUND(0.8567-0.013*B113,4)</f>
        <v>0.83330000000000004</v>
      </c>
      <c r="E116" s="1028">
        <f t="shared" ref="E116:H117" si="34">D116</f>
        <v>0.83330000000000004</v>
      </c>
      <c r="F116" s="1028">
        <f t="shared" si="34"/>
        <v>0.83330000000000004</v>
      </c>
      <c r="G116" s="1028">
        <f t="shared" si="34"/>
        <v>0.83330000000000004</v>
      </c>
      <c r="H116" s="1028">
        <f t="shared" si="34"/>
        <v>0.83330000000000004</v>
      </c>
      <c r="I116" s="1028">
        <f>ROUND(0.7694-0.014*B113,4)</f>
        <v>0.74419999999999997</v>
      </c>
      <c r="J116" s="1028">
        <f t="shared" si="33"/>
        <v>0.74419999999999997</v>
      </c>
      <c r="K116" s="1028">
        <f t="shared" si="33"/>
        <v>0.74419999999999997</v>
      </c>
      <c r="L116" s="1028">
        <f t="shared" si="33"/>
        <v>0.74419999999999997</v>
      </c>
      <c r="M116" s="1029">
        <f t="shared" si="33"/>
        <v>0.74419999999999997</v>
      </c>
    </row>
    <row r="117" spans="1:13" ht="12.75">
      <c r="A117" s="1030" t="s">
        <v>900</v>
      </c>
      <c r="B117" s="1028">
        <f>ROUND(0.8808-0.006*B113,4)</f>
        <v>0.87</v>
      </c>
      <c r="C117" s="1028">
        <f>B117</f>
        <v>0.87</v>
      </c>
      <c r="D117" s="1028">
        <f>ROUND(0.8748-0.008*B113,4)</f>
        <v>0.86040000000000005</v>
      </c>
      <c r="E117" s="1028">
        <f t="shared" si="34"/>
        <v>0.86040000000000005</v>
      </c>
      <c r="F117" s="1028">
        <f t="shared" si="34"/>
        <v>0.86040000000000005</v>
      </c>
      <c r="G117" s="1028">
        <f t="shared" si="34"/>
        <v>0.86040000000000005</v>
      </c>
      <c r="H117" s="1028">
        <f t="shared" si="34"/>
        <v>0.86040000000000005</v>
      </c>
      <c r="I117" s="1028">
        <f>ROUND(0.7412-0.0095*B113,4)</f>
        <v>0.72409999999999997</v>
      </c>
      <c r="J117" s="1028">
        <f t="shared" si="33"/>
        <v>0.72409999999999997</v>
      </c>
      <c r="K117" s="1028">
        <f t="shared" si="33"/>
        <v>0.72409999999999997</v>
      </c>
      <c r="L117" s="1028">
        <f t="shared" si="33"/>
        <v>0.72409999999999997</v>
      </c>
      <c r="M117" s="1029">
        <f t="shared" si="33"/>
        <v>0.72409999999999997</v>
      </c>
    </row>
    <row r="118" spans="1:13" ht="13.5" thickBot="1">
      <c r="A118" s="1031" t="s">
        <v>901</v>
      </c>
      <c r="B118" s="1032">
        <f>ROUND(0.7275-0.01*B113,4)</f>
        <v>0.70950000000000002</v>
      </c>
      <c r="C118" s="1032">
        <f>B118</f>
        <v>0.70950000000000002</v>
      </c>
      <c r="D118" s="1032">
        <f>ROUND(0.7043-0.012*B113,4)</f>
        <v>0.68269999999999997</v>
      </c>
      <c r="E118" s="1032">
        <f>D118</f>
        <v>0.68269999999999997</v>
      </c>
      <c r="F118" s="1032">
        <f>E118</f>
        <v>0.68269999999999997</v>
      </c>
      <c r="G118" s="1032">
        <f>ROUND(0.6299-0.0122*B113,4)</f>
        <v>0.6079</v>
      </c>
      <c r="H118" s="1032">
        <f>G118</f>
        <v>0.6079</v>
      </c>
      <c r="I118" s="1032">
        <f>ROUND(0.5667-0.0136*B113,4)</f>
        <v>0.54220000000000002</v>
      </c>
      <c r="J118" s="1032">
        <f t="shared" si="33"/>
        <v>0.54220000000000002</v>
      </c>
      <c r="K118" s="1032">
        <f t="shared" si="33"/>
        <v>0.54220000000000002</v>
      </c>
      <c r="L118" s="1032">
        <f t="shared" si="33"/>
        <v>0.54220000000000002</v>
      </c>
      <c r="M118" s="1033">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8" customFormat="1" ht="19.5" customHeight="1">
      <c r="A18" s="3417" t="s">
        <v>1006</v>
      </c>
      <c r="B18" s="1152" t="s">
        <v>1445</v>
      </c>
      <c r="C18" s="1129" t="s">
        <v>1446</v>
      </c>
      <c r="D18" s="1130"/>
      <c r="E18" s="1152">
        <v>1</v>
      </c>
      <c r="F18" s="1131" t="s">
        <v>1447</v>
      </c>
      <c r="G18" s="1132"/>
      <c r="H18" s="1103"/>
      <c r="I18" s="1103"/>
    </row>
    <row r="19" spans="1:9" s="1598" customFormat="1" ht="19.5" customHeight="1">
      <c r="A19" s="3417"/>
      <c r="B19" s="3417" t="s">
        <v>1448</v>
      </c>
      <c r="C19" s="1129" t="s">
        <v>1449</v>
      </c>
      <c r="D19" s="1130"/>
      <c r="E19" s="1152">
        <v>0.9</v>
      </c>
      <c r="F19" s="1131" t="s">
        <v>1450</v>
      </c>
      <c r="G19" s="1132"/>
      <c r="H19" s="1103"/>
      <c r="I19" s="1103"/>
    </row>
    <row r="20" spans="1:9" s="1598" customFormat="1" ht="19.5" customHeight="1">
      <c r="A20" s="3417"/>
      <c r="B20" s="3417"/>
      <c r="C20" s="1129" t="s">
        <v>1451</v>
      </c>
      <c r="D20" s="1130"/>
      <c r="E20" s="1152">
        <v>1.1000000000000001</v>
      </c>
      <c r="F20" s="1131" t="s">
        <v>1452</v>
      </c>
      <c r="G20" s="1132"/>
      <c r="H20" s="1103"/>
      <c r="I20" s="1103"/>
    </row>
    <row r="21" spans="1:9" s="1598" customFormat="1" ht="19.5" customHeight="1">
      <c r="A21" s="3417"/>
      <c r="B21" s="3417"/>
      <c r="C21" s="1129" t="s">
        <v>1453</v>
      </c>
      <c r="D21" s="1130"/>
      <c r="E21" s="1152">
        <v>0.8</v>
      </c>
      <c r="F21" s="1131" t="s">
        <v>1454</v>
      </c>
      <c r="G21" s="1132"/>
      <c r="H21" s="1103"/>
      <c r="I21" s="1103"/>
    </row>
    <row r="22" spans="1:9" s="1598" customFormat="1" ht="19.5" customHeight="1">
      <c r="A22" s="3417"/>
      <c r="B22" s="3417"/>
      <c r="C22" s="1129" t="s">
        <v>1455</v>
      </c>
      <c r="D22" s="1130"/>
      <c r="E22" s="1152">
        <v>0.5</v>
      </c>
      <c r="F22" s="1131"/>
      <c r="G22" s="1132"/>
      <c r="H22" s="1103"/>
      <c r="I22" s="1103"/>
    </row>
    <row r="23" spans="1:9" s="1598" customFormat="1" ht="19.5" customHeight="1">
      <c r="A23" s="3417" t="s">
        <v>1028</v>
      </c>
      <c r="B23" s="1152" t="s">
        <v>1445</v>
      </c>
      <c r="C23" s="1129" t="s">
        <v>1456</v>
      </c>
      <c r="D23" s="1130"/>
      <c r="E23" s="1152">
        <v>1</v>
      </c>
      <c r="F23" s="1131" t="s">
        <v>1457</v>
      </c>
      <c r="G23" s="1132"/>
      <c r="H23" s="1103"/>
      <c r="I23" s="1103"/>
    </row>
    <row r="24" spans="1:9" s="1598" customFormat="1" ht="19.5" customHeight="1">
      <c r="A24" s="3417"/>
      <c r="B24" s="3417" t="s">
        <v>1448</v>
      </c>
      <c r="C24" s="1129" t="s">
        <v>1458</v>
      </c>
      <c r="D24" s="1130"/>
      <c r="E24" s="1152">
        <v>0.5</v>
      </c>
      <c r="F24" s="1131"/>
      <c r="G24" s="1132"/>
      <c r="H24" s="1103"/>
      <c r="I24" s="1103"/>
    </row>
    <row r="25" spans="1:9" s="1598" customFormat="1" ht="19.5" customHeight="1">
      <c r="A25" s="3417"/>
      <c r="B25" s="3417"/>
      <c r="C25" s="1129" t="s">
        <v>1459</v>
      </c>
      <c r="D25" s="1130"/>
      <c r="E25" s="1152">
        <v>1.1000000000000001</v>
      </c>
      <c r="F25" s="1131"/>
      <c r="G25" s="1132"/>
      <c r="H25" s="1103"/>
      <c r="I25" s="1103"/>
    </row>
    <row r="26" spans="1:9" s="1598" customFormat="1" ht="19.5" customHeight="1">
      <c r="A26" s="3417"/>
      <c r="B26" s="3417"/>
      <c r="C26" s="1129" t="s">
        <v>1460</v>
      </c>
      <c r="D26" s="1130"/>
      <c r="E26" s="1152">
        <v>1.1000000000000001</v>
      </c>
      <c r="F26" s="1131"/>
      <c r="G26" s="1132"/>
      <c r="H26" s="1103"/>
      <c r="I26" s="1103"/>
    </row>
    <row r="27" spans="1:9" s="1598" customFormat="1" ht="19.5" customHeight="1">
      <c r="A27" s="3417"/>
      <c r="B27" s="3417"/>
      <c r="C27" s="1129" t="s">
        <v>1461</v>
      </c>
      <c r="D27" s="1130"/>
      <c r="E27" s="1152">
        <v>0.9</v>
      </c>
      <c r="F27" s="1131" t="s">
        <v>1462</v>
      </c>
      <c r="G27" s="1132"/>
      <c r="H27" s="1103"/>
      <c r="I27" s="1103"/>
    </row>
    <row r="28" spans="1:9" s="1598" customFormat="1" ht="19.5" customHeight="1">
      <c r="A28" s="3417"/>
      <c r="B28" s="3417"/>
      <c r="C28" s="1129" t="s">
        <v>1463</v>
      </c>
      <c r="D28" s="1130"/>
      <c r="E28" s="1152">
        <v>0.9</v>
      </c>
      <c r="F28" s="1131" t="s">
        <v>1464</v>
      </c>
      <c r="G28" s="1132"/>
      <c r="H28" s="1103"/>
      <c r="I28" s="1103"/>
    </row>
    <row r="29" spans="1:9" s="1598" customFormat="1" ht="19.5" customHeight="1">
      <c r="A29" s="3417"/>
      <c r="B29" s="3417"/>
      <c r="C29" s="1129" t="s">
        <v>1465</v>
      </c>
      <c r="D29" s="1130"/>
      <c r="E29" s="1152">
        <v>0.9</v>
      </c>
      <c r="F29" s="1131" t="s">
        <v>1466</v>
      </c>
      <c r="G29" s="1132"/>
      <c r="H29" s="1103"/>
      <c r="I29" s="1103"/>
    </row>
    <row r="30" spans="1:9" s="1598" customFormat="1" ht="19.5" customHeight="1">
      <c r="A30" s="3417"/>
      <c r="B30" s="3417"/>
      <c r="C30" s="1129" t="s">
        <v>1467</v>
      </c>
      <c r="D30" s="1130"/>
      <c r="E30" s="1152">
        <v>0.9</v>
      </c>
      <c r="F30" s="1131" t="s">
        <v>1468</v>
      </c>
      <c r="G30" s="1132"/>
      <c r="H30" s="1103"/>
      <c r="I30" s="1103"/>
    </row>
    <row r="31" spans="1:9" s="1598" customFormat="1" ht="19.5" customHeight="1">
      <c r="A31" s="3417"/>
      <c r="B31" s="3417"/>
      <c r="C31" s="1129" t="s">
        <v>1469</v>
      </c>
      <c r="D31" s="1130"/>
      <c r="E31" s="1152">
        <v>0.8</v>
      </c>
      <c r="F31" s="1131" t="s">
        <v>1470</v>
      </c>
      <c r="G31" s="1132"/>
      <c r="H31" s="1103"/>
      <c r="I31" s="1103"/>
    </row>
    <row r="32" spans="1:9" s="1598" customFormat="1" ht="19.5" customHeight="1">
      <c r="A32" s="3417"/>
      <c r="B32" s="3417"/>
      <c r="C32" s="1129" t="s">
        <v>1471</v>
      </c>
      <c r="D32" s="1130"/>
      <c r="E32" s="1152">
        <v>0.8</v>
      </c>
      <c r="F32" s="1131" t="s">
        <v>1472</v>
      </c>
      <c r="G32" s="1132"/>
      <c r="H32" s="1103"/>
      <c r="I32" s="1103"/>
    </row>
    <row r="33" spans="1:9" s="1598" customFormat="1" ht="19.5" customHeight="1">
      <c r="A33" s="3417" t="s">
        <v>1473</v>
      </c>
      <c r="B33" s="1152" t="s">
        <v>1445</v>
      </c>
      <c r="C33" s="1129" t="s">
        <v>1474</v>
      </c>
      <c r="D33" s="1130"/>
      <c r="E33" s="1152">
        <v>1</v>
      </c>
      <c r="F33" s="1131" t="s">
        <v>1475</v>
      </c>
      <c r="G33" s="1132"/>
      <c r="H33" s="1103"/>
      <c r="I33" s="1103"/>
    </row>
    <row r="34" spans="1:9" s="1598" customFormat="1" ht="19.5" customHeight="1">
      <c r="A34" s="3417"/>
      <c r="B34" s="1152" t="s">
        <v>1448</v>
      </c>
      <c r="C34" s="1129" t="s">
        <v>1476</v>
      </c>
      <c r="D34" s="1130"/>
      <c r="E34" s="1152">
        <v>1.5</v>
      </c>
      <c r="F34" s="1131" t="s">
        <v>1477</v>
      </c>
      <c r="G34" s="1132"/>
      <c r="H34" s="1103"/>
      <c r="I34" s="1103"/>
    </row>
    <row r="35" spans="1:9" s="1598" customFormat="1" ht="19.5" customHeight="1">
      <c r="A35" s="3417" t="s">
        <v>1431</v>
      </c>
      <c r="B35" s="1152" t="s">
        <v>1445</v>
      </c>
      <c r="C35" s="1129" t="s">
        <v>1478</v>
      </c>
      <c r="D35" s="1130"/>
      <c r="E35" s="1152">
        <v>1</v>
      </c>
      <c r="F35" s="1131" t="s">
        <v>1479</v>
      </c>
      <c r="G35" s="1132"/>
      <c r="H35" s="1103"/>
      <c r="I35" s="1103"/>
    </row>
    <row r="36" spans="1:9" s="1598" customFormat="1" ht="19.5" customHeight="1">
      <c r="A36" s="3417"/>
      <c r="B36" s="3417" t="s">
        <v>1448</v>
      </c>
      <c r="C36" s="1129" t="s">
        <v>1480</v>
      </c>
      <c r="D36" s="1130"/>
      <c r="E36" s="1152">
        <v>1</v>
      </c>
      <c r="F36" s="1131" t="s">
        <v>1481</v>
      </c>
      <c r="G36" s="1132"/>
      <c r="H36" s="1103"/>
      <c r="I36" s="1103"/>
    </row>
    <row r="37" spans="1:9" s="1598" customFormat="1" ht="19.5" customHeight="1">
      <c r="A37" s="3417"/>
      <c r="B37" s="3417"/>
      <c r="C37" s="1129" t="s">
        <v>1482</v>
      </c>
      <c r="D37" s="1130"/>
      <c r="E37" s="1152">
        <v>1.5</v>
      </c>
      <c r="F37" s="1131" t="s">
        <v>1483</v>
      </c>
      <c r="G37" s="1132"/>
      <c r="H37" s="1103"/>
      <c r="I37" s="1103"/>
    </row>
    <row r="38" spans="1:9" s="1598" customFormat="1" ht="19.5" customHeight="1">
      <c r="A38" s="3417"/>
      <c r="B38" s="3417"/>
      <c r="C38" s="1129" t="s">
        <v>1484</v>
      </c>
      <c r="D38" s="1130"/>
      <c r="E38" s="1152">
        <v>1</v>
      </c>
      <c r="F38" s="1131" t="s">
        <v>1485</v>
      </c>
      <c r="G38" s="1132"/>
      <c r="H38" s="1103"/>
      <c r="I38" s="1103"/>
    </row>
    <row r="39" spans="1:9" s="1598" customFormat="1" ht="19.5" customHeight="1">
      <c r="A39" s="3417"/>
      <c r="B39" s="3417"/>
      <c r="C39" s="1129" t="s">
        <v>1486</v>
      </c>
      <c r="D39" s="1130"/>
      <c r="E39" s="1152">
        <v>1</v>
      </c>
      <c r="F39" s="1131" t="s">
        <v>1487</v>
      </c>
      <c r="G39" s="1132"/>
      <c r="H39" s="1103"/>
      <c r="I39" s="1103"/>
    </row>
    <row r="40" spans="1:9" s="1598" customFormat="1" ht="19.5" customHeight="1">
      <c r="A40" s="1599" t="s">
        <v>1488</v>
      </c>
      <c r="B40" s="1599"/>
      <c r="C40" s="1599"/>
      <c r="D40" s="1599"/>
      <c r="E40" s="1599"/>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17" t="s">
        <v>1500</v>
      </c>
      <c r="C61" s="1066" t="s">
        <v>1501</v>
      </c>
      <c r="D61" s="1066" t="s">
        <v>1502</v>
      </c>
      <c r="E61" s="1137">
        <v>0.5</v>
      </c>
      <c r="F61" s="1152">
        <v>80</v>
      </c>
      <c r="H61" s="1103">
        <f>SUMIF(C59:C119,基准地价!C8,E59:E119)</f>
        <v>0</v>
      </c>
    </row>
    <row r="62" spans="1:8" s="1103" customFormat="1" ht="24">
      <c r="A62" s="1152">
        <v>2</v>
      </c>
      <c r="B62" s="3417"/>
      <c r="C62" s="1066" t="s">
        <v>1503</v>
      </c>
      <c r="D62" s="1066" t="s">
        <v>1504</v>
      </c>
      <c r="E62" s="1137">
        <v>0.5</v>
      </c>
      <c r="F62" s="1152">
        <v>80</v>
      </c>
    </row>
    <row r="63" spans="1:8" s="1103" customFormat="1" ht="36">
      <c r="A63" s="1152">
        <v>3</v>
      </c>
      <c r="B63" s="3417"/>
      <c r="C63" s="1066" t="s">
        <v>1505</v>
      </c>
      <c r="D63" s="1066" t="s">
        <v>1506</v>
      </c>
      <c r="E63" s="1137">
        <v>0.5</v>
      </c>
      <c r="F63" s="1152">
        <v>80</v>
      </c>
    </row>
    <row r="64" spans="1:8" s="1103" customFormat="1" ht="36">
      <c r="A64" s="1152">
        <v>4</v>
      </c>
      <c r="B64" s="3417"/>
      <c r="C64" s="1066" t="s">
        <v>1507</v>
      </c>
      <c r="D64" s="1066" t="s">
        <v>1508</v>
      </c>
      <c r="E64" s="1137">
        <v>0.4</v>
      </c>
      <c r="F64" s="1152">
        <v>60</v>
      </c>
    </row>
    <row r="65" spans="1:6" s="1103" customFormat="1" ht="36">
      <c r="A65" s="1152">
        <v>5</v>
      </c>
      <c r="B65" s="3417"/>
      <c r="C65" s="1066" t="s">
        <v>1509</v>
      </c>
      <c r="D65" s="1066" t="s">
        <v>1510</v>
      </c>
      <c r="E65" s="1137">
        <v>0.2</v>
      </c>
      <c r="F65" s="1152">
        <v>30</v>
      </c>
    </row>
    <row r="66" spans="1:6" s="1103" customFormat="1" ht="36">
      <c r="A66" s="1152">
        <v>6</v>
      </c>
      <c r="B66" s="3417"/>
      <c r="C66" s="1066" t="s">
        <v>1511</v>
      </c>
      <c r="D66" s="1066" t="s">
        <v>1512</v>
      </c>
      <c r="E66" s="1137">
        <v>0.3</v>
      </c>
      <c r="F66" s="1152">
        <v>50</v>
      </c>
    </row>
    <row r="67" spans="1:6" s="1103" customFormat="1" ht="36">
      <c r="A67" s="1152">
        <v>7</v>
      </c>
      <c r="B67" s="3417"/>
      <c r="C67" s="1066" t="s">
        <v>1513</v>
      </c>
      <c r="D67" s="1066" t="s">
        <v>1514</v>
      </c>
      <c r="E67" s="1137">
        <v>0.2</v>
      </c>
      <c r="F67" s="1152">
        <v>30</v>
      </c>
    </row>
    <row r="68" spans="1:6" s="1103" customFormat="1" ht="36">
      <c r="A68" s="1152">
        <v>8</v>
      </c>
      <c r="B68" s="3417"/>
      <c r="C68" s="1066" t="s">
        <v>1515</v>
      </c>
      <c r="D68" s="1066" t="s">
        <v>1516</v>
      </c>
      <c r="E68" s="1137">
        <v>0.2</v>
      </c>
      <c r="F68" s="1152">
        <v>30</v>
      </c>
    </row>
    <row r="69" spans="1:6" s="1103" customFormat="1" ht="36">
      <c r="A69" s="1152">
        <v>9</v>
      </c>
      <c r="B69" s="3417"/>
      <c r="C69" s="1066" t="s">
        <v>1517</v>
      </c>
      <c r="D69" s="1066" t="s">
        <v>1518</v>
      </c>
      <c r="E69" s="1137">
        <v>0.2</v>
      </c>
      <c r="F69" s="1152">
        <v>30</v>
      </c>
    </row>
    <row r="70" spans="1:6" s="1103" customFormat="1" ht="48">
      <c r="A70" s="1152">
        <v>10</v>
      </c>
      <c r="B70" s="3417"/>
      <c r="C70" s="1066" t="s">
        <v>1519</v>
      </c>
      <c r="D70" s="1066" t="s">
        <v>1520</v>
      </c>
      <c r="E70" s="1137">
        <v>0.2</v>
      </c>
      <c r="F70" s="1152">
        <v>30</v>
      </c>
    </row>
    <row r="71" spans="1:6" s="1103" customFormat="1" ht="48">
      <c r="A71" s="1152">
        <v>11</v>
      </c>
      <c r="B71" s="3417"/>
      <c r="C71" s="1066" t="s">
        <v>1521</v>
      </c>
      <c r="D71" s="1066" t="s">
        <v>1522</v>
      </c>
      <c r="E71" s="1137">
        <v>0.2</v>
      </c>
      <c r="F71" s="1152">
        <v>30</v>
      </c>
    </row>
    <row r="72" spans="1:6" s="1103" customFormat="1" ht="36">
      <c r="A72" s="1152">
        <v>12</v>
      </c>
      <c r="B72" s="3417"/>
      <c r="C72" s="1066" t="s">
        <v>1523</v>
      </c>
      <c r="D72" s="1066" t="s">
        <v>1524</v>
      </c>
      <c r="E72" s="1137">
        <v>0.5</v>
      </c>
      <c r="F72" s="1152">
        <v>80</v>
      </c>
    </row>
    <row r="73" spans="1:6" s="1103" customFormat="1" ht="24">
      <c r="A73" s="1152">
        <v>13</v>
      </c>
      <c r="B73" s="3417"/>
      <c r="C73" s="1066" t="s">
        <v>1525</v>
      </c>
      <c r="D73" s="1066" t="s">
        <v>1526</v>
      </c>
      <c r="E73" s="1137">
        <v>0.4</v>
      </c>
      <c r="F73" s="1152">
        <v>60</v>
      </c>
    </row>
    <row r="74" spans="1:6" s="1103" customFormat="1" ht="24">
      <c r="A74" s="1152">
        <v>14</v>
      </c>
      <c r="B74" s="3417"/>
      <c r="C74" s="1066" t="s">
        <v>1527</v>
      </c>
      <c r="D74" s="1066" t="s">
        <v>1528</v>
      </c>
      <c r="E74" s="1137">
        <v>0.2</v>
      </c>
      <c r="F74" s="1152">
        <v>30</v>
      </c>
    </row>
    <row r="75" spans="1:6" s="1103" customFormat="1" ht="24">
      <c r="A75" s="1152">
        <v>15</v>
      </c>
      <c r="B75" s="3417"/>
      <c r="C75" s="1066" t="s">
        <v>1529</v>
      </c>
      <c r="D75" s="1066" t="s">
        <v>1530</v>
      </c>
      <c r="E75" s="1137">
        <v>0.2</v>
      </c>
      <c r="F75" s="1152">
        <v>30</v>
      </c>
    </row>
    <row r="76" spans="1:6" s="1103" customFormat="1" ht="24">
      <c r="A76" s="1152">
        <v>16</v>
      </c>
      <c r="B76" s="3417" t="s">
        <v>1531</v>
      </c>
      <c r="C76" s="1066" t="s">
        <v>1532</v>
      </c>
      <c r="D76" s="1066" t="s">
        <v>1533</v>
      </c>
      <c r="E76" s="1137">
        <v>0.5</v>
      </c>
      <c r="F76" s="1152">
        <v>80</v>
      </c>
    </row>
    <row r="77" spans="1:6" s="1103" customFormat="1" ht="24">
      <c r="A77" s="1152">
        <v>17</v>
      </c>
      <c r="B77" s="3417"/>
      <c r="C77" s="1066" t="s">
        <v>1534</v>
      </c>
      <c r="D77" s="1066" t="s">
        <v>1535</v>
      </c>
      <c r="E77" s="1137">
        <v>0.5</v>
      </c>
      <c r="F77" s="1152">
        <v>80</v>
      </c>
    </row>
    <row r="78" spans="1:6" s="1103" customFormat="1" ht="24">
      <c r="A78" s="1152">
        <v>18</v>
      </c>
      <c r="B78" s="3417"/>
      <c r="C78" s="1066" t="s">
        <v>1536</v>
      </c>
      <c r="D78" s="1066" t="s">
        <v>1537</v>
      </c>
      <c r="E78" s="1137">
        <v>0.2</v>
      </c>
      <c r="F78" s="1152">
        <v>30</v>
      </c>
    </row>
    <row r="79" spans="1:6" s="1103" customFormat="1" ht="24">
      <c r="A79" s="1152">
        <v>19</v>
      </c>
      <c r="B79" s="3417"/>
      <c r="C79" s="1066" t="s">
        <v>1538</v>
      </c>
      <c r="D79" s="1066" t="s">
        <v>1539</v>
      </c>
      <c r="E79" s="1137">
        <v>0.5</v>
      </c>
      <c r="F79" s="1152">
        <v>80</v>
      </c>
    </row>
    <row r="80" spans="1:6" s="1103" customFormat="1" ht="36">
      <c r="A80" s="1152">
        <v>20</v>
      </c>
      <c r="B80" s="3417"/>
      <c r="C80" s="1066" t="s">
        <v>1540</v>
      </c>
      <c r="D80" s="1066" t="s">
        <v>1541</v>
      </c>
      <c r="E80" s="1137">
        <v>0.2</v>
      </c>
      <c r="F80" s="1152">
        <v>30</v>
      </c>
    </row>
    <row r="81" spans="1:6" s="1103" customFormat="1" ht="36">
      <c r="A81" s="1152">
        <v>21</v>
      </c>
      <c r="B81" s="3417"/>
      <c r="C81" s="1066" t="s">
        <v>1542</v>
      </c>
      <c r="D81" s="1066" t="s">
        <v>1543</v>
      </c>
      <c r="E81" s="1137">
        <v>0.2</v>
      </c>
      <c r="F81" s="1152">
        <v>30</v>
      </c>
    </row>
    <row r="82" spans="1:6" s="1103" customFormat="1" ht="48">
      <c r="A82" s="1152">
        <v>22</v>
      </c>
      <c r="B82" s="3417"/>
      <c r="C82" s="1066" t="s">
        <v>1544</v>
      </c>
      <c r="D82" s="1066" t="s">
        <v>1545</v>
      </c>
      <c r="E82" s="1137">
        <v>0.2</v>
      </c>
      <c r="F82" s="1152">
        <v>30</v>
      </c>
    </row>
    <row r="83" spans="1:6" s="1103" customFormat="1" ht="48">
      <c r="A83" s="1152">
        <v>23</v>
      </c>
      <c r="B83" s="3417"/>
      <c r="C83" s="1066" t="s">
        <v>1546</v>
      </c>
      <c r="D83" s="1066" t="s">
        <v>1547</v>
      </c>
      <c r="E83" s="1137">
        <v>0.2</v>
      </c>
      <c r="F83" s="1152">
        <v>30</v>
      </c>
    </row>
    <row r="84" spans="1:6" s="1103" customFormat="1" ht="36">
      <c r="A84" s="1152">
        <v>24</v>
      </c>
      <c r="B84" s="3417"/>
      <c r="C84" s="1066" t="s">
        <v>1548</v>
      </c>
      <c r="D84" s="1066" t="s">
        <v>1549</v>
      </c>
      <c r="E84" s="1137">
        <v>0.2</v>
      </c>
      <c r="F84" s="1152">
        <v>30</v>
      </c>
    </row>
    <row r="85" spans="1:6" s="1103" customFormat="1" ht="36">
      <c r="A85" s="1152">
        <v>25</v>
      </c>
      <c r="B85" s="3417"/>
      <c r="C85" s="1066" t="s">
        <v>1550</v>
      </c>
      <c r="D85" s="1066" t="s">
        <v>1551</v>
      </c>
      <c r="E85" s="1137">
        <v>0.5</v>
      </c>
      <c r="F85" s="1152">
        <v>80</v>
      </c>
    </row>
    <row r="86" spans="1:6" s="1103" customFormat="1" ht="36">
      <c r="A86" s="1152">
        <v>26</v>
      </c>
      <c r="B86" s="3417"/>
      <c r="C86" s="1066" t="s">
        <v>1552</v>
      </c>
      <c r="D86" s="1066" t="s">
        <v>1553</v>
      </c>
      <c r="E86" s="1137">
        <v>0.2</v>
      </c>
      <c r="F86" s="1152">
        <v>30</v>
      </c>
    </row>
    <row r="87" spans="1:6" s="1103" customFormat="1" ht="36">
      <c r="A87" s="1152">
        <v>27</v>
      </c>
      <c r="B87" s="3417"/>
      <c r="C87" s="1066" t="s">
        <v>1554</v>
      </c>
      <c r="D87" s="1066" t="s">
        <v>1555</v>
      </c>
      <c r="E87" s="1137">
        <v>0.2</v>
      </c>
      <c r="F87" s="1152">
        <v>30</v>
      </c>
    </row>
    <row r="88" spans="1:6" s="1103" customFormat="1" ht="36">
      <c r="A88" s="1152">
        <v>28</v>
      </c>
      <c r="B88" s="3417"/>
      <c r="C88" s="1066" t="s">
        <v>1556</v>
      </c>
      <c r="D88" s="1066" t="s">
        <v>1557</v>
      </c>
      <c r="E88" s="1137">
        <v>0.2</v>
      </c>
      <c r="F88" s="1152">
        <v>30</v>
      </c>
    </row>
    <row r="89" spans="1:6" s="1103" customFormat="1" ht="24">
      <c r="A89" s="1152">
        <v>29</v>
      </c>
      <c r="B89" s="3417"/>
      <c r="C89" s="1066" t="s">
        <v>1558</v>
      </c>
      <c r="D89" s="1066" t="s">
        <v>1559</v>
      </c>
      <c r="E89" s="1137">
        <v>0.2</v>
      </c>
      <c r="F89" s="1152">
        <v>30</v>
      </c>
    </row>
    <row r="90" spans="1:6" s="1103" customFormat="1" ht="24">
      <c r="A90" s="1152">
        <v>30</v>
      </c>
      <c r="B90" s="3417"/>
      <c r="C90" s="1066" t="s">
        <v>1560</v>
      </c>
      <c r="D90" s="1066" t="s">
        <v>1561</v>
      </c>
      <c r="E90" s="1137">
        <v>0.2</v>
      </c>
      <c r="F90" s="1152">
        <v>30</v>
      </c>
    </row>
    <row r="91" spans="1:6" s="1103" customFormat="1" ht="36">
      <c r="A91" s="1152">
        <v>31</v>
      </c>
      <c r="B91" s="3417"/>
      <c r="C91" s="1066" t="s">
        <v>1562</v>
      </c>
      <c r="D91" s="1066" t="s">
        <v>1563</v>
      </c>
      <c r="E91" s="1137">
        <v>0.2</v>
      </c>
      <c r="F91" s="1152">
        <v>30</v>
      </c>
    </row>
    <row r="92" spans="1:6" s="1103" customFormat="1" ht="24">
      <c r="A92" s="1152">
        <v>32</v>
      </c>
      <c r="B92" s="3417" t="s">
        <v>1564</v>
      </c>
      <c r="C92" s="1152" t="s">
        <v>1565</v>
      </c>
      <c r="D92" s="1066" t="s">
        <v>1566</v>
      </c>
      <c r="E92" s="1137">
        <v>0.2</v>
      </c>
      <c r="F92" s="1152">
        <v>30</v>
      </c>
    </row>
    <row r="93" spans="1:6" s="1103" customFormat="1" ht="36">
      <c r="A93" s="1152">
        <v>33</v>
      </c>
      <c r="B93" s="3417"/>
      <c r="C93" s="1152" t="s">
        <v>1567</v>
      </c>
      <c r="D93" s="1066" t="s">
        <v>1568</v>
      </c>
      <c r="E93" s="1137">
        <v>0.2</v>
      </c>
      <c r="F93" s="1152">
        <v>30</v>
      </c>
    </row>
    <row r="94" spans="1:6" s="1103" customFormat="1" ht="48">
      <c r="A94" s="1152">
        <v>34</v>
      </c>
      <c r="B94" s="3417"/>
      <c r="C94" s="1152" t="s">
        <v>1569</v>
      </c>
      <c r="D94" s="1066" t="s">
        <v>1570</v>
      </c>
      <c r="E94" s="1137">
        <v>0.2</v>
      </c>
      <c r="F94" s="1152">
        <v>30</v>
      </c>
    </row>
    <row r="95" spans="1:6" s="1103" customFormat="1" ht="36">
      <c r="A95" s="1152">
        <v>35</v>
      </c>
      <c r="B95" s="3417"/>
      <c r="C95" s="1152" t="s">
        <v>1571</v>
      </c>
      <c r="D95" s="1066" t="s">
        <v>1572</v>
      </c>
      <c r="E95" s="1137">
        <v>0.2</v>
      </c>
      <c r="F95" s="1152">
        <v>30</v>
      </c>
    </row>
    <row r="96" spans="1:6" s="1103" customFormat="1" ht="48">
      <c r="A96" s="1152">
        <v>36</v>
      </c>
      <c r="B96" s="3417"/>
      <c r="C96" s="1066" t="s">
        <v>1573</v>
      </c>
      <c r="D96" s="1066" t="s">
        <v>1574</v>
      </c>
      <c r="E96" s="1137">
        <v>0.2</v>
      </c>
      <c r="F96" s="1152">
        <v>30</v>
      </c>
    </row>
    <row r="97" spans="1:6" s="1103" customFormat="1" ht="36">
      <c r="A97" s="1152">
        <v>37</v>
      </c>
      <c r="B97" s="3417"/>
      <c r="C97" s="1152" t="s">
        <v>1575</v>
      </c>
      <c r="D97" s="1066" t="s">
        <v>1576</v>
      </c>
      <c r="E97" s="1137">
        <v>0.2</v>
      </c>
      <c r="F97" s="1152">
        <v>30</v>
      </c>
    </row>
    <row r="98" spans="1:6" s="1103" customFormat="1" ht="36">
      <c r="A98" s="1152">
        <v>38</v>
      </c>
      <c r="B98" s="3417"/>
      <c r="C98" s="1152" t="s">
        <v>1577</v>
      </c>
      <c r="D98" s="1066" t="s">
        <v>1578</v>
      </c>
      <c r="E98" s="1137">
        <v>0.2</v>
      </c>
      <c r="F98" s="1152">
        <v>30</v>
      </c>
    </row>
    <row r="99" spans="1:6" s="1103" customFormat="1" ht="36">
      <c r="A99" s="1152">
        <v>39</v>
      </c>
      <c r="B99" s="3417" t="s">
        <v>1579</v>
      </c>
      <c r="C99" s="1152" t="s">
        <v>1580</v>
      </c>
      <c r="D99" s="1066" t="s">
        <v>1581</v>
      </c>
      <c r="E99" s="1137">
        <v>0.3</v>
      </c>
      <c r="F99" s="1152">
        <v>50</v>
      </c>
    </row>
    <row r="100" spans="1:6" s="1103" customFormat="1" ht="24">
      <c r="A100" s="1152">
        <v>40</v>
      </c>
      <c r="B100" s="3417"/>
      <c r="C100" s="1152" t="s">
        <v>1582</v>
      </c>
      <c r="D100" s="1066" t="s">
        <v>1583</v>
      </c>
      <c r="E100" s="1137">
        <v>0.2</v>
      </c>
      <c r="F100" s="1152">
        <v>30</v>
      </c>
    </row>
    <row r="101" spans="1:6" s="1103" customFormat="1" ht="36">
      <c r="A101" s="1152">
        <v>41</v>
      </c>
      <c r="B101" s="3417"/>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17" t="s">
        <v>1594</v>
      </c>
      <c r="C105" s="1152" t="s">
        <v>1595</v>
      </c>
      <c r="D105" s="1066" t="s">
        <v>1596</v>
      </c>
      <c r="E105" s="1137">
        <v>0.2</v>
      </c>
      <c r="F105" s="1152">
        <v>30</v>
      </c>
    </row>
    <row r="106" spans="1:6" s="1103" customFormat="1" ht="36">
      <c r="A106" s="1152">
        <v>46</v>
      </c>
      <c r="B106" s="3417"/>
      <c r="C106" s="1152" t="s">
        <v>1597</v>
      </c>
      <c r="D106" s="1066" t="s">
        <v>1598</v>
      </c>
      <c r="E106" s="1137">
        <v>0.2</v>
      </c>
      <c r="F106" s="1152">
        <v>30</v>
      </c>
    </row>
    <row r="107" spans="1:6" s="1103" customFormat="1" ht="36">
      <c r="A107" s="1152">
        <v>47</v>
      </c>
      <c r="B107" s="3417" t="s">
        <v>1599</v>
      </c>
      <c r="C107" s="1152" t="s">
        <v>1600</v>
      </c>
      <c r="D107" s="1066" t="s">
        <v>1601</v>
      </c>
      <c r="E107" s="1137">
        <v>0.3</v>
      </c>
      <c r="F107" s="1152">
        <v>50</v>
      </c>
    </row>
    <row r="108" spans="1:6" s="1103" customFormat="1" ht="36">
      <c r="A108" s="1152">
        <v>48</v>
      </c>
      <c r="B108" s="3417"/>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17" t="s">
        <v>1610</v>
      </c>
      <c r="C111" s="1152" t="s">
        <v>1611</v>
      </c>
      <c r="D111" s="1066" t="s">
        <v>1612</v>
      </c>
      <c r="E111" s="1137">
        <v>0.2</v>
      </c>
      <c r="F111" s="1152">
        <v>30</v>
      </c>
    </row>
    <row r="112" spans="1:6" s="1103" customFormat="1" ht="24">
      <c r="A112" s="1152">
        <v>52</v>
      </c>
      <c r="B112" s="3417"/>
      <c r="C112" s="1152" t="s">
        <v>1613</v>
      </c>
      <c r="D112" s="1066" t="s">
        <v>1614</v>
      </c>
      <c r="E112" s="1137">
        <v>0.2</v>
      </c>
      <c r="F112" s="1152">
        <v>30</v>
      </c>
    </row>
    <row r="113" spans="1:14" s="1103" customFormat="1" ht="24">
      <c r="A113" s="1152">
        <v>53</v>
      </c>
      <c r="B113" s="3417"/>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17" t="s">
        <v>1623</v>
      </c>
      <c r="C116" s="1152" t="s">
        <v>1624</v>
      </c>
      <c r="D116" s="1066" t="s">
        <v>1625</v>
      </c>
      <c r="E116" s="1137">
        <v>0.2</v>
      </c>
      <c r="F116" s="1152">
        <v>30</v>
      </c>
    </row>
    <row r="117" spans="1:14" ht="36">
      <c r="A117" s="1152">
        <v>57</v>
      </c>
      <c r="B117" s="3417"/>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16" t="s">
        <v>1632</v>
      </c>
      <c r="B121" s="3416"/>
      <c r="C121" s="3416"/>
      <c r="D121" s="3416"/>
      <c r="E121" s="3416"/>
      <c r="F121" s="3416"/>
      <c r="G121" s="3416"/>
      <c r="H121" s="3416"/>
      <c r="I121" s="3416"/>
      <c r="J121" s="341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9" t="s">
        <v>1038</v>
      </c>
      <c r="B1" s="3429"/>
      <c r="C1" s="3429"/>
      <c r="D1" s="3429"/>
      <c r="E1" s="3429"/>
      <c r="F1" s="3429"/>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30" t="s">
        <v>1051</v>
      </c>
      <c r="B2" s="3430"/>
      <c r="C2" s="3430"/>
      <c r="D2" s="3430"/>
      <c r="E2" s="3430"/>
      <c r="F2" s="3430"/>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31"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32"/>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3" t="s">
        <v>2080</v>
      </c>
      <c r="B1" s="3433"/>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1095</v>
      </c>
      <c r="B6" s="1859" t="s">
        <v>2089</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2090</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2091</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2092</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2093</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2094</v>
      </c>
      <c r="C72" s="1869"/>
      <c r="D72" s="1869"/>
      <c r="E72" s="1869"/>
      <c r="F72" s="1861">
        <v>0.05</v>
      </c>
    </row>
    <row r="73" spans="1:6" ht="14.25" thickBot="1">
      <c r="A73" s="1855" t="s">
        <v>923</v>
      </c>
      <c r="B73" s="1859" t="s">
        <v>2095</v>
      </c>
      <c r="C73" s="1869"/>
      <c r="D73" s="1869"/>
      <c r="E73" s="1869"/>
      <c r="F73" s="1861">
        <v>0.05</v>
      </c>
    </row>
    <row r="74" spans="1:6" ht="14.25" thickBot="1">
      <c r="A74" s="1855" t="s">
        <v>923</v>
      </c>
      <c r="B74" s="1859" t="s">
        <v>2096</v>
      </c>
      <c r="C74" s="1869"/>
      <c r="D74" s="1869"/>
      <c r="E74" s="1869"/>
      <c r="F74" s="1861">
        <v>0.05</v>
      </c>
    </row>
    <row r="75" spans="1:6" ht="14.25" thickBot="1">
      <c r="A75" s="1863" t="s">
        <v>923</v>
      </c>
      <c r="B75" s="1870" t="s">
        <v>2097</v>
      </c>
      <c r="C75" s="1866"/>
      <c r="D75" s="1866"/>
      <c r="E75" s="1866"/>
      <c r="F75" s="1871">
        <v>0.05</v>
      </c>
    </row>
    <row r="76" spans="1:6" ht="14.25" thickBot="1">
      <c r="A76" s="1855" t="s">
        <v>1406</v>
      </c>
      <c r="B76" s="1856" t="s">
        <v>2098</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2099</v>
      </c>
      <c r="C102" s="1869"/>
      <c r="D102" s="1869"/>
      <c r="E102" s="1869"/>
      <c r="F102" s="1861">
        <v>0.05</v>
      </c>
    </row>
    <row r="103" spans="1:6" ht="24.75" thickBot="1">
      <c r="A103" s="1855" t="s">
        <v>1406</v>
      </c>
      <c r="B103" s="1859" t="s">
        <v>2100</v>
      </c>
      <c r="C103" s="1869"/>
      <c r="D103" s="1869"/>
      <c r="E103" s="1869"/>
      <c r="F103" s="1861">
        <v>0.05</v>
      </c>
    </row>
    <row r="104" spans="1:6" ht="14.25" thickBot="1">
      <c r="A104" s="1855" t="s">
        <v>1406</v>
      </c>
      <c r="B104" s="1859" t="s">
        <v>2101</v>
      </c>
      <c r="C104" s="1869"/>
      <c r="D104" s="1869"/>
      <c r="E104" s="1869"/>
      <c r="F104" s="1861">
        <v>0.05</v>
      </c>
    </row>
    <row r="105" spans="1:6" ht="14.25" thickBot="1">
      <c r="A105" s="1855" t="s">
        <v>1406</v>
      </c>
      <c r="B105" s="1859" t="s">
        <v>2102</v>
      </c>
      <c r="C105" s="1869"/>
      <c r="D105" s="1869"/>
      <c r="E105" s="1869"/>
      <c r="F105" s="1861">
        <v>0.05</v>
      </c>
    </row>
    <row r="106" spans="1:6" ht="14.25" thickBot="1">
      <c r="A106" s="1855" t="s">
        <v>1406</v>
      </c>
      <c r="B106" s="1859" t="s">
        <v>2103</v>
      </c>
      <c r="C106" s="1869"/>
      <c r="D106" s="1869"/>
      <c r="E106" s="1869"/>
      <c r="F106" s="1861">
        <v>0.05</v>
      </c>
    </row>
    <row r="107" spans="1:6" ht="24.75" thickBot="1">
      <c r="A107" s="1855" t="s">
        <v>1406</v>
      </c>
      <c r="B107" s="1859" t="s">
        <v>2104</v>
      </c>
      <c r="C107" s="1869"/>
      <c r="D107" s="1869"/>
      <c r="E107" s="1869"/>
      <c r="F107" s="1861">
        <v>0.05</v>
      </c>
    </row>
    <row r="108" spans="1:6" ht="24.75" thickBot="1">
      <c r="A108" s="1855" t="s">
        <v>1406</v>
      </c>
      <c r="B108" s="1859" t="s">
        <v>2105</v>
      </c>
      <c r="C108" s="1869"/>
      <c r="D108" s="1869"/>
      <c r="E108" s="1869"/>
      <c r="F108" s="1861">
        <v>0.05</v>
      </c>
    </row>
    <row r="109" spans="1:6" ht="24.75" thickBot="1">
      <c r="A109" s="1863" t="s">
        <v>1406</v>
      </c>
      <c r="B109" s="1870" t="s">
        <v>2106</v>
      </c>
      <c r="C109" s="1866"/>
      <c r="D109" s="1866"/>
      <c r="E109" s="1866"/>
      <c r="F109" s="1871">
        <v>0.05</v>
      </c>
    </row>
    <row r="110" spans="1:6" ht="14.25" thickBot="1">
      <c r="A110" s="1855" t="s">
        <v>1408</v>
      </c>
      <c r="B110" s="1856" t="s">
        <v>2107</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2108</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2109</v>
      </c>
      <c r="C138" s="1860">
        <v>0.105</v>
      </c>
      <c r="D138" s="1860">
        <v>0.125</v>
      </c>
      <c r="E138" s="1860">
        <v>0.112</v>
      </c>
      <c r="F138" s="1868"/>
    </row>
    <row r="139" spans="1:6" ht="14.25" thickBot="1">
      <c r="A139" s="1855" t="s">
        <v>1408</v>
      </c>
      <c r="B139" s="1859" t="s">
        <v>2110</v>
      </c>
      <c r="C139" s="1860">
        <v>0.127</v>
      </c>
      <c r="D139" s="1860">
        <v>0.127</v>
      </c>
      <c r="E139" s="1860">
        <v>0.122</v>
      </c>
      <c r="F139" s="1861">
        <v>0.13</v>
      </c>
    </row>
    <row r="140" spans="1:6" ht="14.25" thickBot="1">
      <c r="A140" s="1855" t="s">
        <v>1408</v>
      </c>
      <c r="B140" s="1859" t="s">
        <v>2111</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2112</v>
      </c>
      <c r="C144" s="1873">
        <v>0.126</v>
      </c>
      <c r="D144" s="1873">
        <v>0.126</v>
      </c>
      <c r="E144" s="1873">
        <v>0.121</v>
      </c>
      <c r="F144" s="1868"/>
    </row>
    <row r="145" spans="1:6" ht="14.25" thickBot="1">
      <c r="A145" s="1863" t="s">
        <v>1408</v>
      </c>
      <c r="B145" s="1874" t="s">
        <v>2113</v>
      </c>
      <c r="C145" s="1875"/>
      <c r="D145" s="1875"/>
      <c r="E145" s="1875"/>
      <c r="F145" s="1876">
        <v>0.05</v>
      </c>
    </row>
    <row r="146" spans="1:6" ht="24.75" thickBot="1">
      <c r="A146" s="1877" t="s">
        <v>1408</v>
      </c>
      <c r="B146" s="1862" t="s">
        <v>2114</v>
      </c>
      <c r="C146" s="1869"/>
      <c r="D146" s="1869"/>
      <c r="E146" s="1869"/>
      <c r="F146" s="1878">
        <v>0.05</v>
      </c>
    </row>
    <row r="147" spans="1:6" ht="24.75" thickBot="1">
      <c r="A147" s="1855" t="s">
        <v>1408</v>
      </c>
      <c r="B147" s="1859" t="s">
        <v>2115</v>
      </c>
      <c r="C147" s="1869"/>
      <c r="D147" s="1869"/>
      <c r="E147" s="1869"/>
      <c r="F147" s="1861">
        <v>0.05</v>
      </c>
    </row>
    <row r="148" spans="1:6" ht="24.75" thickBot="1">
      <c r="A148" s="1855" t="s">
        <v>1408</v>
      </c>
      <c r="B148" s="1859" t="s">
        <v>2116</v>
      </c>
      <c r="C148" s="1869"/>
      <c r="D148" s="1869"/>
      <c r="E148" s="1869"/>
      <c r="F148" s="1861">
        <v>0.05</v>
      </c>
    </row>
    <row r="149" spans="1:6" ht="24.75" thickBot="1">
      <c r="A149" s="1855" t="s">
        <v>1408</v>
      </c>
      <c r="B149" s="1859" t="s">
        <v>2117</v>
      </c>
      <c r="C149" s="1869"/>
      <c r="D149" s="1869"/>
      <c r="E149" s="1869"/>
      <c r="F149" s="1861">
        <v>0.05</v>
      </c>
    </row>
    <row r="150" spans="1:6" ht="24.75" thickBot="1">
      <c r="A150" s="1855" t="s">
        <v>1408</v>
      </c>
      <c r="B150" s="1859" t="s">
        <v>2118</v>
      </c>
      <c r="C150" s="1869"/>
      <c r="D150" s="1869"/>
      <c r="E150" s="1869"/>
      <c r="F150" s="1861">
        <v>0.05</v>
      </c>
    </row>
    <row r="151" spans="1:6" ht="24.75" thickBot="1">
      <c r="A151" s="1855" t="s">
        <v>1408</v>
      </c>
      <c r="B151" s="1859" t="s">
        <v>2119</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2120</v>
      </c>
      <c r="C153" s="1869"/>
      <c r="D153" s="1869"/>
      <c r="E153" s="1869"/>
      <c r="F153" s="1861">
        <v>0.05</v>
      </c>
    </row>
    <row r="154" spans="1:6" ht="14.25" thickBot="1">
      <c r="A154" s="1855" t="s">
        <v>1408</v>
      </c>
      <c r="B154" s="1859" t="s">
        <v>2121</v>
      </c>
      <c r="C154" s="1869"/>
      <c r="D154" s="1869"/>
      <c r="E154" s="1869"/>
      <c r="F154" s="1861">
        <v>0.05</v>
      </c>
    </row>
    <row r="155" spans="1:6" ht="24.75" thickBot="1">
      <c r="A155" s="1855" t="s">
        <v>1408</v>
      </c>
      <c r="B155" s="1859" t="s">
        <v>2122</v>
      </c>
      <c r="C155" s="1869"/>
      <c r="D155" s="1869"/>
      <c r="E155" s="1869"/>
      <c r="F155" s="1861">
        <v>0.05</v>
      </c>
    </row>
    <row r="156" spans="1:6" ht="24.75" thickBot="1">
      <c r="A156" s="1855" t="s">
        <v>1408</v>
      </c>
      <c r="B156" s="1859" t="s">
        <v>2123</v>
      </c>
      <c r="C156" s="1869"/>
      <c r="D156" s="1869"/>
      <c r="E156" s="1869"/>
      <c r="F156" s="1861">
        <v>0.05</v>
      </c>
    </row>
    <row r="157" spans="1:6" ht="14.25" thickBot="1">
      <c r="A157" s="1863" t="s">
        <v>1408</v>
      </c>
      <c r="B157" s="1870" t="s">
        <v>2124</v>
      </c>
      <c r="C157" s="1866"/>
      <c r="D157" s="1866"/>
      <c r="E157" s="1866"/>
      <c r="F157" s="1871">
        <v>0.05</v>
      </c>
    </row>
    <row r="158" spans="1:6" ht="14.25" thickBot="1">
      <c r="A158" s="1855" t="s">
        <v>1410</v>
      </c>
      <c r="B158" s="1856" t="s">
        <v>2125</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2126</v>
      </c>
      <c r="C171" s="1860">
        <v>0.127</v>
      </c>
      <c r="D171" s="1860">
        <v>0.126</v>
      </c>
      <c r="E171" s="1860">
        <v>0.126</v>
      </c>
      <c r="F171" s="1861">
        <v>0.11799999999999999</v>
      </c>
    </row>
    <row r="172" spans="1:6" ht="14.25" thickBot="1">
      <c r="A172" s="1855" t="s">
        <v>1410</v>
      </c>
      <c r="B172" s="1859" t="s">
        <v>2127</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2128</v>
      </c>
      <c r="C174" s="1860">
        <v>0.13</v>
      </c>
      <c r="D174" s="1860">
        <v>0.13</v>
      </c>
      <c r="E174" s="1860">
        <v>0.13</v>
      </c>
      <c r="F174" s="1861">
        <v>0.13</v>
      </c>
    </row>
    <row r="175" spans="1:6" ht="14.25" thickBot="1">
      <c r="A175" s="1855" t="s">
        <v>1410</v>
      </c>
      <c r="B175" s="1859" t="s">
        <v>2129</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2130</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2131</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2132</v>
      </c>
      <c r="C185" s="1860">
        <v>0.127</v>
      </c>
      <c r="D185" s="1860">
        <v>0.127</v>
      </c>
      <c r="E185" s="1860">
        <v>0.128</v>
      </c>
      <c r="F185" s="1861">
        <v>0.13</v>
      </c>
    </row>
    <row r="186" spans="1:6" ht="24.75" thickBot="1">
      <c r="A186" s="1855" t="s">
        <v>1410</v>
      </c>
      <c r="B186" s="1859" t="s">
        <v>2133</v>
      </c>
      <c r="C186" s="1869"/>
      <c r="D186" s="1869"/>
      <c r="E186" s="1869"/>
      <c r="F186" s="1861">
        <v>0.05</v>
      </c>
    </row>
    <row r="187" spans="1:6" ht="14.25" thickBot="1">
      <c r="A187" s="1855" t="s">
        <v>1410</v>
      </c>
      <c r="B187" s="1859" t="s">
        <v>2134</v>
      </c>
      <c r="C187" s="1869"/>
      <c r="D187" s="1869"/>
      <c r="E187" s="1869"/>
      <c r="F187" s="1861">
        <v>0.05</v>
      </c>
    </row>
    <row r="188" spans="1:6" ht="14.25" thickBot="1">
      <c r="A188" s="1855" t="s">
        <v>1410</v>
      </c>
      <c r="B188" s="1859" t="s">
        <v>2135</v>
      </c>
      <c r="C188" s="1869"/>
      <c r="D188" s="1869"/>
      <c r="E188" s="1869"/>
      <c r="F188" s="1861">
        <v>0.05</v>
      </c>
    </row>
    <row r="189" spans="1:6" ht="24.75" thickBot="1">
      <c r="A189" s="1855" t="s">
        <v>1410</v>
      </c>
      <c r="B189" s="1859" t="s">
        <v>2136</v>
      </c>
      <c r="C189" s="1869"/>
      <c r="D189" s="1869"/>
      <c r="E189" s="1869"/>
      <c r="F189" s="1861">
        <v>0.05</v>
      </c>
    </row>
    <row r="190" spans="1:6" ht="24.75" thickBot="1">
      <c r="A190" s="1855" t="s">
        <v>1410</v>
      </c>
      <c r="B190" s="1859" t="s">
        <v>2137</v>
      </c>
      <c r="C190" s="1869"/>
      <c r="D190" s="1869"/>
      <c r="E190" s="1869"/>
      <c r="F190" s="1861">
        <v>0.05</v>
      </c>
    </row>
    <row r="191" spans="1:6" ht="24.75" thickBot="1">
      <c r="A191" s="1855" t="s">
        <v>1410</v>
      </c>
      <c r="B191" s="1859" t="s">
        <v>2138</v>
      </c>
      <c r="C191" s="1869"/>
      <c r="D191" s="1869"/>
      <c r="E191" s="1869"/>
      <c r="F191" s="1861">
        <v>0.05</v>
      </c>
    </row>
    <row r="192" spans="1:6" ht="24.75" thickBot="1">
      <c r="A192" s="1855" t="s">
        <v>1410</v>
      </c>
      <c r="B192" s="1859" t="s">
        <v>2139</v>
      </c>
      <c r="C192" s="1869"/>
      <c r="D192" s="1869"/>
      <c r="E192" s="1869"/>
      <c r="F192" s="1861">
        <v>0.05</v>
      </c>
    </row>
    <row r="193" spans="1:6" ht="24.75" thickBot="1">
      <c r="A193" s="1855" t="s">
        <v>1410</v>
      </c>
      <c r="B193" s="1859" t="s">
        <v>2140</v>
      </c>
      <c r="C193" s="1869"/>
      <c r="D193" s="1869"/>
      <c r="E193" s="1869"/>
      <c r="F193" s="1861">
        <v>0.05</v>
      </c>
    </row>
    <row r="194" spans="1:6" ht="24.75" thickBot="1">
      <c r="A194" s="1855" t="s">
        <v>1410</v>
      </c>
      <c r="B194" s="1859" t="s">
        <v>2141</v>
      </c>
      <c r="C194" s="1869"/>
      <c r="D194" s="1869"/>
      <c r="E194" s="1869"/>
      <c r="F194" s="1861">
        <v>0.05</v>
      </c>
    </row>
    <row r="195" spans="1:6" ht="14.25" thickBot="1">
      <c r="A195" s="1855" t="s">
        <v>1410</v>
      </c>
      <c r="B195" s="1859" t="s">
        <v>2142</v>
      </c>
      <c r="C195" s="1869"/>
      <c r="D195" s="1869"/>
      <c r="E195" s="1869"/>
      <c r="F195" s="1861">
        <v>0.05</v>
      </c>
    </row>
    <row r="196" spans="1:6" ht="24.75" thickBot="1">
      <c r="A196" s="1855" t="s">
        <v>1410</v>
      </c>
      <c r="B196" s="1859" t="s">
        <v>2143</v>
      </c>
      <c r="C196" s="1869"/>
      <c r="D196" s="1869"/>
      <c r="E196" s="1869"/>
      <c r="F196" s="1861">
        <v>0.05</v>
      </c>
    </row>
    <row r="197" spans="1:6" ht="24.75" thickBot="1">
      <c r="A197" s="1855" t="s">
        <v>1410</v>
      </c>
      <c r="B197" s="1859" t="s">
        <v>2144</v>
      </c>
      <c r="C197" s="1869"/>
      <c r="D197" s="1869"/>
      <c r="E197" s="1869"/>
      <c r="F197" s="1861">
        <v>0.05</v>
      </c>
    </row>
    <row r="198" spans="1:6" ht="24.75" thickBot="1">
      <c r="A198" s="1855" t="s">
        <v>1410</v>
      </c>
      <c r="B198" s="1859" t="s">
        <v>2145</v>
      </c>
      <c r="C198" s="1869"/>
      <c r="D198" s="1869"/>
      <c r="E198" s="1869"/>
      <c r="F198" s="1861">
        <v>0.05</v>
      </c>
    </row>
    <row r="199" spans="1:6" ht="24.75" thickBot="1">
      <c r="A199" s="1855" t="s">
        <v>1410</v>
      </c>
      <c r="B199" s="1859" t="s">
        <v>2146</v>
      </c>
      <c r="C199" s="1869"/>
      <c r="D199" s="1869"/>
      <c r="E199" s="1869"/>
      <c r="F199" s="1861">
        <v>0.05</v>
      </c>
    </row>
    <row r="200" spans="1:6" ht="24.75" thickBot="1">
      <c r="A200" s="1855" t="s">
        <v>1410</v>
      </c>
      <c r="B200" s="1859" t="s">
        <v>2147</v>
      </c>
      <c r="C200" s="1869"/>
      <c r="D200" s="1869"/>
      <c r="E200" s="1869"/>
      <c r="F200" s="1861">
        <v>0.05</v>
      </c>
    </row>
    <row r="201" spans="1:6" ht="24.75" thickBot="1">
      <c r="A201" s="1855" t="s">
        <v>1410</v>
      </c>
      <c r="B201" s="1859" t="s">
        <v>2148</v>
      </c>
      <c r="C201" s="1869"/>
      <c r="D201" s="1869"/>
      <c r="E201" s="1869"/>
      <c r="F201" s="1861">
        <v>0.05</v>
      </c>
    </row>
    <row r="202" spans="1:6" ht="24.75" thickBot="1">
      <c r="A202" s="1855" t="s">
        <v>1410</v>
      </c>
      <c r="B202" s="1859" t="s">
        <v>2149</v>
      </c>
      <c r="C202" s="1869"/>
      <c r="D202" s="1869"/>
      <c r="E202" s="1869"/>
      <c r="F202" s="1861">
        <v>0.05</v>
      </c>
    </row>
    <row r="203" spans="1:6" ht="24.75" thickBot="1">
      <c r="A203" s="1855" t="s">
        <v>1410</v>
      </c>
      <c r="B203" s="1859" t="s">
        <v>2150</v>
      </c>
      <c r="C203" s="1869"/>
      <c r="D203" s="1869"/>
      <c r="E203" s="1869"/>
      <c r="F203" s="1861">
        <v>0.05</v>
      </c>
    </row>
    <row r="204" spans="1:6" ht="14.25" thickBot="1">
      <c r="A204" s="1855" t="s">
        <v>1410</v>
      </c>
      <c r="B204" s="1859" t="s">
        <v>2151</v>
      </c>
      <c r="C204" s="1869"/>
      <c r="D204" s="1869"/>
      <c r="E204" s="1869"/>
      <c r="F204" s="1861">
        <v>0.05</v>
      </c>
    </row>
    <row r="205" spans="1:6" ht="14.25" thickBot="1">
      <c r="A205" s="1863" t="s">
        <v>1410</v>
      </c>
      <c r="B205" s="1870" t="s">
        <v>2152</v>
      </c>
      <c r="C205" s="1866"/>
      <c r="D205" s="1866"/>
      <c r="E205" s="1866"/>
      <c r="F205" s="1871">
        <v>0.05</v>
      </c>
    </row>
    <row r="206" spans="1:6" ht="14.25" thickBot="1">
      <c r="A206" s="1855" t="s">
        <v>1412</v>
      </c>
      <c r="B206" s="1856" t="s">
        <v>2153</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2154</v>
      </c>
      <c r="C210" s="1860">
        <v>0.15</v>
      </c>
      <c r="D210" s="1860">
        <v>0.15</v>
      </c>
      <c r="E210" s="1860">
        <v>0.15</v>
      </c>
      <c r="F210" s="1861">
        <v>0.13800000000000001</v>
      </c>
    </row>
    <row r="211" spans="1:6" ht="14.25" thickBot="1">
      <c r="A211" s="1855" t="s">
        <v>1412</v>
      </c>
      <c r="B211" s="1859" t="s">
        <v>2155</v>
      </c>
      <c r="C211" s="1860">
        <v>0.13700000000000001</v>
      </c>
      <c r="D211" s="1860">
        <v>0.13500000000000001</v>
      </c>
      <c r="E211" s="1860">
        <v>0.13600000000000001</v>
      </c>
      <c r="F211" s="1861">
        <v>0.1</v>
      </c>
    </row>
    <row r="212" spans="1:6" ht="14.25" thickBot="1">
      <c r="A212" s="1855" t="s">
        <v>1412</v>
      </c>
      <c r="B212" s="1859" t="s">
        <v>2156</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2157</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2158</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2159</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2160</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2161</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2162</v>
      </c>
      <c r="C231" s="1860">
        <v>0.128</v>
      </c>
      <c r="D231" s="1860">
        <v>0.125</v>
      </c>
      <c r="E231" s="1860">
        <v>0.13200000000000001</v>
      </c>
      <c r="F231" s="1868"/>
    </row>
    <row r="232" spans="1:6" ht="14.25" thickBot="1">
      <c r="A232" s="1855" t="s">
        <v>1412</v>
      </c>
      <c r="B232" s="1859" t="s">
        <v>2163</v>
      </c>
      <c r="C232" s="1860">
        <v>0.14499999999999999</v>
      </c>
      <c r="D232" s="1860">
        <v>0.14399999999999999</v>
      </c>
      <c r="E232" s="1860">
        <v>0.14599999999999999</v>
      </c>
      <c r="F232" s="1861">
        <v>0.13800000000000001</v>
      </c>
    </row>
    <row r="233" spans="1:6" ht="14.25" thickBot="1">
      <c r="A233" s="1855" t="s">
        <v>1412</v>
      </c>
      <c r="B233" s="1859" t="s">
        <v>2164</v>
      </c>
      <c r="C233" s="1860">
        <v>0.14499999999999999</v>
      </c>
      <c r="D233" s="1860">
        <v>0.14299999999999999</v>
      </c>
      <c r="E233" s="1860">
        <v>0.14199999999999999</v>
      </c>
      <c r="F233" s="1868"/>
    </row>
    <row r="234" spans="1:6" ht="14.25" thickBot="1">
      <c r="A234" s="1855" t="s">
        <v>1412</v>
      </c>
      <c r="B234" s="1859" t="s">
        <v>2165</v>
      </c>
      <c r="C234" s="1860">
        <v>0.14000000000000001</v>
      </c>
      <c r="D234" s="1860">
        <v>0.14000000000000001</v>
      </c>
      <c r="E234" s="1860">
        <v>0.14399999999999999</v>
      </c>
      <c r="F234" s="1868"/>
    </row>
    <row r="235" spans="1:6" ht="14.25" thickBot="1">
      <c r="A235" s="1855" t="s">
        <v>1412</v>
      </c>
      <c r="B235" s="1859" t="s">
        <v>2166</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2167</v>
      </c>
      <c r="C237" s="1869"/>
      <c r="D237" s="1869"/>
      <c r="E237" s="1869"/>
      <c r="F237" s="1861">
        <v>0.05</v>
      </c>
    </row>
    <row r="238" spans="1:6" ht="24.75" thickBot="1">
      <c r="A238" s="1855" t="s">
        <v>1412</v>
      </c>
      <c r="B238" s="1859" t="s">
        <v>2168</v>
      </c>
      <c r="C238" s="1869"/>
      <c r="D238" s="1869"/>
      <c r="E238" s="1869"/>
      <c r="F238" s="1861">
        <v>0.05</v>
      </c>
    </row>
    <row r="239" spans="1:6" ht="24.75" thickBot="1">
      <c r="A239" s="1855" t="s">
        <v>1412</v>
      </c>
      <c r="B239" s="1859" t="s">
        <v>2169</v>
      </c>
      <c r="C239" s="1869"/>
      <c r="D239" s="1869"/>
      <c r="E239" s="1869"/>
      <c r="F239" s="1861">
        <v>0.05</v>
      </c>
    </row>
    <row r="240" spans="1:6" ht="24.75" thickBot="1">
      <c r="A240" s="1855" t="s">
        <v>1412</v>
      </c>
      <c r="B240" s="1859" t="s">
        <v>2170</v>
      </c>
      <c r="C240" s="1869"/>
      <c r="D240" s="1869"/>
      <c r="E240" s="1869"/>
      <c r="F240" s="1861">
        <v>0.05</v>
      </c>
    </row>
    <row r="241" spans="1:6" ht="24.75" thickBot="1">
      <c r="A241" s="1855" t="s">
        <v>1412</v>
      </c>
      <c r="B241" s="1859" t="s">
        <v>2171</v>
      </c>
      <c r="C241" s="1869"/>
      <c r="D241" s="1869"/>
      <c r="E241" s="1869"/>
      <c r="F241" s="1861">
        <v>0.05</v>
      </c>
    </row>
    <row r="242" spans="1:6" ht="24.75" thickBot="1">
      <c r="A242" s="1855" t="s">
        <v>1412</v>
      </c>
      <c r="B242" s="1859" t="s">
        <v>2172</v>
      </c>
      <c r="C242" s="1869"/>
      <c r="D242" s="1869"/>
      <c r="E242" s="1869"/>
      <c r="F242" s="1861">
        <v>0.05</v>
      </c>
    </row>
    <row r="243" spans="1:6" ht="24.75" thickBot="1">
      <c r="A243" s="1855" t="s">
        <v>1412</v>
      </c>
      <c r="B243" s="1859" t="s">
        <v>2173</v>
      </c>
      <c r="C243" s="1869"/>
      <c r="D243" s="1869"/>
      <c r="E243" s="1869"/>
      <c r="F243" s="1861">
        <v>0.05</v>
      </c>
    </row>
    <row r="244" spans="1:6" ht="24.75" thickBot="1">
      <c r="A244" s="1863" t="s">
        <v>1412</v>
      </c>
      <c r="B244" s="1870" t="s">
        <v>2174</v>
      </c>
      <c r="C244" s="1866"/>
      <c r="D244" s="1866"/>
      <c r="E244" s="1866"/>
      <c r="F244" s="1871">
        <v>0.05</v>
      </c>
    </row>
    <row r="245" spans="1:6" ht="14.25" thickBot="1">
      <c r="A245" s="1855" t="s">
        <v>1414</v>
      </c>
      <c r="B245" s="1856" t="s">
        <v>2175</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2176</v>
      </c>
      <c r="C247" s="1860">
        <v>0.15</v>
      </c>
      <c r="D247" s="1860">
        <v>0.15</v>
      </c>
      <c r="E247" s="1860">
        <v>0.15</v>
      </c>
      <c r="F247" s="1861">
        <v>0.15</v>
      </c>
    </row>
    <row r="248" spans="1:6" ht="14.25" thickBot="1">
      <c r="A248" s="1855" t="s">
        <v>1414</v>
      </c>
      <c r="B248" s="1859" t="s">
        <v>2177</v>
      </c>
      <c r="C248" s="1860">
        <v>0.15</v>
      </c>
      <c r="D248" s="1860">
        <v>0.15</v>
      </c>
      <c r="E248" s="1860">
        <v>0.15</v>
      </c>
      <c r="F248" s="1861">
        <v>0.14000000000000001</v>
      </c>
    </row>
    <row r="249" spans="1:6" ht="14.25" thickBot="1">
      <c r="A249" s="1855" t="s">
        <v>1414</v>
      </c>
      <c r="B249" s="1859" t="s">
        <v>2178</v>
      </c>
      <c r="C249" s="1860">
        <v>0.15</v>
      </c>
      <c r="D249" s="1860">
        <v>0.14899999999999999</v>
      </c>
      <c r="E249" s="1860">
        <v>0.15</v>
      </c>
      <c r="F249" s="1861">
        <v>0.1</v>
      </c>
    </row>
    <row r="250" spans="1:6" ht="14.25" thickBot="1">
      <c r="A250" s="1855" t="s">
        <v>1414</v>
      </c>
      <c r="B250" s="1859" t="s">
        <v>2179</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2180</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2181</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2182</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2183</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2184</v>
      </c>
      <c r="C273" s="1860">
        <v>0.14199999999999999</v>
      </c>
      <c r="D273" s="1860">
        <v>0.14299999999999999</v>
      </c>
      <c r="E273" s="1860">
        <v>0.15</v>
      </c>
      <c r="F273" s="1861">
        <v>0.1</v>
      </c>
    </row>
    <row r="274" spans="1:6" ht="14.25" thickBot="1">
      <c r="A274" s="1855" t="s">
        <v>1414</v>
      </c>
      <c r="B274" s="1859" t="s">
        <v>2185</v>
      </c>
      <c r="C274" s="1860">
        <v>0.14799999999999999</v>
      </c>
      <c r="D274" s="1860">
        <v>0.14799999999999999</v>
      </c>
      <c r="E274" s="1860">
        <v>0.15</v>
      </c>
      <c r="F274" s="1861">
        <v>6.7000000000000004E-2</v>
      </c>
    </row>
    <row r="275" spans="1:6" ht="14.25" thickBot="1">
      <c r="A275" s="1855" t="s">
        <v>1414</v>
      </c>
      <c r="B275" s="1859" t="s">
        <v>2186</v>
      </c>
      <c r="C275" s="1860">
        <v>0.15</v>
      </c>
      <c r="D275" s="1860">
        <v>0.15</v>
      </c>
      <c r="E275" s="1860">
        <v>0.15</v>
      </c>
      <c r="F275" s="1861">
        <v>0.15</v>
      </c>
    </row>
    <row r="276" spans="1:6" ht="14.25" thickBot="1">
      <c r="A276" s="1855" t="s">
        <v>1414</v>
      </c>
      <c r="B276" s="1859" t="s">
        <v>2187</v>
      </c>
      <c r="C276" s="1860">
        <v>0.14499999999999999</v>
      </c>
      <c r="D276" s="1860">
        <v>0.14299999999999999</v>
      </c>
      <c r="E276" s="1860">
        <v>0.15</v>
      </c>
      <c r="F276" s="1861">
        <v>5.8999999999999997E-2</v>
      </c>
    </row>
    <row r="277" spans="1:6" ht="14.25" thickBot="1">
      <c r="A277" s="1855" t="s">
        <v>1414</v>
      </c>
      <c r="B277" s="1859" t="s">
        <v>2188</v>
      </c>
      <c r="C277" s="1860">
        <v>0.15</v>
      </c>
      <c r="D277" s="1860">
        <v>0.15</v>
      </c>
      <c r="E277" s="1860">
        <v>0.15</v>
      </c>
      <c r="F277" s="1861">
        <v>0.121</v>
      </c>
    </row>
    <row r="278" spans="1:6" ht="14.25" thickBot="1">
      <c r="A278" s="1855" t="s">
        <v>1414</v>
      </c>
      <c r="B278" s="1859" t="s">
        <v>2189</v>
      </c>
      <c r="C278" s="1860">
        <v>0.15</v>
      </c>
      <c r="D278" s="1860">
        <v>0.15</v>
      </c>
      <c r="E278" s="1860">
        <v>0.15</v>
      </c>
      <c r="F278" s="1861">
        <v>0.13800000000000001</v>
      </c>
    </row>
    <row r="279" spans="1:6" ht="24.75" thickBot="1">
      <c r="A279" s="1855" t="s">
        <v>1414</v>
      </c>
      <c r="B279" s="1859" t="s">
        <v>2190</v>
      </c>
      <c r="C279" s="1869"/>
      <c r="D279" s="1869"/>
      <c r="E279" s="1869"/>
      <c r="F279" s="1861">
        <v>0.05</v>
      </c>
    </row>
    <row r="280" spans="1:6" ht="24.75" thickBot="1">
      <c r="A280" s="1855" t="s">
        <v>1414</v>
      </c>
      <c r="B280" s="1859" t="s">
        <v>2191</v>
      </c>
      <c r="C280" s="1869"/>
      <c r="D280" s="1869"/>
      <c r="E280" s="1869"/>
      <c r="F280" s="1861">
        <v>0.05</v>
      </c>
    </row>
    <row r="281" spans="1:6" ht="24.75" thickBot="1">
      <c r="A281" s="1855" t="s">
        <v>1414</v>
      </c>
      <c r="B281" s="1859" t="s">
        <v>2192</v>
      </c>
      <c r="C281" s="1869"/>
      <c r="D281" s="1869"/>
      <c r="E281" s="1869"/>
      <c r="F281" s="1861">
        <v>0.05</v>
      </c>
    </row>
    <row r="282" spans="1:6" ht="24.75" thickBot="1">
      <c r="A282" s="1855" t="s">
        <v>1414</v>
      </c>
      <c r="B282" s="1859" t="s">
        <v>2193</v>
      </c>
      <c r="C282" s="1869"/>
      <c r="D282" s="1869"/>
      <c r="E282" s="1869"/>
      <c r="F282" s="1861">
        <v>0.05</v>
      </c>
    </row>
    <row r="283" spans="1:6" ht="24.75" thickBot="1">
      <c r="A283" s="1855" t="s">
        <v>1414</v>
      </c>
      <c r="B283" s="1859" t="s">
        <v>2194</v>
      </c>
      <c r="C283" s="1869"/>
      <c r="D283" s="1869"/>
      <c r="E283" s="1869"/>
      <c r="F283" s="1861">
        <v>0.05</v>
      </c>
    </row>
    <row r="284" spans="1:6" ht="24.75" thickBot="1">
      <c r="A284" s="1855" t="s">
        <v>1414</v>
      </c>
      <c r="B284" s="1859" t="s">
        <v>2195</v>
      </c>
      <c r="C284" s="1869"/>
      <c r="D284" s="1869"/>
      <c r="E284" s="1869"/>
      <c r="F284" s="1861">
        <v>0.05</v>
      </c>
    </row>
    <row r="285" spans="1:6" ht="24.75" thickBot="1">
      <c r="A285" s="1855" t="s">
        <v>1414</v>
      </c>
      <c r="B285" s="1859" t="s">
        <v>2196</v>
      </c>
      <c r="C285" s="1869"/>
      <c r="D285" s="1869"/>
      <c r="E285" s="1869"/>
      <c r="F285" s="1861">
        <v>0.05</v>
      </c>
    </row>
    <row r="286" spans="1:6" ht="24.75" thickBot="1">
      <c r="A286" s="1855" t="s">
        <v>1414</v>
      </c>
      <c r="B286" s="1859" t="s">
        <v>2197</v>
      </c>
      <c r="C286" s="1869"/>
      <c r="D286" s="1869"/>
      <c r="E286" s="1869"/>
      <c r="F286" s="1861">
        <v>0.05</v>
      </c>
    </row>
    <row r="287" spans="1:6" ht="24.75" thickBot="1">
      <c r="A287" s="1855" t="s">
        <v>1414</v>
      </c>
      <c r="B287" s="1859" t="s">
        <v>2198</v>
      </c>
      <c r="C287" s="1869"/>
      <c r="D287" s="1869"/>
      <c r="E287" s="1869"/>
      <c r="F287" s="1861">
        <v>0.05</v>
      </c>
    </row>
    <row r="288" spans="1:6" ht="24.75" thickBot="1">
      <c r="A288" s="1855" t="s">
        <v>1414</v>
      </c>
      <c r="B288" s="1859" t="s">
        <v>2199</v>
      </c>
      <c r="C288" s="1869"/>
      <c r="D288" s="1869"/>
      <c r="E288" s="1869"/>
      <c r="F288" s="1861">
        <v>0.05</v>
      </c>
    </row>
    <row r="289" spans="1:6" ht="24.75" thickBot="1">
      <c r="A289" s="1863" t="s">
        <v>1414</v>
      </c>
      <c r="B289" s="1870" t="s">
        <v>2200</v>
      </c>
      <c r="C289" s="1866"/>
      <c r="D289" s="1866"/>
      <c r="E289" s="1866"/>
      <c r="F289" s="1871">
        <v>0.05</v>
      </c>
    </row>
    <row r="290" spans="1:6" ht="14.25" thickBot="1">
      <c r="A290" s="1855" t="s">
        <v>1418</v>
      </c>
      <c r="B290" s="1856" t="s">
        <v>2201</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2202</v>
      </c>
      <c r="C292" s="1860">
        <v>0.15</v>
      </c>
      <c r="D292" s="1860">
        <v>0.15</v>
      </c>
      <c r="E292" s="1860">
        <v>0.15</v>
      </c>
      <c r="F292" s="1861">
        <v>0.14699999999999999</v>
      </c>
    </row>
    <row r="293" spans="1:6" ht="14.25" thickBot="1">
      <c r="A293" s="1855" t="s">
        <v>1418</v>
      </c>
      <c r="B293" s="1859" t="s">
        <v>2203</v>
      </c>
      <c r="C293" s="1869"/>
      <c r="D293" s="1869"/>
      <c r="E293" s="1869"/>
      <c r="F293" s="1861">
        <v>0.1</v>
      </c>
    </row>
    <row r="294" spans="1:6" ht="14.25" thickBot="1">
      <c r="A294" s="1855" t="s">
        <v>1418</v>
      </c>
      <c r="B294" s="1859" t="s">
        <v>2204</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2205</v>
      </c>
      <c r="C296" s="1860">
        <v>0.15</v>
      </c>
      <c r="D296" s="1860">
        <v>0.15</v>
      </c>
      <c r="E296" s="1860">
        <v>0.15</v>
      </c>
      <c r="F296" s="1861">
        <v>0.15</v>
      </c>
    </row>
    <row r="297" spans="1:6" ht="14.25" thickBot="1">
      <c r="A297" s="1855" t="s">
        <v>1418</v>
      </c>
      <c r="B297" s="1859" t="s">
        <v>2206</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2207</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2208</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2209</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2210</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2211</v>
      </c>
      <c r="C310" s="1860">
        <v>0.15</v>
      </c>
      <c r="D310" s="1860">
        <v>0.15</v>
      </c>
      <c r="E310" s="1860">
        <v>0.15</v>
      </c>
      <c r="F310" s="1861">
        <v>0.13700000000000001</v>
      </c>
    </row>
    <row r="311" spans="1:6" ht="14.25" thickBot="1">
      <c r="A311" s="1855" t="s">
        <v>1418</v>
      </c>
      <c r="B311" s="1859" t="s">
        <v>2212</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2213</v>
      </c>
      <c r="C313" s="1860">
        <v>0.15</v>
      </c>
      <c r="D313" s="1860">
        <v>0.15</v>
      </c>
      <c r="E313" s="1860">
        <v>0.15</v>
      </c>
      <c r="F313" s="1861">
        <v>0.15</v>
      </c>
    </row>
    <row r="314" spans="1:6" ht="24.75" thickBot="1">
      <c r="A314" s="1855" t="s">
        <v>1418</v>
      </c>
      <c r="B314" s="1859" t="s">
        <v>2214</v>
      </c>
      <c r="C314" s="1869"/>
      <c r="D314" s="1869"/>
      <c r="E314" s="1869"/>
      <c r="F314" s="1861">
        <v>0.05</v>
      </c>
    </row>
    <row r="315" spans="1:6" ht="24.75" thickBot="1">
      <c r="A315" s="1855" t="s">
        <v>1418</v>
      </c>
      <c r="B315" s="1859" t="s">
        <v>2215</v>
      </c>
      <c r="C315" s="1869"/>
      <c r="D315" s="1869"/>
      <c r="E315" s="1869"/>
      <c r="F315" s="1861">
        <v>0.05</v>
      </c>
    </row>
    <row r="316" spans="1:6" ht="24.75" thickBot="1">
      <c r="A316" s="1863" t="s">
        <v>1418</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1106</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1175</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1195</v>
      </c>
      <c r="C328" s="1860">
        <v>0.15</v>
      </c>
      <c r="D328" s="1860">
        <v>0.15</v>
      </c>
      <c r="E328" s="1860">
        <v>0.15</v>
      </c>
      <c r="F328" s="1861">
        <v>0.14099999999999999</v>
      </c>
    </row>
    <row r="329" spans="1:6" ht="14.25" thickBot="1">
      <c r="A329" s="1855" t="s">
        <v>2217</v>
      </c>
      <c r="B329" s="1859" t="s">
        <v>1205</v>
      </c>
      <c r="C329" s="1860">
        <v>0.15</v>
      </c>
      <c r="D329" s="1860">
        <v>0.15</v>
      </c>
      <c r="E329" s="1860">
        <v>0.15</v>
      </c>
      <c r="F329" s="1861">
        <v>0.15</v>
      </c>
    </row>
    <row r="330" spans="1:6" ht="14.25" thickBot="1">
      <c r="A330" s="1855" t="s">
        <v>2217</v>
      </c>
      <c r="B330" s="1859" t="s">
        <v>1215</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1235</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1255</v>
      </c>
      <c r="C334" s="1860">
        <v>0.15</v>
      </c>
      <c r="D334" s="1860">
        <v>0.15</v>
      </c>
      <c r="E334" s="1860">
        <v>0.15</v>
      </c>
      <c r="F334" s="1861">
        <v>0.15</v>
      </c>
    </row>
    <row r="335" spans="1:6" ht="14.25" thickBot="1">
      <c r="A335" s="1855" t="s">
        <v>2217</v>
      </c>
      <c r="B335" s="1859" t="s">
        <v>1265</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1283</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2950</v>
      </c>
      <c r="B1" s="3103"/>
      <c r="C1" s="3103"/>
      <c r="D1" s="3103"/>
      <c r="E1" s="3103"/>
      <c r="F1" s="3103"/>
    </row>
    <row r="2" spans="1:6" ht="14.25">
      <c r="A2" s="3104" t="s">
        <v>2945</v>
      </c>
      <c r="B2" s="3105" t="e">
        <f ca="1">SUMIF(B7:B14,"&lt;&gt;#ref!",B7:B14)</f>
        <v>#DIV/0!</v>
      </c>
      <c r="C2" s="3104" t="s">
        <v>2946</v>
      </c>
      <c r="D2" s="3103"/>
      <c r="E2" s="3103"/>
      <c r="F2" s="3103"/>
    </row>
    <row r="3" spans="1:6" ht="14.25">
      <c r="A3" s="3104" t="s">
        <v>2980</v>
      </c>
      <c r="B3" s="3105" t="e">
        <f ca="1">ROUND(B2*10000/E3,0)</f>
        <v>#DIV/0!</v>
      </c>
      <c r="C3" s="3104" t="s">
        <v>2079</v>
      </c>
      <c r="D3" s="3104" t="s">
        <v>2947</v>
      </c>
      <c r="E3" s="3105">
        <f ca="1">SUMIF(E7:E14,"&lt;&gt;#ref!",E7:E14)</f>
        <v>0</v>
      </c>
      <c r="F3" s="3103"/>
    </row>
    <row r="4" spans="1:6" ht="14.25">
      <c r="A4" s="3104" t="s">
        <v>2954</v>
      </c>
      <c r="B4" s="3105" t="e">
        <f ca="1">ROUND(B2*10000/E4,0)</f>
        <v>#DIV/0!</v>
      </c>
      <c r="C4" s="3104" t="s">
        <v>2079</v>
      </c>
      <c r="D4" s="3104" t="s">
        <v>2955</v>
      </c>
      <c r="E4" s="3105">
        <f ca="1">SUMIF(F7:F14,"&lt;&gt;#ref!",F7:F14)</f>
        <v>0</v>
      </c>
      <c r="F4" s="3103"/>
    </row>
    <row r="5" spans="1:6" ht="14.25">
      <c r="A5" s="3106"/>
      <c r="B5" s="1881"/>
      <c r="C5" s="1881"/>
      <c r="D5" s="1881"/>
      <c r="E5" s="1881"/>
      <c r="F5" s="3103"/>
    </row>
    <row r="6" spans="1:6" ht="28.5">
      <c r="A6" s="3107" t="s">
        <v>2951</v>
      </c>
      <c r="B6" s="3104" t="s">
        <v>2948</v>
      </c>
      <c r="C6" s="3105"/>
      <c r="D6" s="1881"/>
      <c r="E6" s="3104" t="s">
        <v>2949</v>
      </c>
      <c r="F6" s="3104" t="s">
        <v>2953</v>
      </c>
    </row>
    <row r="7" spans="1:6" ht="14.25">
      <c r="A7" s="259" t="s">
        <v>2952</v>
      </c>
      <c r="B7" s="3108" t="e">
        <f ca="1">SUMIF(INDIRECT("'"&amp;A7&amp;"'"&amp;"!A:A"),"总价",INDIRECT("'"&amp;A7&amp;"'"&amp;"!B:B"))</f>
        <v>#DIV/0!</v>
      </c>
      <c r="C7" s="3104" t="s">
        <v>2946</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2946</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2946</v>
      </c>
      <c r="D9" s="1881"/>
      <c r="E9" s="3109" t="e">
        <f t="shared" ca="1" si="1"/>
        <v>#REF!</v>
      </c>
      <c r="F9" s="3109" t="e">
        <f t="shared" ca="1" si="2"/>
        <v>#REF!</v>
      </c>
    </row>
    <row r="10" spans="1:6" ht="14.25">
      <c r="A10" s="259"/>
      <c r="B10" s="3108" t="e">
        <f t="shared" ca="1" si="0"/>
        <v>#REF!</v>
      </c>
      <c r="C10" s="3104" t="s">
        <v>2946</v>
      </c>
      <c r="D10" s="1881"/>
      <c r="E10" s="3109" t="e">
        <f t="shared" ca="1" si="1"/>
        <v>#REF!</v>
      </c>
      <c r="F10" s="3109" t="e">
        <f t="shared" ca="1" si="2"/>
        <v>#REF!</v>
      </c>
    </row>
    <row r="11" spans="1:6" ht="14.25">
      <c r="A11" s="259"/>
      <c r="B11" s="3108" t="e">
        <f t="shared" ca="1" si="0"/>
        <v>#REF!</v>
      </c>
      <c r="C11" s="3104" t="s">
        <v>2946</v>
      </c>
      <c r="D11" s="1881"/>
      <c r="E11" s="3109" t="e">
        <f t="shared" ca="1" si="1"/>
        <v>#REF!</v>
      </c>
      <c r="F11" s="3109" t="e">
        <f t="shared" ca="1" si="2"/>
        <v>#REF!</v>
      </c>
    </row>
    <row r="12" spans="1:6" ht="14.25">
      <c r="A12" s="259"/>
      <c r="B12" s="3108" t="e">
        <f t="shared" ca="1" si="0"/>
        <v>#REF!</v>
      </c>
      <c r="C12" s="3104" t="s">
        <v>2946</v>
      </c>
      <c r="D12" s="1881"/>
      <c r="E12" s="3109" t="e">
        <f t="shared" ca="1" si="1"/>
        <v>#REF!</v>
      </c>
      <c r="F12" s="3109" t="e">
        <f t="shared" ca="1" si="2"/>
        <v>#REF!</v>
      </c>
    </row>
    <row r="13" spans="1:6" ht="14.25">
      <c r="A13" s="259"/>
      <c r="B13" s="3108" t="e">
        <f t="shared" ca="1" si="0"/>
        <v>#REF!</v>
      </c>
      <c r="C13" s="3104" t="s">
        <v>2946</v>
      </c>
      <c r="D13" s="1881"/>
      <c r="E13" s="3109" t="e">
        <f t="shared" ca="1" si="1"/>
        <v>#REF!</v>
      </c>
      <c r="F13" s="3109" t="e">
        <f t="shared" ca="1" si="2"/>
        <v>#REF!</v>
      </c>
    </row>
    <row r="14" spans="1:6" ht="14.25">
      <c r="A14" s="3102"/>
      <c r="B14" s="3108" t="e">
        <f t="shared" ca="1" si="0"/>
        <v>#REF!</v>
      </c>
      <c r="C14" s="3104" t="s">
        <v>2946</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626</v>
      </c>
      <c r="B1" s="737"/>
      <c r="C1" s="772"/>
      <c r="D1" s="2050"/>
      <c r="E1" s="2387" t="s">
        <v>2375</v>
      </c>
      <c r="F1" s="2388">
        <f ca="1">J54</f>
        <v>-2</v>
      </c>
      <c r="G1" s="773">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627</v>
      </c>
      <c r="B2" s="774">
        <f ca="1">IF(ISERROR(C45+J31),0,C45+J31)</f>
        <v>0</v>
      </c>
      <c r="C2" s="1349"/>
      <c r="D2" s="2055"/>
      <c r="E2" s="2056"/>
      <c r="F2" s="2056"/>
      <c r="G2" s="1589"/>
      <c r="H2" s="1361"/>
      <c r="I2" s="2057"/>
      <c r="J2" s="2057"/>
      <c r="K2" s="2058"/>
      <c r="L2" s="2057"/>
      <c r="M2" s="2057"/>
    </row>
    <row r="3" spans="1:25" ht="18" customHeight="1">
      <c r="A3" s="1644" t="s">
        <v>1685</v>
      </c>
      <c r="B3" s="1390">
        <f ca="1">ROUND(B2*10000/'数据-汇总表'!E3,0)</f>
        <v>0</v>
      </c>
      <c r="C3" s="1349"/>
      <c r="D3" s="2055"/>
      <c r="E3" s="2056"/>
      <c r="F3" s="2056"/>
      <c r="G3" s="1589"/>
      <c r="H3" s="775" t="s">
        <v>693</v>
      </c>
      <c r="I3" s="2057"/>
      <c r="J3" s="2057"/>
      <c r="K3" s="2058"/>
      <c r="L3" s="2057"/>
      <c r="M3" s="2057"/>
    </row>
    <row r="4" spans="1:25" ht="18" customHeight="1">
      <c r="A4" s="1645" t="s">
        <v>694</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695</v>
      </c>
      <c r="D5" s="2055"/>
      <c r="E5" s="2056"/>
      <c r="F5" s="2056"/>
      <c r="G5" s="1589"/>
      <c r="H5" s="775"/>
      <c r="I5" s="2057"/>
      <c r="J5" s="2057"/>
      <c r="K5" s="2058"/>
      <c r="L5" s="2057"/>
      <c r="M5" s="2057"/>
    </row>
    <row r="6" spans="1:25" ht="18" customHeight="1">
      <c r="A6" s="1828" t="s">
        <v>696</v>
      </c>
      <c r="B6" s="1820" t="s">
        <v>697</v>
      </c>
      <c r="C6" s="1820" t="s">
        <v>630</v>
      </c>
      <c r="D6" s="1820" t="s">
        <v>631</v>
      </c>
      <c r="E6" s="778" t="s">
        <v>632</v>
      </c>
      <c r="F6" s="779"/>
      <c r="G6" s="1591"/>
      <c r="H6" s="1828" t="s">
        <v>628</v>
      </c>
      <c r="I6" s="1820" t="s">
        <v>629</v>
      </c>
      <c r="J6" s="1820" t="s">
        <v>630</v>
      </c>
      <c r="K6" s="1820" t="s">
        <v>631</v>
      </c>
      <c r="L6" s="778" t="s">
        <v>632</v>
      </c>
      <c r="M6" s="779"/>
    </row>
    <row r="7" spans="1:25" ht="18" customHeight="1">
      <c r="A7" s="780">
        <v>1</v>
      </c>
      <c r="B7" s="781" t="s">
        <v>2459</v>
      </c>
      <c r="C7" s="52">
        <f ca="1">C8+C12+C14</f>
        <v>0</v>
      </c>
      <c r="D7" s="2496" t="s">
        <v>2462</v>
      </c>
      <c r="E7" s="2490"/>
      <c r="F7" s="2491"/>
      <c r="G7" s="1591"/>
      <c r="H7" s="780">
        <v>1</v>
      </c>
      <c r="I7" s="781" t="s">
        <v>2459</v>
      </c>
      <c r="J7" s="52">
        <f ca="1">J8+J12+J14</f>
        <v>0</v>
      </c>
      <c r="K7" s="2496" t="s">
        <v>2462</v>
      </c>
      <c r="L7" s="2490"/>
      <c r="M7" s="2491"/>
    </row>
    <row r="8" spans="1:25" ht="18" customHeight="1">
      <c r="A8" s="1830" t="s">
        <v>1823</v>
      </c>
      <c r="B8" s="3435" t="s">
        <v>2464</v>
      </c>
      <c r="C8" s="1825">
        <f ca="1">ROUND(F8*F10*F9*(1-F11)/10000,0)</f>
        <v>0</v>
      </c>
      <c r="D8" s="1822" t="s">
        <v>2535</v>
      </c>
      <c r="E8" s="60" t="s">
        <v>635</v>
      </c>
      <c r="F8" s="784">
        <f ca="1">INDIRECT("'数据-取费表'!u"&amp;$G$1)</f>
        <v>0</v>
      </c>
      <c r="G8" s="1591"/>
      <c r="H8" s="2504" t="s">
        <v>1823</v>
      </c>
      <c r="I8" s="3435" t="s">
        <v>2464</v>
      </c>
      <c r="J8" s="782">
        <f ca="1">ROUND(M8*M10*M9*(1-M11)/10000,0)</f>
        <v>0</v>
      </c>
      <c r="K8" s="340" t="s">
        <v>2535</v>
      </c>
      <c r="L8" s="783" t="s">
        <v>1737</v>
      </c>
      <c r="M8" s="784">
        <f ca="1">INDIRECT("'数据-取费表'!z"&amp;$G$1)</f>
        <v>0</v>
      </c>
    </row>
    <row r="9" spans="1:25" ht="18" customHeight="1">
      <c r="A9" s="2500"/>
      <c r="B9" s="3436"/>
      <c r="C9" s="1826"/>
      <c r="D9" s="1823"/>
      <c r="E9" s="60" t="s">
        <v>636</v>
      </c>
      <c r="F9" s="784">
        <f ca="1">IF(INDIRECT("'数据-取费表'!ah"&amp;$G$1)="",INDIRECT("'数据-取费表'!k"&amp;$G$1),INDIRECT("'数据-取费表'!ah"&amp;$G$1))</f>
        <v>0</v>
      </c>
      <c r="G9" s="1591"/>
      <c r="H9" s="2489"/>
      <c r="I9" s="3436"/>
      <c r="J9" s="787"/>
      <c r="K9" s="788"/>
      <c r="L9" s="783" t="s">
        <v>1738</v>
      </c>
      <c r="M9" s="784">
        <f ca="1">F9</f>
        <v>0</v>
      </c>
    </row>
    <row r="10" spans="1:25" ht="18" customHeight="1">
      <c r="A10" s="2493"/>
      <c r="B10" s="3437"/>
      <c r="C10" s="1826"/>
      <c r="D10" s="1823"/>
      <c r="E10" s="60" t="s">
        <v>637</v>
      </c>
      <c r="F10" s="784">
        <f ca="1">INDIRECT("'数据-取费表'!ai"&amp;$G$1)</f>
        <v>0</v>
      </c>
      <c r="G10" s="1591"/>
      <c r="H10" s="2489"/>
      <c r="I10" s="3437"/>
      <c r="J10" s="787"/>
      <c r="K10" s="788"/>
      <c r="L10" s="783" t="s">
        <v>1739</v>
      </c>
      <c r="M10" s="784">
        <f ca="1">INDIRECT("'数据-取费表'!ai"&amp;$G$1)</f>
        <v>0</v>
      </c>
    </row>
    <row r="11" spans="1:25" ht="18" customHeight="1">
      <c r="A11" s="785"/>
      <c r="B11" s="3438"/>
      <c r="C11" s="1826"/>
      <c r="D11" s="1823"/>
      <c r="E11" s="60" t="s">
        <v>638</v>
      </c>
      <c r="F11" s="793">
        <f ca="1">INDIRECT("'数据-取费表'!w"&amp;$G$1)</f>
        <v>0</v>
      </c>
      <c r="G11" s="1591"/>
      <c r="H11" s="2505"/>
      <c r="I11" s="3437"/>
      <c r="J11" s="787"/>
      <c r="K11" s="788"/>
      <c r="L11" s="794" t="s">
        <v>1740</v>
      </c>
      <c r="M11" s="795">
        <f ca="1">INDIRECT("'数据-取费表'!ab"&amp;$G$1)</f>
        <v>0</v>
      </c>
    </row>
    <row r="12" spans="1:25" ht="18" customHeight="1">
      <c r="A12" s="1830" t="s">
        <v>1824</v>
      </c>
      <c r="B12" s="2494" t="s">
        <v>2460</v>
      </c>
      <c r="C12" s="798">
        <f ca="1">ROUND(IF(F12="押一",C8/12*F13,IF(F12="押二",C8/12*2*F13,IF(F12="押三",C8/12*3*F13,C13*F13))),0)</f>
        <v>0</v>
      </c>
      <c r="D12" s="2501" t="s">
        <v>2975</v>
      </c>
      <c r="E12" s="2498" t="s">
        <v>2465</v>
      </c>
      <c r="F12" s="2621"/>
      <c r="G12" s="1591"/>
      <c r="H12" s="2561" t="s">
        <v>1824</v>
      </c>
      <c r="I12" s="2566" t="s">
        <v>2460</v>
      </c>
      <c r="J12" s="782">
        <f ca="1">ROUND(IF(M12="押一",J8/12*M13,IF(M12="押二",J8/12*2*M13,IF(M12="押三",J8/12*3*M13,J13*M13))),0)</f>
        <v>0</v>
      </c>
      <c r="K12" s="2501" t="s">
        <v>2975</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1873</v>
      </c>
      <c r="B15" s="1827" t="s">
        <v>639</v>
      </c>
      <c r="C15" s="791">
        <f ca="1">ROUND(C31*F15,0)</f>
        <v>0</v>
      </c>
      <c r="D15" s="1834" t="s">
        <v>640</v>
      </c>
      <c r="E15" s="794" t="s">
        <v>641</v>
      </c>
      <c r="F15" s="799">
        <f ca="1">INDIRECT("'数据-取费表'!y"&amp;$G$1)</f>
        <v>0</v>
      </c>
      <c r="G15" s="1591"/>
      <c r="H15" s="1829" t="s">
        <v>1825</v>
      </c>
      <c r="I15" s="1827" t="s">
        <v>642</v>
      </c>
      <c r="J15" s="1819">
        <f ca="1">ROUND(J16*J17,0)</f>
        <v>0</v>
      </c>
      <c r="K15" s="1821" t="s">
        <v>640</v>
      </c>
      <c r="L15" s="800"/>
      <c r="M15" s="801"/>
    </row>
    <row r="16" spans="1:25" ht="18" customHeight="1">
      <c r="A16" s="802" t="s">
        <v>1874</v>
      </c>
      <c r="B16" s="783" t="s">
        <v>643</v>
      </c>
      <c r="C16" s="803">
        <f ca="1">INDIRECT("'数据-取费表'!m"&amp;$G$1)+INDIRECT("'数据-取费表'!t"&amp;$G$1)</f>
        <v>0</v>
      </c>
      <c r="D16" s="1979" t="s">
        <v>644</v>
      </c>
      <c r="E16" s="1980"/>
      <c r="F16" s="804"/>
      <c r="G16" s="1591"/>
      <c r="H16" s="802" t="s">
        <v>2070</v>
      </c>
      <c r="I16" s="2231" t="s">
        <v>2826</v>
      </c>
      <c r="J16" s="52">
        <f ca="1">C31</f>
        <v>0</v>
      </c>
      <c r="K16" s="25"/>
      <c r="L16" s="800"/>
      <c r="M16" s="801"/>
    </row>
    <row r="17" spans="1:25" s="2064" customFormat="1" ht="18" customHeight="1">
      <c r="A17" s="802" t="s">
        <v>1848</v>
      </c>
      <c r="B17" s="783" t="s">
        <v>645</v>
      </c>
      <c r="C17" s="52">
        <f ca="1">ROUND(C16*F17,0)</f>
        <v>0</v>
      </c>
      <c r="D17" s="805" t="s">
        <v>646</v>
      </c>
      <c r="E17" s="805" t="s">
        <v>647</v>
      </c>
      <c r="F17" s="806">
        <f>'数据-取费表'!B33</f>
        <v>0.03</v>
      </c>
      <c r="G17" s="1592"/>
      <c r="H17" s="802" t="s">
        <v>2071</v>
      </c>
      <c r="I17" s="783" t="s">
        <v>641</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1849</v>
      </c>
      <c r="B18" s="783" t="s">
        <v>648</v>
      </c>
      <c r="C18" s="52">
        <f ca="1">ROUND(INDIRECT("'数据-取费表'!m"&amp;$G$1)*F18,0)</f>
        <v>0</v>
      </c>
      <c r="D18" s="783" t="s">
        <v>646</v>
      </c>
      <c r="E18" s="783" t="s">
        <v>647</v>
      </c>
      <c r="F18" s="808">
        <f ca="1">IF(INDIRECT("'数据-取费表'!c"&amp;$G$1)="住宅",'数据-取费表'!B34,0)</f>
        <v>0</v>
      </c>
      <c r="G18" s="1591"/>
      <c r="H18" s="796" t="s">
        <v>1826</v>
      </c>
      <c r="I18" s="797" t="s">
        <v>649</v>
      </c>
      <c r="J18" s="798">
        <f ca="1">ROUND(J19+J24+J25+J26,0)</f>
        <v>0</v>
      </c>
      <c r="K18" s="25" t="s">
        <v>650</v>
      </c>
      <c r="L18" s="1982"/>
      <c r="M18" s="55"/>
    </row>
    <row r="19" spans="1:25" s="2064" customFormat="1" ht="18" customHeight="1">
      <c r="A19" s="802" t="s">
        <v>1850</v>
      </c>
      <c r="B19" s="783" t="s">
        <v>651</v>
      </c>
      <c r="C19" s="52">
        <f ca="1">ROUND(F19*(INDIRECT("'数据-取费表'!k"&amp;$G$1)+INDIRECT("'数据-取费表'!S"&amp;$G$1))/10000,0)</f>
        <v>0</v>
      </c>
      <c r="D19" s="783" t="s">
        <v>652</v>
      </c>
      <c r="E19" s="783" t="s">
        <v>653</v>
      </c>
      <c r="F19" s="55">
        <f>'数据-取费表'!B35</f>
        <v>200</v>
      </c>
      <c r="G19" s="1592"/>
      <c r="H19" s="802" t="s">
        <v>2070</v>
      </c>
      <c r="I19" s="783" t="s">
        <v>654</v>
      </c>
      <c r="J19" s="52">
        <f ca="1">ROUND(IF(项目基本情况!B11="自然人",J7*M19,J20+J21+J22),0)</f>
        <v>0</v>
      </c>
      <c r="K19" s="1979" t="s">
        <v>655</v>
      </c>
      <c r="L19" s="1977" t="s">
        <v>656</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1851</v>
      </c>
      <c r="B20" s="783" t="s">
        <v>657</v>
      </c>
      <c r="C20" s="52">
        <f ca="1">ROUND(C16*F20,0)</f>
        <v>0</v>
      </c>
      <c r="D20" s="783" t="s">
        <v>646</v>
      </c>
      <c r="E20" s="783" t="s">
        <v>647</v>
      </c>
      <c r="F20" s="808">
        <f>'数据-取费表'!B36</f>
        <v>1.4999999999999999E-2</v>
      </c>
      <c r="G20" s="1592"/>
      <c r="H20" s="802" t="s">
        <v>1830</v>
      </c>
      <c r="I20" s="783" t="s">
        <v>658</v>
      </c>
      <c r="J20" s="52">
        <f ca="1">ROUND(J7*M20/1.05,1)</f>
        <v>0</v>
      </c>
      <c r="K20" s="1977" t="s">
        <v>659</v>
      </c>
      <c r="L20" s="783" t="s">
        <v>647</v>
      </c>
      <c r="M20" s="808">
        <f>'数据-取费表'!B41</f>
        <v>5.6000000000000001E-2</v>
      </c>
      <c r="N20" s="2063"/>
      <c r="O20" s="2063"/>
      <c r="P20" s="2063"/>
      <c r="Q20" s="2063"/>
      <c r="R20" s="2063"/>
      <c r="S20" s="2063"/>
      <c r="T20" s="2063"/>
      <c r="U20" s="2063"/>
      <c r="V20" s="2063"/>
      <c r="W20" s="2063"/>
      <c r="X20" s="2063"/>
      <c r="Y20" s="2063"/>
    </row>
    <row r="21" spans="1:25" ht="18" customHeight="1">
      <c r="A21" s="802" t="s">
        <v>1875</v>
      </c>
      <c r="B21" s="783" t="s">
        <v>660</v>
      </c>
      <c r="C21" s="52">
        <f ca="1">SUM(C16:C20)</f>
        <v>0</v>
      </c>
      <c r="D21" s="260" t="s">
        <v>661</v>
      </c>
      <c r="E21" s="1982"/>
      <c r="F21" s="55"/>
      <c r="G21" s="1591"/>
      <c r="H21" s="1830" t="s">
        <v>1848</v>
      </c>
      <c r="I21" s="783" t="s">
        <v>662</v>
      </c>
      <c r="J21" s="52">
        <f ca="1">IF(K21="按租金收入计税",ROUND(J7*M21,1),ROUND(C31*F35*0.7,1))</f>
        <v>0</v>
      </c>
      <c r="K21" s="810" t="s">
        <v>663</v>
      </c>
      <c r="L21" s="783" t="s">
        <v>647</v>
      </c>
      <c r="M21" s="808">
        <f>IF(K21="按租金收入计税",'数据-取费表'!B51,'数据-取费表'!B50)</f>
        <v>1.2E-2</v>
      </c>
    </row>
    <row r="22" spans="1:25" s="2064" customFormat="1" ht="18" customHeight="1">
      <c r="A22" s="802" t="s">
        <v>1876</v>
      </c>
      <c r="B22" s="783" t="s">
        <v>664</v>
      </c>
      <c r="C22" s="52">
        <f ca="1">ROUND(C21*F22,0)</f>
        <v>0</v>
      </c>
      <c r="D22" s="811" t="s">
        <v>665</v>
      </c>
      <c r="E22" s="783" t="s">
        <v>647</v>
      </c>
      <c r="F22" s="808">
        <f>'数据-取费表'!B37</f>
        <v>0.02</v>
      </c>
      <c r="G22" s="1592"/>
      <c r="H22" s="1832" t="s">
        <v>1849</v>
      </c>
      <c r="I22" s="1822" t="s">
        <v>666</v>
      </c>
      <c r="J22" s="53">
        <f ca="1">ROUND(M22*M23/10000,0)</f>
        <v>0</v>
      </c>
      <c r="K22" s="813" t="s">
        <v>667</v>
      </c>
      <c r="L22" s="783" t="s">
        <v>668</v>
      </c>
      <c r="M22" s="639">
        <f>'数据-取费表'!B52</f>
        <v>10</v>
      </c>
      <c r="N22" s="2063"/>
      <c r="O22" s="2063"/>
      <c r="P22" s="2063"/>
      <c r="Q22" s="2063"/>
      <c r="R22" s="2063"/>
      <c r="S22" s="2063"/>
      <c r="T22" s="2063"/>
      <c r="U22" s="2063"/>
      <c r="V22" s="2063"/>
      <c r="W22" s="2063"/>
      <c r="X22" s="2063"/>
      <c r="Y22" s="2063"/>
    </row>
    <row r="23" spans="1:25" s="2064" customFormat="1" ht="18" customHeight="1">
      <c r="A23" s="802" t="s">
        <v>1877</v>
      </c>
      <c r="B23" s="783" t="s">
        <v>669</v>
      </c>
      <c r="C23" s="52" t="s">
        <v>1</v>
      </c>
      <c r="D23" s="811" t="s">
        <v>670</v>
      </c>
      <c r="E23" s="783" t="s">
        <v>671</v>
      </c>
      <c r="F23" s="808">
        <f>'数据-取费表'!B38</f>
        <v>1.4999999999999999E-2</v>
      </c>
      <c r="G23" s="1592"/>
      <c r="H23" s="1833"/>
      <c r="I23" s="1824"/>
      <c r="J23" s="68"/>
      <c r="K23" s="815"/>
      <c r="L23" s="783" t="s">
        <v>672</v>
      </c>
      <c r="M23" s="784">
        <f ca="1">INDIRECT("'数据-取费表'!r"&amp;$G$1)</f>
        <v>0</v>
      </c>
      <c r="N23" s="2063"/>
      <c r="O23" s="2063"/>
      <c r="P23" s="2063"/>
      <c r="Q23" s="2063"/>
      <c r="R23" s="2063"/>
      <c r="S23" s="2063"/>
      <c r="T23" s="2063"/>
      <c r="U23" s="2063"/>
      <c r="V23" s="2063"/>
      <c r="W23" s="2063"/>
      <c r="X23" s="2063"/>
      <c r="Y23" s="2063"/>
    </row>
    <row r="24" spans="1:25" ht="18" customHeight="1">
      <c r="A24" s="802" t="s">
        <v>1878</v>
      </c>
      <c r="B24" s="783" t="s">
        <v>673</v>
      </c>
      <c r="C24" s="52"/>
      <c r="D24" s="2572" t="str">
        <f>IF(F25&lt;=1,"单利计息。","复利计息。")&amp;"建造成本、管理费用、销售费用产生的利息。"</f>
        <v>复利计息。建造成本、管理费用、销售费用产生的利息。</v>
      </c>
      <c r="E24" s="1982"/>
      <c r="F24" s="55"/>
      <c r="G24" s="1591"/>
      <c r="H24" s="1831" t="s">
        <v>2071</v>
      </c>
      <c r="I24" s="783" t="s">
        <v>674</v>
      </c>
      <c r="J24" s="52">
        <f ca="1">ROUND(J16*M24,0)</f>
        <v>0</v>
      </c>
      <c r="K24" s="1977" t="s">
        <v>675</v>
      </c>
      <c r="L24" s="783" t="s">
        <v>647</v>
      </c>
      <c r="M24" s="816">
        <f ca="1">INDIRECT("'数据-取费表'!Ak"&amp;$G$1)</f>
        <v>0</v>
      </c>
    </row>
    <row r="25" spans="1:25" s="2064" customFormat="1" ht="18" customHeight="1">
      <c r="A25" s="802" t="s">
        <v>1874</v>
      </c>
      <c r="B25" s="783" t="s">
        <v>2438</v>
      </c>
      <c r="C25" s="52">
        <f ca="1">ROUND(IF('数据-取费表'!B22&lt;=1,(C21+C22)*F26*F25/2,(C21+C22)*(POWER((1+F26),F25/2)-1)),0)</f>
        <v>0</v>
      </c>
      <c r="D25" s="2571" t="str">
        <f>IF(F25&lt;=1,"(建造成本+管理费用)×利率×(建设周期÷2)","(建造成本+管理费用)×((1+利率)^(建设周期÷2)-1)")</f>
        <v>(建造成本+管理费用)×((1+利率)^(建设周期÷2)-1)</v>
      </c>
      <c r="E25" s="783" t="s">
        <v>676</v>
      </c>
      <c r="F25" s="639">
        <f>'数据-取费表'!B20</f>
        <v>2</v>
      </c>
      <c r="G25" s="1592"/>
      <c r="H25" s="802" t="s">
        <v>1877</v>
      </c>
      <c r="I25" s="783" t="s">
        <v>677</v>
      </c>
      <c r="J25" s="52">
        <f ca="1">ROUND(J15*M25,0)</f>
        <v>0</v>
      </c>
      <c r="K25" s="1977" t="s">
        <v>678</v>
      </c>
      <c r="L25" s="783" t="s">
        <v>647</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1848</v>
      </c>
      <c r="B26" s="783" t="s">
        <v>679</v>
      </c>
      <c r="C26" s="52">
        <f ca="1">ROUND(IF('数据-取费表'!B22&lt;=1,F23*F26*F25/2,F23*(POWER((1+F26),F25/2)-1)),4)</f>
        <v>6.9999999999999999E-4</v>
      </c>
      <c r="D26" s="2571" t="str">
        <f>IF(F25&lt;=1,"销售费用×利率×(建设周期÷2)","销售费用×((1+利率)^(建设周期÷2)-1)")</f>
        <v>销售费用×((1+利率)^(建设周期÷2)-1)</v>
      </c>
      <c r="E26" s="783" t="s">
        <v>680</v>
      </c>
      <c r="F26" s="818">
        <f ca="1">'数据-取费表'!B40</f>
        <v>4.7500000000000001E-2</v>
      </c>
      <c r="G26" s="1592"/>
      <c r="H26" s="802" t="s">
        <v>1878</v>
      </c>
      <c r="I26" s="783" t="s">
        <v>664</v>
      </c>
      <c r="J26" s="52">
        <f ca="1">ROUND(J7*M26,0)</f>
        <v>0</v>
      </c>
      <c r="K26" s="1977" t="s">
        <v>681</v>
      </c>
      <c r="L26" s="783" t="s">
        <v>647</v>
      </c>
      <c r="M26" s="793">
        <f ca="1">INDIRECT("'数据-取费表'!Am"&amp;$G$1)</f>
        <v>0</v>
      </c>
      <c r="N26" s="2063"/>
      <c r="O26" s="2063"/>
      <c r="P26" s="2063"/>
      <c r="Q26" s="2063"/>
      <c r="R26" s="2063"/>
      <c r="S26" s="2063"/>
      <c r="T26" s="2063"/>
      <c r="U26" s="2063"/>
      <c r="V26" s="2063"/>
      <c r="W26" s="2063"/>
      <c r="X26" s="2063"/>
      <c r="Y26" s="2063"/>
    </row>
    <row r="27" spans="1:25" ht="18" customHeight="1">
      <c r="A27" s="802" t="s">
        <v>1880</v>
      </c>
      <c r="B27" s="783" t="s">
        <v>682</v>
      </c>
      <c r="C27" s="52"/>
      <c r="D27" s="260" t="s">
        <v>683</v>
      </c>
      <c r="E27" s="1982"/>
      <c r="F27" s="55"/>
      <c r="G27" s="1591"/>
      <c r="H27" s="796" t="s">
        <v>1827</v>
      </c>
      <c r="I27" s="3010" t="s">
        <v>2823</v>
      </c>
      <c r="J27" s="798">
        <f ca="1">J7-J18</f>
        <v>0</v>
      </c>
      <c r="K27" s="1979" t="s">
        <v>698</v>
      </c>
      <c r="L27" s="1981"/>
      <c r="M27" s="819"/>
    </row>
    <row r="28" spans="1:25" ht="18" customHeight="1">
      <c r="A28" s="802" t="s">
        <v>1874</v>
      </c>
      <c r="B28" s="783" t="s">
        <v>2439</v>
      </c>
      <c r="C28" s="52">
        <f ca="1">ROUND((C21+C22)*F28,0)</f>
        <v>0</v>
      </c>
      <c r="D28" s="811" t="s">
        <v>699</v>
      </c>
      <c r="E28" s="794" t="s">
        <v>700</v>
      </c>
      <c r="F28" s="793">
        <f ca="1">INDIRECT("'数据-取费表'!q"&amp;$G$1)</f>
        <v>0</v>
      </c>
      <c r="G28" s="1591"/>
      <c r="H28" s="780" t="s">
        <v>1836</v>
      </c>
      <c r="I28" s="781" t="s">
        <v>701</v>
      </c>
      <c r="J28" s="782">
        <f ca="1">IF(J7&lt;&gt;0,ROUND(J27*(1-((1+M30)/(1+M28))^M29)/(M28-M30),0),0)</f>
        <v>0</v>
      </c>
      <c r="K28" s="813" t="s">
        <v>702</v>
      </c>
      <c r="L28" s="783" t="s">
        <v>703</v>
      </c>
      <c r="M28" s="793">
        <f ca="1">INDIRECT("'数据-取费表'!I"&amp;$G$1)</f>
        <v>0</v>
      </c>
    </row>
    <row r="29" spans="1:25" ht="18" customHeight="1">
      <c r="A29" s="802" t="s">
        <v>1848</v>
      </c>
      <c r="B29" s="783" t="s">
        <v>684</v>
      </c>
      <c r="C29" s="52">
        <f ca="1">ROUND(F23*F28,4)</f>
        <v>0</v>
      </c>
      <c r="D29" s="811" t="s">
        <v>704</v>
      </c>
      <c r="E29" s="805"/>
      <c r="F29" s="806"/>
      <c r="G29" s="1591"/>
      <c r="H29" s="785"/>
      <c r="I29" s="786"/>
      <c r="J29" s="787"/>
      <c r="K29" s="820" t="s">
        <v>705</v>
      </c>
      <c r="L29" s="783" t="s">
        <v>706</v>
      </c>
      <c r="M29" s="821">
        <f ca="1">INDIRECT("'数据-取费表'!ag"&amp;$G$1)</f>
        <v>0</v>
      </c>
    </row>
    <row r="30" spans="1:25" s="2064" customFormat="1" ht="18" customHeight="1">
      <c r="A30" s="802" t="s">
        <v>1881</v>
      </c>
      <c r="B30" s="783" t="s">
        <v>685</v>
      </c>
      <c r="C30" s="52">
        <f>ROUND(F30/(1+'数据-取费表'!C42),4)</f>
        <v>5.33E-2</v>
      </c>
      <c r="D30" s="811" t="s">
        <v>707</v>
      </c>
      <c r="E30" s="783" t="s">
        <v>647</v>
      </c>
      <c r="F30" s="808">
        <f>'数据-取费表'!B41</f>
        <v>5.6000000000000001E-2</v>
      </c>
      <c r="G30" s="1592"/>
      <c r="H30" s="789"/>
      <c r="I30" s="790"/>
      <c r="J30" s="791"/>
      <c r="K30" s="815"/>
      <c r="L30" s="783" t="s">
        <v>708</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2"/>
      <c r="H31" s="822" t="s">
        <v>1871</v>
      </c>
      <c r="I31" s="3011" t="s">
        <v>2825</v>
      </c>
      <c r="J31" s="824">
        <f ca="1">ROUND(J28/(1+F45)^F46,0)</f>
        <v>0</v>
      </c>
      <c r="K31" s="825" t="s">
        <v>686</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1">
        <f ca="1">ROUND(C33+C38+C39+C40,0)</f>
        <v>0</v>
      </c>
      <c r="D32" s="1821" t="s">
        <v>650</v>
      </c>
      <c r="E32" s="2487"/>
      <c r="F32" s="2491"/>
      <c r="G32" s="2062"/>
      <c r="H32" s="2065"/>
      <c r="I32" s="2066"/>
      <c r="J32" s="2067"/>
      <c r="K32" s="2068"/>
      <c r="L32" s="2069"/>
      <c r="M32" s="2070"/>
    </row>
    <row r="33" spans="1:18" ht="18" customHeight="1">
      <c r="A33" s="802" t="s">
        <v>1875</v>
      </c>
      <c r="B33" s="783" t="s">
        <v>654</v>
      </c>
      <c r="C33" s="52">
        <f ca="1">ROUND(IF(项目基本情况!B11="自然人",C7*F33,C34+C35+C36),1)</f>
        <v>0</v>
      </c>
      <c r="D33" s="1979" t="s">
        <v>655</v>
      </c>
      <c r="E33" s="1977" t="s">
        <v>688</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1874</v>
      </c>
      <c r="B34" s="783" t="s">
        <v>658</v>
      </c>
      <c r="C34" s="52">
        <f ca="1">ROUND(C7*F34/1.05,1)</f>
        <v>0</v>
      </c>
      <c r="D34" s="1977" t="s">
        <v>659</v>
      </c>
      <c r="E34" s="783" t="s">
        <v>647</v>
      </c>
      <c r="F34" s="808">
        <f>'数据-取费表'!B41</f>
        <v>5.6000000000000001E-2</v>
      </c>
      <c r="G34" s="2062"/>
      <c r="H34" s="2071"/>
      <c r="I34" s="2072"/>
      <c r="J34" s="2073"/>
      <c r="K34" s="2074"/>
      <c r="L34" s="2075"/>
      <c r="M34" s="2076"/>
    </row>
    <row r="35" spans="1:18" ht="18" customHeight="1">
      <c r="A35" s="802" t="s">
        <v>1848</v>
      </c>
      <c r="B35" s="783" t="s">
        <v>662</v>
      </c>
      <c r="C35" s="52">
        <f ca="1">IF(D35="按租金收入计税",ROUND(C7*F35,1),IF(D35="按房产原值计税",ROUND(C31*F35*0.7,1),INDIRECT("'数据-取费表'!Aj"&amp;$G$1)))</f>
        <v>0</v>
      </c>
      <c r="D35" s="810" t="s">
        <v>1679</v>
      </c>
      <c r="E35" s="783" t="s">
        <v>647</v>
      </c>
      <c r="F35" s="808">
        <f>IF(D35="按租金收入计税",'数据-取费表'!B51,'数据-取费表'!B50)</f>
        <v>1.2E-2</v>
      </c>
      <c r="G35" s="2062"/>
      <c r="H35" s="2077"/>
      <c r="I35" s="2077"/>
      <c r="J35" s="2077"/>
      <c r="K35" s="2078"/>
      <c r="L35" s="2077"/>
      <c r="M35" s="2077"/>
    </row>
    <row r="36" spans="1:18" ht="18" customHeight="1">
      <c r="A36" s="812" t="s">
        <v>1879</v>
      </c>
      <c r="B36" s="340" t="s">
        <v>666</v>
      </c>
      <c r="C36" s="53">
        <f ca="1">ROUND(F36*F37/10000,1)</f>
        <v>0</v>
      </c>
      <c r="D36" s="813" t="s">
        <v>667</v>
      </c>
      <c r="E36" s="783" t="s">
        <v>668</v>
      </c>
      <c r="F36" s="639">
        <f>'数据-取费表'!B52</f>
        <v>10</v>
      </c>
      <c r="G36" s="2062"/>
      <c r="H36" s="2065"/>
      <c r="I36" s="3434"/>
      <c r="J36" s="2079"/>
      <c r="K36" s="2080"/>
      <c r="L36" s="2079"/>
      <c r="M36" s="2079"/>
    </row>
    <row r="37" spans="1:18" ht="18" customHeight="1">
      <c r="A37" s="814"/>
      <c r="B37" s="792"/>
      <c r="C37" s="68"/>
      <c r="D37" s="815"/>
      <c r="E37" s="783" t="s">
        <v>672</v>
      </c>
      <c r="F37" s="784">
        <f ca="1">INDIRECT("'数据-取费表'!r"&amp;$G$1)</f>
        <v>0</v>
      </c>
      <c r="G37" s="2062"/>
      <c r="H37" s="2065"/>
      <c r="I37" s="3434"/>
      <c r="J37" s="2077"/>
      <c r="K37" s="2078"/>
      <c r="L37" s="2077"/>
      <c r="M37" s="2077"/>
    </row>
    <row r="38" spans="1:18" ht="18" customHeight="1">
      <c r="A38" s="802" t="s">
        <v>1876</v>
      </c>
      <c r="B38" s="783" t="s">
        <v>674</v>
      </c>
      <c r="C38" s="52">
        <f ca="1">ROUND(C31*F38,1)</f>
        <v>0</v>
      </c>
      <c r="D38" s="1977" t="s">
        <v>689</v>
      </c>
      <c r="E38" s="783" t="s">
        <v>647</v>
      </c>
      <c r="F38" s="816">
        <f ca="1">INDIRECT("'数据-取费表'!Ak"&amp;$G$1)</f>
        <v>0</v>
      </c>
      <c r="G38" s="2062"/>
      <c r="H38" s="2077"/>
      <c r="I38" s="2081"/>
      <c r="J38" s="1988"/>
      <c r="K38" s="2082"/>
      <c r="L38" s="2077"/>
      <c r="M38" s="2077"/>
    </row>
    <row r="39" spans="1:18" ht="18" customHeight="1">
      <c r="A39" s="802" t="s">
        <v>1877</v>
      </c>
      <c r="B39" s="783" t="s">
        <v>677</v>
      </c>
      <c r="C39" s="52">
        <f ca="1">ROUND(C15*F39,1)</f>
        <v>0</v>
      </c>
      <c r="D39" s="1977" t="s">
        <v>678</v>
      </c>
      <c r="E39" s="783" t="s">
        <v>647</v>
      </c>
      <c r="F39" s="817">
        <f ca="1">INDIRECT("'数据-取费表'!Al"&amp;$G$1)</f>
        <v>0</v>
      </c>
      <c r="G39" s="2062"/>
      <c r="H39" s="2077"/>
      <c r="I39" s="2081"/>
      <c r="J39" s="1988"/>
      <c r="K39" s="2082"/>
      <c r="L39" s="2077"/>
      <c r="M39" s="2077"/>
    </row>
    <row r="40" spans="1:18" ht="18" customHeight="1" thickBot="1">
      <c r="A40" s="2560" t="s">
        <v>1878</v>
      </c>
      <c r="B40" s="2546" t="s">
        <v>664</v>
      </c>
      <c r="C40" s="2544">
        <f ca="1">ROUND(C7*F40,1)</f>
        <v>0</v>
      </c>
      <c r="D40" s="2545" t="s">
        <v>681</v>
      </c>
      <c r="E40" s="2546" t="s">
        <v>647</v>
      </c>
      <c r="F40" s="2542">
        <f ca="1">INDIRECT("'数据-取费表'!Am"&amp;$G$1)</f>
        <v>0</v>
      </c>
      <c r="G40" s="2062"/>
      <c r="H40" s="2077"/>
      <c r="I40" s="2081"/>
      <c r="J40" s="1988"/>
      <c r="K40" s="2083"/>
      <c r="L40" s="2077"/>
      <c r="M40" s="2077"/>
    </row>
    <row r="41" spans="1:18" ht="18" customHeight="1" thickTop="1">
      <c r="A41" s="1829">
        <v>4</v>
      </c>
      <c r="B41" s="1827" t="s">
        <v>690</v>
      </c>
      <c r="C41" s="1351"/>
      <c r="D41" s="1352"/>
      <c r="E41" s="1352"/>
      <c r="F41" s="1353"/>
      <c r="G41" s="2062"/>
      <c r="H41" s="2062"/>
      <c r="I41" s="2062"/>
      <c r="J41" s="2062"/>
      <c r="K41" s="2083"/>
      <c r="L41" s="2062"/>
      <c r="M41" s="2062"/>
    </row>
    <row r="42" spans="1:18" ht="18" customHeight="1">
      <c r="A42" s="802" t="s">
        <v>1875</v>
      </c>
      <c r="B42" s="834" t="s">
        <v>691</v>
      </c>
      <c r="C42" s="828">
        <f ca="1">C7-C32</f>
        <v>0</v>
      </c>
      <c r="D42" s="1979" t="s">
        <v>692</v>
      </c>
      <c r="E42" s="1981"/>
      <c r="F42" s="819"/>
      <c r="G42" s="2062"/>
      <c r="H42" s="2062"/>
      <c r="I42" s="2062"/>
      <c r="J42" s="2062"/>
      <c r="K42" s="2083"/>
      <c r="L42" s="2062"/>
      <c r="M42" s="2062"/>
    </row>
    <row r="43" spans="1:18" ht="18" customHeight="1">
      <c r="A43" s="802" t="s">
        <v>1876</v>
      </c>
      <c r="B43" s="834" t="s">
        <v>709</v>
      </c>
      <c r="C43" s="835">
        <f ca="1">ROUND(C15*F43,0)</f>
        <v>0</v>
      </c>
      <c r="D43" s="1354" t="s">
        <v>710</v>
      </c>
      <c r="E43" s="3120" t="s">
        <v>2963</v>
      </c>
      <c r="F43" s="3121">
        <f ca="1">INDIRECT("'数据-取费表'!j"&amp;$G$1)</f>
        <v>0</v>
      </c>
      <c r="G43" s="2062"/>
      <c r="H43" s="2062"/>
      <c r="I43" s="2062"/>
      <c r="J43" s="2062"/>
      <c r="K43" s="2083"/>
      <c r="L43" s="2062"/>
      <c r="M43" s="2062"/>
    </row>
    <row r="44" spans="1:18" ht="18" customHeight="1">
      <c r="A44" s="802" t="s">
        <v>1877</v>
      </c>
      <c r="B44" s="834" t="s">
        <v>711</v>
      </c>
      <c r="C44" s="1355">
        <f ca="1">C42-C43</f>
        <v>0</v>
      </c>
      <c r="D44" s="462" t="s">
        <v>712</v>
      </c>
      <c r="E44" s="463"/>
      <c r="F44" s="464"/>
      <c r="G44" s="2062"/>
      <c r="H44" s="2062"/>
      <c r="I44" s="2062"/>
      <c r="J44" s="2062"/>
      <c r="K44" s="2083"/>
      <c r="L44" s="2062"/>
      <c r="M44" s="2062"/>
    </row>
    <row r="45" spans="1:18" ht="18" customHeight="1">
      <c r="A45" s="802" t="s">
        <v>1878</v>
      </c>
      <c r="B45" s="1354" t="s">
        <v>713</v>
      </c>
      <c r="C45" s="3037">
        <f ca="1">ROUND(-PV(F45,F46,C44,0),0)</f>
        <v>0</v>
      </c>
      <c r="D45" s="1356" t="s">
        <v>714</v>
      </c>
      <c r="E45" s="805" t="s">
        <v>715</v>
      </c>
      <c r="F45" s="829">
        <f ca="1">INDIRECT("'数据-取费表'!h"&amp;$G$1)</f>
        <v>0</v>
      </c>
      <c r="G45" s="2062"/>
      <c r="H45" s="2062"/>
      <c r="I45" s="2062"/>
      <c r="J45" s="2062"/>
      <c r="K45" s="2083"/>
      <c r="L45" s="2062"/>
      <c r="M45" s="2062"/>
    </row>
    <row r="46" spans="1:18" ht="18" customHeight="1" thickBot="1">
      <c r="A46" s="830"/>
      <c r="B46" s="1357"/>
      <c r="C46" s="1358"/>
      <c r="D46" s="1359"/>
      <c r="E46" s="3122" t="s">
        <v>2966</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2981</v>
      </c>
      <c r="J54" s="3154">
        <f ca="1">IF(M48="住宅",MAX(J52,L49-'数据-取费表'!B20),MIN(J52,L49-'数据-取费表'!B20))</f>
        <v>-2</v>
      </c>
      <c r="K54" s="3439"/>
      <c r="L54" s="3440"/>
      <c r="O54" s="2401" t="s">
        <v>2389</v>
      </c>
      <c r="P54" s="2399" t="s">
        <v>2390</v>
      </c>
      <c r="Q54" s="2400">
        <f ca="1">J54</f>
        <v>-2</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1677</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2943</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42013平方米。根据《建设工程规划许可证》[]、《出让合同》[]，估价对象规划建筑面积为117636.4平方米。</v>
      </c>
    </row>
    <row r="7" spans="1:4" ht="56.25">
      <c r="A7" s="1795" t="s">
        <v>2748</v>
      </c>
    </row>
    <row r="8" spans="1:4" ht="18.75">
      <c r="A8" s="1794" t="s">
        <v>1905</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2018年6月25日（评估专业人员勘察现场之日）</v>
      </c>
    </row>
    <row r="12" spans="1:4" ht="18.75">
      <c r="A12" s="1797" t="s">
        <v>2026</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根据《国有土地使用证》[]，估价对象（分摊）出让国有建设用地使用权面积为42013平方米。根据《建设工程规划许可证》[]、《出让合同》[]，估价对象规划建筑面积为117636.4平方米。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本次估价对象为出让国有建设用地使用权，《国有土地使用证》[]证载土地终止日期为住宅2088年6月10日。截至估价期日，出让国有建设用地使用权剩余土地使用年限为。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3" t="s">
        <v>2577</v>
      </c>
      <c r="C1" s="3443"/>
      <c r="D1" s="3443"/>
      <c r="E1" s="3443"/>
      <c r="F1" s="3443"/>
      <c r="G1" s="3442" t="s">
        <v>2578</v>
      </c>
      <c r="H1" s="3442"/>
      <c r="I1" s="3442"/>
      <c r="J1" s="3442"/>
      <c r="K1" s="3442"/>
      <c r="L1" s="3442"/>
      <c r="N1" s="3442" t="s">
        <v>2579</v>
      </c>
      <c r="O1" s="3442"/>
      <c r="P1" s="3442"/>
      <c r="Q1" s="3442"/>
      <c r="R1" s="2654"/>
      <c r="S1" s="3442" t="s">
        <v>2580</v>
      </c>
      <c r="T1" s="3442"/>
      <c r="U1" s="3442"/>
      <c r="V1" s="3442"/>
      <c r="X1" s="3441" t="s">
        <v>2640</v>
      </c>
      <c r="Y1" s="3442"/>
      <c r="Z1" s="3442"/>
      <c r="AA1" s="3442"/>
      <c r="AB1" s="3442"/>
      <c r="AD1" s="3441" t="s">
        <v>2644</v>
      </c>
      <c r="AE1" s="3442"/>
      <c r="AF1" s="3442"/>
      <c r="AG1" s="3442"/>
      <c r="AH1" s="3442"/>
    </row>
    <row r="2" spans="1:34" s="2756" customFormat="1" ht="14.25" thickBot="1">
      <c r="B2" s="2764" t="s">
        <v>2581</v>
      </c>
      <c r="C2" s="2764" t="s">
        <v>2642</v>
      </c>
      <c r="D2" s="2757" t="s">
        <v>1643</v>
      </c>
      <c r="E2" s="2757" t="s">
        <v>1950</v>
      </c>
      <c r="F2" s="2764" t="s">
        <v>2643</v>
      </c>
      <c r="G2" s="2760"/>
      <c r="H2" s="2759"/>
      <c r="I2" s="2764" t="s">
        <v>2957</v>
      </c>
      <c r="J2" s="2757" t="s">
        <v>2959</v>
      </c>
      <c r="K2" s="2757" t="s">
        <v>2960</v>
      </c>
      <c r="L2" s="2764" t="s">
        <v>2961</v>
      </c>
      <c r="N2" s="2764" t="s">
        <v>2581</v>
      </c>
      <c r="O2" s="2757" t="s">
        <v>2958</v>
      </c>
      <c r="P2" s="2757" t="s">
        <v>1950</v>
      </c>
      <c r="Q2" s="2764" t="s">
        <v>2643</v>
      </c>
      <c r="R2" s="2758"/>
      <c r="S2" s="2764" t="s">
        <v>2581</v>
      </c>
      <c r="T2" s="2757" t="s">
        <v>2958</v>
      </c>
      <c r="U2" s="2757" t="s">
        <v>1950</v>
      </c>
      <c r="V2" s="2764" t="s">
        <v>2643</v>
      </c>
      <c r="X2" s="2764" t="s">
        <v>2581</v>
      </c>
      <c r="Y2" s="2764" t="s">
        <v>2642</v>
      </c>
      <c r="Z2" s="2757" t="s">
        <v>1643</v>
      </c>
      <c r="AA2" s="2757" t="s">
        <v>1950</v>
      </c>
      <c r="AB2" s="2764" t="s">
        <v>2643</v>
      </c>
      <c r="AD2" s="2764" t="s">
        <v>2581</v>
      </c>
      <c r="AE2" s="2764" t="s">
        <v>2642</v>
      </c>
      <c r="AF2" s="2757" t="s">
        <v>1643</v>
      </c>
      <c r="AG2" s="2757" t="s">
        <v>1950</v>
      </c>
      <c r="AH2" s="2764" t="s">
        <v>2643</v>
      </c>
    </row>
    <row r="3" spans="1:34" s="3132" customFormat="1" ht="14.25">
      <c r="A3" s="3144" t="s">
        <v>2970</v>
      </c>
      <c r="B3" s="3133"/>
      <c r="C3" s="3133"/>
      <c r="D3" s="3134"/>
      <c r="E3" s="3134"/>
      <c r="F3" s="3133"/>
      <c r="G3" s="3135"/>
      <c r="H3" s="3136"/>
      <c r="I3" s="3143">
        <f>ROUND(AVERAGE($I7:$I22),2)</f>
        <v>2.4500000000000002</v>
      </c>
      <c r="J3" s="3143">
        <f>ROUND(AVERAGE($J7:$J22),2)</f>
        <v>1.65</v>
      </c>
      <c r="K3" s="3143">
        <f>ROUND(AVERAGE($K7:$K22),2)</f>
        <v>2.71</v>
      </c>
      <c r="L3" s="3143">
        <f>ROUND(AVERAGE($L7:$L22),2)</f>
        <v>1.39</v>
      </c>
      <c r="N3" s="3135"/>
      <c r="O3" s="3137"/>
      <c r="P3" s="3137"/>
      <c r="Q3" s="3137"/>
      <c r="R3" s="3137"/>
      <c r="S3" s="3135"/>
      <c r="T3" s="3137"/>
      <c r="U3" s="3137"/>
      <c r="V3" s="3137"/>
      <c r="W3" s="3140"/>
      <c r="X3" s="3138">
        <f>ROUND(SUMPRODUCT(PRODUCT(1+N3:N$21)),4)</f>
        <v>1.4517</v>
      </c>
      <c r="Y3" s="3138">
        <f>ROUND(SUMPRODUCT(PRODUCT(1+O3:O$21)),4)</f>
        <v>1.2928999999999999</v>
      </c>
      <c r="Z3" s="3138">
        <f t="shared" ref="Z3:Z19" si="0">Y3</f>
        <v>1.2928999999999999</v>
      </c>
      <c r="AA3" s="3138">
        <f>ROUND(SUMPRODUCT(PRODUCT(1+P3:P$21)),4)</f>
        <v>1.5068999999999999</v>
      </c>
      <c r="AB3" s="3138">
        <f>ROUND(SUMPRODUCT(PRODUCT(1+Q3:Q$21)),4)</f>
        <v>1.2557</v>
      </c>
      <c r="AD3" s="3139">
        <f>ROUND(AVERAGE(I3:I$22)/100,4)</f>
        <v>2.2800000000000001E-2</v>
      </c>
      <c r="AE3" s="3139">
        <f>ROUND(AVERAGE(J3:J$22)/100,4)</f>
        <v>1.5699999999999999E-2</v>
      </c>
      <c r="AF3" s="3139">
        <f t="shared" ref="AF3:AF20" si="1">AE3</f>
        <v>1.5699999999999999E-2</v>
      </c>
      <c r="AG3" s="3139">
        <f>ROUND(AVERAGE(K3:K$22)/100,4)</f>
        <v>2.5100000000000001E-2</v>
      </c>
      <c r="AH3" s="3139">
        <f>ROUND(AVERAGE(L3:L$22)/100,4)</f>
        <v>1.35E-2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2977</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2">
        <v>2</v>
      </c>
      <c r="I5" s="3126">
        <v>0</v>
      </c>
      <c r="J5" s="3126">
        <v>0</v>
      </c>
      <c r="K5" s="3126">
        <v>0</v>
      </c>
      <c r="L5" s="3126">
        <v>0</v>
      </c>
      <c r="N5" s="2762">
        <f t="shared" ref="N5" si="6">I5/100</f>
        <v>0</v>
      </c>
      <c r="O5" s="2762">
        <f t="shared" ref="O5" si="7">J5/100</f>
        <v>0</v>
      </c>
      <c r="P5" s="2762">
        <f t="shared" ref="P5" si="8">K5/100</f>
        <v>0</v>
      </c>
      <c r="Q5" s="2762">
        <f t="shared" ref="Q5" si="9">L5/100</f>
        <v>0</v>
      </c>
      <c r="R5" s="3114"/>
      <c r="S5" s="3115"/>
      <c r="T5" s="3114"/>
      <c r="U5" s="3114"/>
      <c r="V5" s="3114"/>
      <c r="W5" s="3142" t="s">
        <v>2971</v>
      </c>
      <c r="X5" s="3116">
        <f>ROUND(SUMPRODUCT(PRODUCT(1+N5:N$21)),4)</f>
        <v>1.4517</v>
      </c>
      <c r="Y5" s="3116">
        <f>ROUND(SUMPRODUCT(PRODUCT(1+O5:O$21)),4)</f>
        <v>1.2928999999999999</v>
      </c>
      <c r="Z5" s="3116">
        <f t="shared" ref="Z5" si="10">Y5</f>
        <v>1.2928999999999999</v>
      </c>
      <c r="AA5" s="3116">
        <f>ROUND(SUMPRODUCT(PRODUCT(1+P5:P$21)),4)</f>
        <v>1.5068999999999999</v>
      </c>
      <c r="AB5" s="3116">
        <f>ROUND(SUMPRODUCT(PRODUCT(1+Q5:Q$21)),4)</f>
        <v>1.2557</v>
      </c>
      <c r="AD5" s="3117">
        <f>ROUND(AVERAGE(I5:I$22)/100,4)</f>
        <v>2.2700000000000001E-2</v>
      </c>
      <c r="AE5" s="3117">
        <f>ROUND(AVERAGE(J5:J$22)/100,4)</f>
        <v>1.5699999999999999E-2</v>
      </c>
      <c r="AF5" s="3117">
        <f t="shared" ref="AF5" si="11">AE5</f>
        <v>1.5699999999999999E-2</v>
      </c>
      <c r="AG5" s="3117">
        <f>ROUND(AVERAGE(K5:K$22)/100,4)</f>
        <v>2.5000000000000001E-2</v>
      </c>
      <c r="AH5" s="3117">
        <f>ROUND(AVERAGE(L5:L$22)/100,4)</f>
        <v>1.35E-2</v>
      </c>
    </row>
    <row r="6" spans="1:34" s="2761" customFormat="1" ht="13.5" thickBot="1">
      <c r="A6" s="2655" t="s">
        <v>2978</v>
      </c>
      <c r="B6" s="2669">
        <f>B7*(1+N6)</f>
        <v>446.46299999999997</v>
      </c>
      <c r="C6" s="2669">
        <f t="shared" ref="C6" si="12">C7*(1+O6)</f>
        <v>333.27840000000003</v>
      </c>
      <c r="D6" s="2669">
        <f t="shared" ref="D6:D11" si="13">C6</f>
        <v>333.27840000000003</v>
      </c>
      <c r="E6" s="2669">
        <f t="shared" ref="E6" si="14">E7*(1+P6)</f>
        <v>637.28279999999995</v>
      </c>
      <c r="F6" s="2669">
        <f t="shared" ref="F6" si="15">F7*(1+Q6)</f>
        <v>288.68830000000003</v>
      </c>
      <c r="G6" s="3131">
        <v>2018</v>
      </c>
      <c r="H6" s="2659">
        <v>1</v>
      </c>
      <c r="I6" s="2659">
        <v>1.7</v>
      </c>
      <c r="J6" s="2659">
        <v>1.92</v>
      </c>
      <c r="K6" s="2659">
        <v>1.64</v>
      </c>
      <c r="L6" s="2670">
        <v>2.0099999999999998</v>
      </c>
      <c r="M6" s="2663"/>
      <c r="N6" s="2664">
        <f t="shared" ref="N6:N11" si="16">I6/100</f>
        <v>1.7000000000000001E-2</v>
      </c>
      <c r="O6" s="2665">
        <f t="shared" ref="O6" si="17">J6/100</f>
        <v>1.9199999999999998E-2</v>
      </c>
      <c r="P6" s="2665">
        <f t="shared" ref="P6" si="18">K6/100</f>
        <v>1.6399999999999998E-2</v>
      </c>
      <c r="Q6" s="2665">
        <f t="shared" ref="Q6" si="19">L6/100</f>
        <v>2.0099999999999996E-2</v>
      </c>
      <c r="R6" s="2666"/>
      <c r="S6" s="2672">
        <f>B6/B7-1</f>
        <v>1.6999999999999904E-2</v>
      </c>
      <c r="T6" s="2673">
        <f>C6/C7-1</f>
        <v>1.9200000000000106E-2</v>
      </c>
      <c r="U6" s="2673">
        <f>E6/E7-1</f>
        <v>1.639999999999997E-2</v>
      </c>
      <c r="V6" s="2673">
        <f>F6/F7-1</f>
        <v>2.0100000000000007E-2</v>
      </c>
      <c r="W6" s="2663"/>
      <c r="X6" s="2754">
        <f>ROUND(SUMPRODUCT(PRODUCT(1+N6:N$21)),4)</f>
        <v>1.4517</v>
      </c>
      <c r="Y6" s="2754">
        <f>ROUND(SUMPRODUCT(PRODUCT(1+O6:O$21)),4)</f>
        <v>1.2928999999999999</v>
      </c>
      <c r="Z6" s="2754">
        <f t="shared" ref="Z6" si="20">Y6</f>
        <v>1.2928999999999999</v>
      </c>
      <c r="AA6" s="2754">
        <f>ROUND(SUMPRODUCT(PRODUCT(1+P6:P$21)),4)</f>
        <v>1.5068999999999999</v>
      </c>
      <c r="AB6" s="2754">
        <f>ROUND(SUMPRODUCT(PRODUCT(1+Q6:Q$21)),4)</f>
        <v>1.2557</v>
      </c>
      <c r="AC6" s="2663"/>
      <c r="AD6" s="2674">
        <f>ROUND(AVERAGE(I6:I$22)/100,4)</f>
        <v>2.4E-2</v>
      </c>
      <c r="AE6" s="2674">
        <f>ROUND(AVERAGE(J6:J$22)/100,4)</f>
        <v>1.66E-2</v>
      </c>
      <c r="AF6" s="2674">
        <f t="shared" ref="AF6" si="21">AE6</f>
        <v>1.66E-2</v>
      </c>
      <c r="AG6" s="2674">
        <f>ROUND(AVERAGE(K6:K$22)/100,4)</f>
        <v>2.6499999999999999E-2</v>
      </c>
      <c r="AH6" s="2674">
        <f>ROUND(AVERAGE(L6:L$22)/100,4)</f>
        <v>1.43E-2</v>
      </c>
    </row>
    <row r="7" spans="1:34">
      <c r="A7" s="2655" t="s">
        <v>2968</v>
      </c>
      <c r="B7" s="3146">
        <v>439</v>
      </c>
      <c r="C7" s="3146">
        <v>327</v>
      </c>
      <c r="D7" s="3146">
        <f t="shared" si="13"/>
        <v>327</v>
      </c>
      <c r="E7" s="3146">
        <v>627</v>
      </c>
      <c r="F7" s="3147">
        <v>283</v>
      </c>
      <c r="G7" s="3129">
        <v>2017</v>
      </c>
      <c r="H7" s="2656">
        <v>4</v>
      </c>
      <c r="I7" s="2656">
        <v>1.71</v>
      </c>
      <c r="J7" s="2656">
        <v>1.78</v>
      </c>
      <c r="K7" s="2656">
        <v>1.71</v>
      </c>
      <c r="L7" s="2657">
        <v>1.43</v>
      </c>
      <c r="N7" s="2664">
        <f t="shared" si="16"/>
        <v>1.7100000000000001E-2</v>
      </c>
      <c r="O7" s="2665">
        <f t="shared" ref="O7" si="22">J7/100</f>
        <v>1.78E-2</v>
      </c>
      <c r="P7" s="2665">
        <f t="shared" ref="P7" si="23">K7/100</f>
        <v>1.7100000000000001E-2</v>
      </c>
      <c r="Q7" s="2665">
        <f t="shared" ref="Q7" si="24">L7/100</f>
        <v>1.43E-2</v>
      </c>
      <c r="R7" s="2666"/>
      <c r="S7" s="2667"/>
      <c r="T7" s="2668"/>
      <c r="U7" s="2668"/>
      <c r="V7" s="2668"/>
      <c r="X7" s="2754">
        <f>ROUND(SUMPRODUCT(PRODUCT(1+N7:N$21)),4)</f>
        <v>1.4274</v>
      </c>
      <c r="Y7" s="2754">
        <f>ROUND(SUMPRODUCT(PRODUCT(1+O7:O$21)),4)</f>
        <v>1.2685</v>
      </c>
      <c r="Z7" s="2754">
        <f t="shared" si="0"/>
        <v>1.2685</v>
      </c>
      <c r="AA7" s="2754">
        <f>ROUND(SUMPRODUCT(PRODUCT(1+P7:P$21)),4)</f>
        <v>1.4825999999999999</v>
      </c>
      <c r="AB7" s="2754">
        <f>ROUND(SUMPRODUCT(PRODUCT(1+Q7:Q$21)),4)</f>
        <v>1.2309000000000001</v>
      </c>
      <c r="AD7" s="2674">
        <f>ROUND(AVERAGE(I7:I$22)/100,4)</f>
        <v>2.4500000000000001E-2</v>
      </c>
      <c r="AE7" s="2674">
        <f>ROUND(AVERAGE(J7:J$22)/100,4)</f>
        <v>1.6500000000000001E-2</v>
      </c>
      <c r="AF7" s="2674">
        <f t="shared" si="1"/>
        <v>1.6500000000000001E-2</v>
      </c>
      <c r="AG7" s="2674">
        <f>ROUND(AVERAGE(K7:K$22)/100,4)</f>
        <v>2.7099999999999999E-2</v>
      </c>
      <c r="AH7" s="2674">
        <f>ROUND(AVERAGE(L7:L$22)/100,4)</f>
        <v>1.3899999999999999E-2</v>
      </c>
    </row>
    <row r="8" spans="1:34" s="2761" customFormat="1" ht="13.5" thickBot="1">
      <c r="A8" s="2655" t="s">
        <v>2972</v>
      </c>
      <c r="B8" s="2669">
        <f t="shared" ref="B8:C10" si="25">B9*(1+N8)</f>
        <v>431.80730811680002</v>
      </c>
      <c r="C8" s="2669">
        <f t="shared" si="25"/>
        <v>320.57880516480003</v>
      </c>
      <c r="D8" s="2669">
        <f t="shared" si="13"/>
        <v>320.57880516480003</v>
      </c>
      <c r="E8" s="2669">
        <f t="shared" ref="E8:F10" si="26">E9*(1+P8)</f>
        <v>615.96110553196797</v>
      </c>
      <c r="F8" s="2669">
        <f t="shared" si="26"/>
        <v>279.46777300108801</v>
      </c>
      <c r="G8" s="3131"/>
      <c r="H8" s="2659">
        <v>3</v>
      </c>
      <c r="I8" s="2659">
        <v>2.98</v>
      </c>
      <c r="J8" s="2659">
        <v>2.11</v>
      </c>
      <c r="K8" s="2659">
        <v>3.24</v>
      </c>
      <c r="L8" s="2670">
        <v>1.72</v>
      </c>
      <c r="M8" s="2663"/>
      <c r="N8" s="2664">
        <f t="shared" si="16"/>
        <v>2.98E-2</v>
      </c>
      <c r="O8" s="2665">
        <f t="shared" ref="O8:O9" si="27">J8/100</f>
        <v>2.1099999999999997E-2</v>
      </c>
      <c r="P8" s="2665">
        <f t="shared" ref="P8:P9" si="28">K8/100</f>
        <v>3.2400000000000005E-2</v>
      </c>
      <c r="Q8" s="2665">
        <f t="shared" ref="Q8:Q9" si="29">L8/100</f>
        <v>1.72E-2</v>
      </c>
      <c r="R8" s="2666"/>
      <c r="S8" s="2672"/>
      <c r="T8" s="2673"/>
      <c r="U8" s="2673"/>
      <c r="V8" s="2673"/>
      <c r="W8" s="2663"/>
      <c r="X8" s="2754">
        <f>ROUND(SUMPRODUCT(PRODUCT(1+N8:N$21)),4)</f>
        <v>1.4034</v>
      </c>
      <c r="Y8" s="2754">
        <f>ROUND(SUMPRODUCT(PRODUCT(1+O8:O$21)),4)</f>
        <v>1.2463</v>
      </c>
      <c r="Z8" s="2754">
        <f t="shared" si="0"/>
        <v>1.2463</v>
      </c>
      <c r="AA8" s="2754">
        <f>ROUND(SUMPRODUCT(PRODUCT(1+P8:P$21)),4)</f>
        <v>1.4577</v>
      </c>
      <c r="AB8" s="2754">
        <f>ROUND(SUMPRODUCT(PRODUCT(1+Q8:Q$21)),4)</f>
        <v>1.2136</v>
      </c>
      <c r="AC8" s="2663"/>
      <c r="AD8" s="2674">
        <f>ROUND(AVERAGE(I8:I$22)/100,4)</f>
        <v>2.4899999999999999E-2</v>
      </c>
      <c r="AE8" s="2674">
        <f>ROUND(AVERAGE(J8:J$22)/100,4)</f>
        <v>1.6400000000000001E-2</v>
      </c>
      <c r="AF8" s="2674">
        <f t="shared" si="1"/>
        <v>1.6400000000000001E-2</v>
      </c>
      <c r="AG8" s="2674">
        <f>ROUND(AVERAGE(K8:K$22)/100,4)</f>
        <v>2.7799999999999998E-2</v>
      </c>
      <c r="AH8" s="2674">
        <f>ROUND(AVERAGE(L8:L$22)/100,4)</f>
        <v>1.3899999999999999E-2</v>
      </c>
    </row>
    <row r="9" spans="1:34" s="2653" customFormat="1">
      <c r="A9" s="2655" t="s">
        <v>2582</v>
      </c>
      <c r="B9" s="2669">
        <f t="shared" si="25"/>
        <v>419.31181600000002</v>
      </c>
      <c r="C9" s="2669">
        <f t="shared" si="25"/>
        <v>313.95436800000004</v>
      </c>
      <c r="D9" s="2669">
        <f t="shared" si="13"/>
        <v>313.95436800000004</v>
      </c>
      <c r="E9" s="2669">
        <f t="shared" si="26"/>
        <v>596.63028431999999</v>
      </c>
      <c r="F9" s="2669">
        <f t="shared" si="26"/>
        <v>274.74220703999998</v>
      </c>
      <c r="G9" s="3130"/>
      <c r="H9" s="2660">
        <v>2</v>
      </c>
      <c r="I9" s="2660">
        <v>3.4</v>
      </c>
      <c r="J9" s="2660">
        <v>2</v>
      </c>
      <c r="K9" s="2660">
        <v>3.82</v>
      </c>
      <c r="L9" s="2671">
        <v>1.68</v>
      </c>
      <c r="N9" s="2664">
        <f t="shared" si="16"/>
        <v>3.4000000000000002E-2</v>
      </c>
      <c r="O9" s="2665">
        <f t="shared" si="27"/>
        <v>0.02</v>
      </c>
      <c r="P9" s="2665">
        <f t="shared" si="28"/>
        <v>3.8199999999999998E-2</v>
      </c>
      <c r="Q9" s="2665">
        <f t="shared" si="29"/>
        <v>1.6799999999999999E-2</v>
      </c>
      <c r="R9" s="2654"/>
      <c r="S9" s="2658"/>
      <c r="T9" s="2654"/>
      <c r="U9" s="2654"/>
      <c r="V9" s="2654"/>
      <c r="X9" s="2754">
        <f>ROUND(SUMPRODUCT(PRODUCT(1+N9:N$21)),4)</f>
        <v>1.3628</v>
      </c>
      <c r="Y9" s="2754">
        <f>ROUND(SUMPRODUCT(PRODUCT(1+O9:O$21)),4)</f>
        <v>1.2205999999999999</v>
      </c>
      <c r="Z9" s="2754">
        <f t="shared" si="0"/>
        <v>1.2205999999999999</v>
      </c>
      <c r="AA9" s="2754">
        <f>ROUND(SUMPRODUCT(PRODUCT(1+P9:P$21)),4)</f>
        <v>1.4118999999999999</v>
      </c>
      <c r="AB9" s="2754">
        <f>ROUND(SUMPRODUCT(PRODUCT(1+Q9:Q$21)),4)</f>
        <v>1.1930000000000001</v>
      </c>
      <c r="AD9" s="2674">
        <f>ROUND(AVERAGE(I9:I$22)/100,4)</f>
        <v>2.46E-2</v>
      </c>
      <c r="AE9" s="2674">
        <f>ROUND(AVERAGE(J9:J$22)/100,4)</f>
        <v>1.6E-2</v>
      </c>
      <c r="AF9" s="2674">
        <f t="shared" si="1"/>
        <v>1.6E-2</v>
      </c>
      <c r="AG9" s="2674">
        <f>ROUND(AVERAGE(K9:K$22)/100,4)</f>
        <v>2.75E-2</v>
      </c>
      <c r="AH9" s="2674">
        <f>ROUND(AVERAGE(L9:L$22)/100,4)</f>
        <v>1.37E-2</v>
      </c>
    </row>
    <row r="10" spans="1:34" s="2761" customFormat="1" ht="13.5" thickBot="1">
      <c r="A10" s="2655" t="s">
        <v>2583</v>
      </c>
      <c r="B10" s="2669">
        <f t="shared" si="25"/>
        <v>405.524</v>
      </c>
      <c r="C10" s="2669">
        <f t="shared" si="25"/>
        <v>307.79840000000002</v>
      </c>
      <c r="D10" s="2669">
        <f t="shared" si="13"/>
        <v>307.79840000000002</v>
      </c>
      <c r="E10" s="2669">
        <f t="shared" si="26"/>
        <v>574.67759999999998</v>
      </c>
      <c r="F10" s="2669">
        <f t="shared" si="26"/>
        <v>270.20280000000002</v>
      </c>
      <c r="G10" s="3131"/>
      <c r="H10" s="2659">
        <v>1</v>
      </c>
      <c r="I10" s="2659">
        <v>3.45</v>
      </c>
      <c r="J10" s="2659">
        <v>1.92</v>
      </c>
      <c r="K10" s="2659">
        <v>3.92</v>
      </c>
      <c r="L10" s="2670">
        <v>1.58</v>
      </c>
      <c r="M10" s="2663"/>
      <c r="N10" s="2664">
        <f t="shared" si="16"/>
        <v>3.4500000000000003E-2</v>
      </c>
      <c r="O10" s="2665">
        <f t="shared" ref="O10" si="30">J10/100</f>
        <v>1.9199999999999998E-2</v>
      </c>
      <c r="P10" s="2665">
        <f t="shared" ref="P10" si="31">K10/100</f>
        <v>3.9199999999999999E-2</v>
      </c>
      <c r="Q10" s="2665">
        <f t="shared" ref="Q10" si="32">L10/100</f>
        <v>1.5800000000000002E-2</v>
      </c>
      <c r="R10" s="2666"/>
      <c r="S10" s="2672">
        <f>B10/B11-1</f>
        <v>3.4499999999999975E-2</v>
      </c>
      <c r="T10" s="2673">
        <f>C10/C11-1</f>
        <v>1.9200000000000106E-2</v>
      </c>
      <c r="U10" s="2673">
        <f>E10/E11-1</f>
        <v>3.9199999999999902E-2</v>
      </c>
      <c r="V10" s="2673">
        <f>F10/F11-1</f>
        <v>1.5800000000000036E-2</v>
      </c>
      <c r="W10" s="2663"/>
      <c r="X10" s="2754">
        <f>ROUND(SUMPRODUCT(PRODUCT(1+N10:N$21)),4)</f>
        <v>1.3180000000000001</v>
      </c>
      <c r="Y10" s="2754">
        <f>ROUND(SUMPRODUCT(PRODUCT(1+O10:O$21)),4)</f>
        <v>1.1966000000000001</v>
      </c>
      <c r="Z10" s="2754">
        <f t="shared" si="0"/>
        <v>1.1966000000000001</v>
      </c>
      <c r="AA10" s="2754">
        <f>ROUND(SUMPRODUCT(PRODUCT(1+P10:P$21)),4)</f>
        <v>1.36</v>
      </c>
      <c r="AB10" s="2754">
        <f>ROUND(SUMPRODUCT(PRODUCT(1+Q10:Q$21)),4)</f>
        <v>1.1733</v>
      </c>
      <c r="AC10" s="2663"/>
      <c r="AD10" s="2674">
        <f>ROUND(AVERAGE(I10:I$22)/100,4)</f>
        <v>2.3900000000000001E-2</v>
      </c>
      <c r="AE10" s="2674">
        <f>ROUND(AVERAGE(J10:J$22)/100,4)</f>
        <v>1.5699999999999999E-2</v>
      </c>
      <c r="AF10" s="2674">
        <f t="shared" si="1"/>
        <v>1.5699999999999999E-2</v>
      </c>
      <c r="AG10" s="2674">
        <f>ROUND(AVERAGE(K10:K$22)/100,4)</f>
        <v>2.6599999999999999E-2</v>
      </c>
      <c r="AH10" s="2674">
        <f>ROUND(AVERAGE(L10:L$22)/100,4)</f>
        <v>1.34E-2</v>
      </c>
    </row>
    <row r="11" spans="1:34">
      <c r="A11" s="2655" t="s">
        <v>969</v>
      </c>
      <c r="B11" s="2661">
        <v>392</v>
      </c>
      <c r="C11" s="2661">
        <v>302</v>
      </c>
      <c r="D11" s="2661">
        <f t="shared" si="13"/>
        <v>302</v>
      </c>
      <c r="E11" s="2661">
        <v>553</v>
      </c>
      <c r="F11" s="2662">
        <v>266</v>
      </c>
      <c r="G11" s="3450">
        <v>2016</v>
      </c>
      <c r="H11" s="2656">
        <v>4</v>
      </c>
      <c r="I11" s="2656">
        <v>4.5599999999999996</v>
      </c>
      <c r="J11" s="2656">
        <v>2.15</v>
      </c>
      <c r="K11" s="2656">
        <v>5.32</v>
      </c>
      <c r="L11" s="2657">
        <v>1.57</v>
      </c>
      <c r="N11" s="2664">
        <f t="shared" si="16"/>
        <v>4.5599999999999995E-2</v>
      </c>
      <c r="O11" s="2665">
        <f t="shared" ref="O11:Q26" si="33">J11/100</f>
        <v>2.1499999999999998E-2</v>
      </c>
      <c r="P11" s="2665">
        <f t="shared" si="33"/>
        <v>5.3200000000000004E-2</v>
      </c>
      <c r="Q11" s="2665">
        <f t="shared" si="33"/>
        <v>1.5700000000000002E-2</v>
      </c>
      <c r="R11" s="2666"/>
      <c r="S11" s="2667"/>
      <c r="T11" s="2668"/>
      <c r="U11" s="2668"/>
      <c r="V11" s="2668"/>
      <c r="X11" s="2754">
        <f>ROUND(SUMPRODUCT(PRODUCT(1+N11:N$21)),4)</f>
        <v>1.274</v>
      </c>
      <c r="Y11" s="2754">
        <f>ROUND(SUMPRODUCT(PRODUCT(1+O11:O$21)),4)</f>
        <v>1.1740999999999999</v>
      </c>
      <c r="Z11" s="2754">
        <f t="shared" si="0"/>
        <v>1.1740999999999999</v>
      </c>
      <c r="AA11" s="2754">
        <f>ROUND(SUMPRODUCT(PRODUCT(1+P11:P$21)),4)</f>
        <v>1.3087</v>
      </c>
      <c r="AB11" s="2754">
        <f>ROUND(SUMPRODUCT(PRODUCT(1+Q11:Q$21)),4)</f>
        <v>1.1551</v>
      </c>
      <c r="AD11" s="2674">
        <f>ROUND(AVERAGE(I11:I$22)/100,4)</f>
        <v>2.3E-2</v>
      </c>
      <c r="AE11" s="2674">
        <f>ROUND(AVERAGE(J11:J$22)/100,4)</f>
        <v>1.55E-2</v>
      </c>
      <c r="AF11" s="2674">
        <f t="shared" si="1"/>
        <v>1.55E-2</v>
      </c>
      <c r="AG11" s="2674">
        <f>ROUND(AVERAGE(K11:K$22)/100,4)</f>
        <v>2.5600000000000001E-2</v>
      </c>
      <c r="AH11" s="2674">
        <f>ROUND(AVERAGE(L11:L$22)/100,4)</f>
        <v>1.32E-2</v>
      </c>
    </row>
    <row r="12" spans="1:34">
      <c r="A12" s="2655" t="s">
        <v>968</v>
      </c>
      <c r="B12" s="2669">
        <f t="shared" ref="B12:C14" si="34">B11/(1+N11)</f>
        <v>374.90436113236416</v>
      </c>
      <c r="C12" s="2669">
        <f t="shared" si="34"/>
        <v>295.64366128242779</v>
      </c>
      <c r="D12" s="2669">
        <f t="shared" ref="D12:D71" si="35">C12</f>
        <v>295.64366128242779</v>
      </c>
      <c r="E12" s="2669">
        <f t="shared" ref="E12:F14" si="36">E11/(1+P11)</f>
        <v>525.06646410938095</v>
      </c>
      <c r="F12" s="2669">
        <f t="shared" si="36"/>
        <v>261.88835286009646</v>
      </c>
      <c r="G12" s="3445"/>
      <c r="H12" s="2659">
        <v>3</v>
      </c>
      <c r="I12" s="2659">
        <v>4.12</v>
      </c>
      <c r="J12" s="2659">
        <v>2</v>
      </c>
      <c r="K12" s="2659">
        <v>4.79</v>
      </c>
      <c r="L12" s="2670">
        <v>1.97</v>
      </c>
      <c r="N12" s="2664">
        <f t="shared" ref="N12:Q46" si="37">I12/100</f>
        <v>4.1200000000000001E-2</v>
      </c>
      <c r="O12" s="2665">
        <f t="shared" si="33"/>
        <v>0.02</v>
      </c>
      <c r="P12" s="2665">
        <f t="shared" si="33"/>
        <v>4.7899999999999998E-2</v>
      </c>
      <c r="Q12" s="2665">
        <f t="shared" si="33"/>
        <v>1.9699999999999999E-2</v>
      </c>
      <c r="R12" s="2666"/>
      <c r="S12" s="2664"/>
      <c r="T12" s="2665"/>
      <c r="U12" s="2665"/>
      <c r="V12" s="2665"/>
      <c r="X12" s="2754">
        <f>ROUND(SUMPRODUCT(PRODUCT(1+N12:N$21)),4)</f>
        <v>1.2184999999999999</v>
      </c>
      <c r="Y12" s="2754">
        <f>ROUND(SUMPRODUCT(PRODUCT(1+O12:O$21)),4)</f>
        <v>1.1494</v>
      </c>
      <c r="Z12" s="2754">
        <f t="shared" si="0"/>
        <v>1.1494</v>
      </c>
      <c r="AA12" s="2754">
        <f>ROUND(SUMPRODUCT(PRODUCT(1+P12:P$21)),4)</f>
        <v>1.2425999999999999</v>
      </c>
      <c r="AB12" s="2754">
        <f>ROUND(SUMPRODUCT(PRODUCT(1+Q12:Q$21)),4)</f>
        <v>1.1372</v>
      </c>
      <c r="AD12" s="2674">
        <f>ROUND(AVERAGE(I12:I$22)/100,4)</f>
        <v>2.0899999999999998E-2</v>
      </c>
      <c r="AE12" s="2674">
        <f>ROUND(AVERAGE(J12:J$22)/100,4)</f>
        <v>1.49E-2</v>
      </c>
      <c r="AF12" s="2674">
        <f t="shared" si="1"/>
        <v>1.49E-2</v>
      </c>
      <c r="AG12" s="2674">
        <f>ROUND(AVERAGE(K12:K$22)/100,4)</f>
        <v>2.3099999999999999E-2</v>
      </c>
      <c r="AH12" s="2674">
        <f>ROUND(AVERAGE(L12:L$22)/100,4)</f>
        <v>1.2999999999999999E-2</v>
      </c>
    </row>
    <row r="13" spans="1:34">
      <c r="A13" s="2655" t="s">
        <v>958</v>
      </c>
      <c r="B13" s="2669">
        <f t="shared" si="34"/>
        <v>360.06949782209392</v>
      </c>
      <c r="C13" s="2669">
        <f t="shared" si="34"/>
        <v>289.84672674747821</v>
      </c>
      <c r="D13" s="2669">
        <f t="shared" si="35"/>
        <v>289.84672674747821</v>
      </c>
      <c r="E13" s="2669">
        <f t="shared" si="36"/>
        <v>501.06543001181495</v>
      </c>
      <c r="F13" s="2669">
        <f t="shared" si="36"/>
        <v>256.82882500744967</v>
      </c>
      <c r="G13" s="3445"/>
      <c r="H13" s="2660">
        <v>2</v>
      </c>
      <c r="I13" s="2660">
        <v>3.85</v>
      </c>
      <c r="J13" s="2660">
        <v>1.95</v>
      </c>
      <c r="K13" s="2660">
        <v>4.4800000000000004</v>
      </c>
      <c r="L13" s="2671">
        <v>1.41</v>
      </c>
      <c r="N13" s="2664">
        <f t="shared" si="37"/>
        <v>3.85E-2</v>
      </c>
      <c r="O13" s="2665">
        <f t="shared" si="33"/>
        <v>1.95E-2</v>
      </c>
      <c r="P13" s="2665">
        <f t="shared" si="33"/>
        <v>4.4800000000000006E-2</v>
      </c>
      <c r="Q13" s="2665">
        <f t="shared" si="33"/>
        <v>1.41E-2</v>
      </c>
      <c r="R13" s="2666"/>
      <c r="S13" s="2664"/>
      <c r="T13" s="2665"/>
      <c r="U13" s="2665"/>
      <c r="V13" s="2665"/>
      <c r="X13" s="2754">
        <f>ROUND(SUMPRODUCT(PRODUCT(1+N13:N$21)),4)</f>
        <v>1.1702999999999999</v>
      </c>
      <c r="Y13" s="2754">
        <f>ROUND(SUMPRODUCT(PRODUCT(1+O13:O$21)),4)</f>
        <v>1.1269</v>
      </c>
      <c r="Z13" s="2754">
        <f t="shared" si="0"/>
        <v>1.1269</v>
      </c>
      <c r="AA13" s="2754">
        <f>ROUND(SUMPRODUCT(PRODUCT(1+P13:P$21)),4)</f>
        <v>1.1858</v>
      </c>
      <c r="AB13" s="2754">
        <f>ROUND(SUMPRODUCT(PRODUCT(1+Q13:Q$21)),4)</f>
        <v>1.1152</v>
      </c>
      <c r="AD13" s="2674">
        <f>ROUND(AVERAGE(I13:I$22)/100,4)</f>
        <v>1.89E-2</v>
      </c>
      <c r="AE13" s="2674">
        <f>ROUND(AVERAGE(J13:J$22)/100,4)</f>
        <v>1.44E-2</v>
      </c>
      <c r="AF13" s="2674">
        <f t="shared" si="1"/>
        <v>1.44E-2</v>
      </c>
      <c r="AG13" s="2674">
        <f>ROUND(AVERAGE(K13:K$22)/100,4)</f>
        <v>2.06E-2</v>
      </c>
      <c r="AH13" s="2674">
        <f>ROUND(AVERAGE(L13:L$22)/100,4)</f>
        <v>1.23E-2</v>
      </c>
    </row>
    <row r="14" spans="1:34" ht="13.5" thickBot="1">
      <c r="A14" s="2655" t="s">
        <v>967</v>
      </c>
      <c r="B14" s="2669">
        <f t="shared" si="34"/>
        <v>346.720748986128</v>
      </c>
      <c r="C14" s="2669">
        <f t="shared" si="34"/>
        <v>284.30282172386285</v>
      </c>
      <c r="D14" s="2669">
        <f t="shared" si="35"/>
        <v>284.30282172386285</v>
      </c>
      <c r="E14" s="2669">
        <f t="shared" si="36"/>
        <v>479.58023546306947</v>
      </c>
      <c r="F14" s="2669">
        <f t="shared" si="36"/>
        <v>253.25788877571213</v>
      </c>
      <c r="G14" s="3446"/>
      <c r="H14" s="2659">
        <v>1</v>
      </c>
      <c r="I14" s="2659">
        <v>4.09</v>
      </c>
      <c r="J14" s="2659">
        <v>2.93</v>
      </c>
      <c r="K14" s="2659">
        <v>4.54</v>
      </c>
      <c r="L14" s="2670">
        <v>1.48</v>
      </c>
      <c r="N14" s="2664">
        <f t="shared" si="37"/>
        <v>4.0899999999999999E-2</v>
      </c>
      <c r="O14" s="2665">
        <f t="shared" si="33"/>
        <v>2.9300000000000003E-2</v>
      </c>
      <c r="P14" s="2665">
        <f t="shared" si="33"/>
        <v>4.5400000000000003E-2</v>
      </c>
      <c r="Q14" s="2665">
        <f t="shared" si="33"/>
        <v>1.4800000000000001E-2</v>
      </c>
      <c r="R14" s="2666"/>
      <c r="S14" s="2672">
        <f>B14/B15-1</f>
        <v>4.1203450408792808E-2</v>
      </c>
      <c r="T14" s="2673">
        <f>C14/C15-1</f>
        <v>2.6363977342465095E-2</v>
      </c>
      <c r="U14" s="2673">
        <f>E14/E15-1</f>
        <v>4.4837114298626357E-2</v>
      </c>
      <c r="V14" s="2673">
        <f>F14/F15-1</f>
        <v>1.7099954922538574E-2</v>
      </c>
      <c r="X14" s="2754">
        <f>ROUND(SUMPRODUCT(PRODUCT(1+N14:N$21)),4)</f>
        <v>1.1269</v>
      </c>
      <c r="Y14" s="2754">
        <f>ROUND(SUMPRODUCT(PRODUCT(1+O14:O$21)),4)</f>
        <v>1.1052999999999999</v>
      </c>
      <c r="Z14" s="2754">
        <f t="shared" si="0"/>
        <v>1.1052999999999999</v>
      </c>
      <c r="AA14" s="2754">
        <f>ROUND(SUMPRODUCT(PRODUCT(1+P14:P$21)),4)</f>
        <v>1.1349</v>
      </c>
      <c r="AB14" s="2754">
        <f>ROUND(SUMPRODUCT(PRODUCT(1+Q14:Q$21)),4)</f>
        <v>1.0996999999999999</v>
      </c>
      <c r="AD14" s="2674">
        <f>ROUND(AVERAGE(I14:I$22)/100,4)</f>
        <v>1.67E-2</v>
      </c>
      <c r="AE14" s="2674">
        <f>ROUND(AVERAGE(J14:J$22)/100,4)</f>
        <v>1.38E-2</v>
      </c>
      <c r="AF14" s="2674">
        <f t="shared" si="1"/>
        <v>1.38E-2</v>
      </c>
      <c r="AG14" s="2674">
        <f>ROUND(AVERAGE(K14:K$22)/100,4)</f>
        <v>1.7899999999999999E-2</v>
      </c>
      <c r="AH14" s="2674">
        <f>ROUND(AVERAGE(L14:L$22)/100,4)</f>
        <v>1.21E-2</v>
      </c>
    </row>
    <row r="15" spans="1:34" ht="13.5" thickBot="1">
      <c r="A15" s="2655" t="s">
        <v>966</v>
      </c>
      <c r="B15" s="2661">
        <v>333</v>
      </c>
      <c r="C15" s="2661">
        <v>277</v>
      </c>
      <c r="D15" s="2661">
        <f t="shared" si="35"/>
        <v>277</v>
      </c>
      <c r="E15" s="2661">
        <v>459</v>
      </c>
      <c r="F15" s="2662">
        <v>249</v>
      </c>
      <c r="G15" s="3444">
        <v>2015</v>
      </c>
      <c r="H15" s="2675">
        <v>4</v>
      </c>
      <c r="I15" s="2675">
        <v>1.63</v>
      </c>
      <c r="J15" s="2675">
        <v>1.1100000000000001</v>
      </c>
      <c r="K15" s="2675">
        <v>1.77</v>
      </c>
      <c r="L15" s="2676">
        <v>1.89</v>
      </c>
      <c r="N15" s="2677">
        <f t="shared" si="37"/>
        <v>1.6299999999999999E-2</v>
      </c>
      <c r="O15" s="2678">
        <f t="shared" si="33"/>
        <v>1.11E-2</v>
      </c>
      <c r="P15" s="2678">
        <f t="shared" si="33"/>
        <v>1.77E-2</v>
      </c>
      <c r="Q15" s="2678">
        <f t="shared" si="33"/>
        <v>1.89E-2</v>
      </c>
      <c r="R15" s="2666"/>
      <c r="X15" s="2754">
        <f>ROUND(SUMPRODUCT(PRODUCT(1+N15:N$21)),4)</f>
        <v>1.0826</v>
      </c>
      <c r="Y15" s="2754">
        <f>ROUND(SUMPRODUCT(PRODUCT(1+O15:O$21)),4)</f>
        <v>1.0738000000000001</v>
      </c>
      <c r="Z15" s="2754">
        <f t="shared" si="0"/>
        <v>1.0738000000000001</v>
      </c>
      <c r="AA15" s="2754">
        <f>ROUND(SUMPRODUCT(PRODUCT(1+P15:P$21)),4)</f>
        <v>1.0855999999999999</v>
      </c>
      <c r="AB15" s="2754">
        <f>ROUND(SUMPRODUCT(PRODUCT(1+Q15:Q$21)),4)</f>
        <v>1.0837000000000001</v>
      </c>
      <c r="AD15" s="2674">
        <f>ROUND(AVERAGE(I15:I$22)/100,4)</f>
        <v>1.37E-2</v>
      </c>
      <c r="AE15" s="2674">
        <f>ROUND(AVERAGE(J15:J$22)/100,4)</f>
        <v>1.1900000000000001E-2</v>
      </c>
      <c r="AF15" s="2674">
        <f t="shared" si="1"/>
        <v>1.1900000000000001E-2</v>
      </c>
      <c r="AG15" s="2674">
        <f>ROUND(AVERAGE(K15:K$22)/100,4)</f>
        <v>1.4500000000000001E-2</v>
      </c>
      <c r="AH15" s="2674">
        <f>ROUND(AVERAGE(L15:L$22)/100,4)</f>
        <v>1.18E-2</v>
      </c>
    </row>
    <row r="16" spans="1:34">
      <c r="A16" s="2655" t="s">
        <v>965</v>
      </c>
      <c r="B16" s="2669">
        <f t="shared" ref="B16:C18" si="38">B15/(1+N15)</f>
        <v>327.65915576109415</v>
      </c>
      <c r="C16" s="2669">
        <f t="shared" si="38"/>
        <v>273.95905449510434</v>
      </c>
      <c r="D16" s="2669">
        <f t="shared" si="35"/>
        <v>273.95905449510434</v>
      </c>
      <c r="E16" s="2669">
        <f t="shared" ref="E16:F18" si="39">E15/(1+P15)</f>
        <v>451.01699911565294</v>
      </c>
      <c r="F16" s="2669">
        <f t="shared" si="39"/>
        <v>244.38119540681129</v>
      </c>
      <c r="G16" s="3445"/>
      <c r="H16" s="2680">
        <v>3</v>
      </c>
      <c r="I16" s="2680">
        <v>1.65</v>
      </c>
      <c r="J16" s="2680">
        <v>0.92</v>
      </c>
      <c r="K16" s="2680">
        <v>1.88</v>
      </c>
      <c r="L16" s="2681">
        <v>1.26</v>
      </c>
      <c r="N16" s="2664">
        <f t="shared" si="37"/>
        <v>1.6500000000000001E-2</v>
      </c>
      <c r="O16" s="2682">
        <f t="shared" si="33"/>
        <v>9.1999999999999998E-3</v>
      </c>
      <c r="P16" s="2682">
        <f t="shared" si="33"/>
        <v>1.8799999999999997E-2</v>
      </c>
      <c r="Q16" s="2682">
        <f t="shared" si="33"/>
        <v>1.26E-2</v>
      </c>
      <c r="R16" s="2666"/>
      <c r="S16" s="2664"/>
      <c r="T16" s="2665"/>
      <c r="U16" s="2665"/>
      <c r="V16" s="2665"/>
      <c r="X16" s="2754">
        <f>ROUND(SUMPRODUCT(PRODUCT(1+N16:N$21)),4)</f>
        <v>1.0651999999999999</v>
      </c>
      <c r="Y16" s="2754">
        <f>ROUND(SUMPRODUCT(PRODUCT(1+O16:O$21)),4)</f>
        <v>1.0621</v>
      </c>
      <c r="Z16" s="2754">
        <f t="shared" si="0"/>
        <v>1.0621</v>
      </c>
      <c r="AA16" s="2754">
        <f>ROUND(SUMPRODUCT(PRODUCT(1+P16:P$21)),4)</f>
        <v>1.0668</v>
      </c>
      <c r="AB16" s="2754">
        <f>ROUND(SUMPRODUCT(PRODUCT(1+Q16:Q$21)),4)</f>
        <v>1.0636000000000001</v>
      </c>
      <c r="AD16" s="2674">
        <f>ROUND(AVERAGE(I16:I$22)/100,4)</f>
        <v>1.3299999999999999E-2</v>
      </c>
      <c r="AE16" s="2674">
        <f>ROUND(AVERAGE(J16:J$22)/100,4)</f>
        <v>1.2E-2</v>
      </c>
      <c r="AF16" s="2674">
        <f t="shared" si="1"/>
        <v>1.2E-2</v>
      </c>
      <c r="AG16" s="2674">
        <f>ROUND(AVERAGE(K16:K$22)/100,4)</f>
        <v>1.4E-2</v>
      </c>
      <c r="AH16" s="2674">
        <f>ROUND(AVERAGE(L16:L$22)/100,4)</f>
        <v>1.0800000000000001E-2</v>
      </c>
    </row>
    <row r="17" spans="1:34">
      <c r="A17" s="2655" t="s">
        <v>964</v>
      </c>
      <c r="B17" s="2669">
        <f t="shared" si="38"/>
        <v>322.34053690220776</v>
      </c>
      <c r="C17" s="2669">
        <f t="shared" si="38"/>
        <v>271.46160770422546</v>
      </c>
      <c r="D17" s="2669">
        <f t="shared" si="35"/>
        <v>271.46160770422546</v>
      </c>
      <c r="E17" s="2669">
        <f t="shared" si="39"/>
        <v>442.69434542172456</v>
      </c>
      <c r="F17" s="2669">
        <f t="shared" si="39"/>
        <v>241.34030753190925</v>
      </c>
      <c r="G17" s="3445"/>
      <c r="H17" s="2660">
        <v>2</v>
      </c>
      <c r="I17" s="2660">
        <v>0.77</v>
      </c>
      <c r="J17" s="2660">
        <v>0.69</v>
      </c>
      <c r="K17" s="2660">
        <v>0.8</v>
      </c>
      <c r="L17" s="2671">
        <v>0.88</v>
      </c>
      <c r="N17" s="2664">
        <f t="shared" si="37"/>
        <v>7.7000000000000002E-3</v>
      </c>
      <c r="O17" s="2682">
        <f t="shared" si="33"/>
        <v>6.8999999999999999E-3</v>
      </c>
      <c r="P17" s="2682">
        <f t="shared" si="33"/>
        <v>8.0000000000000002E-3</v>
      </c>
      <c r="Q17" s="2682">
        <f t="shared" si="33"/>
        <v>8.8000000000000005E-3</v>
      </c>
      <c r="R17" s="2666"/>
      <c r="S17" s="2664"/>
      <c r="T17" s="2665"/>
      <c r="U17" s="2665"/>
      <c r="V17" s="2665"/>
      <c r="X17" s="2754">
        <f>ROUND(SUMPRODUCT(PRODUCT(1+N17:N$21)),4)</f>
        <v>1.048</v>
      </c>
      <c r="Y17" s="2754">
        <f>ROUND(SUMPRODUCT(PRODUCT(1+O17:O$21)),4)</f>
        <v>1.0524</v>
      </c>
      <c r="Z17" s="2754">
        <f t="shared" si="0"/>
        <v>1.0524</v>
      </c>
      <c r="AA17" s="2754">
        <f>ROUND(SUMPRODUCT(PRODUCT(1+P17:P$21)),4)</f>
        <v>1.0470999999999999</v>
      </c>
      <c r="AB17" s="2754">
        <f>ROUND(SUMPRODUCT(PRODUCT(1+Q17:Q$21)),4)</f>
        <v>1.0504</v>
      </c>
      <c r="AD17" s="2674">
        <f>ROUND(AVERAGE(I17:I$22)/100,4)</f>
        <v>1.2800000000000001E-2</v>
      </c>
      <c r="AE17" s="2674">
        <f>ROUND(AVERAGE(J17:J$22)/100,4)</f>
        <v>1.2500000000000001E-2</v>
      </c>
      <c r="AF17" s="2674">
        <f t="shared" si="1"/>
        <v>1.2500000000000001E-2</v>
      </c>
      <c r="AG17" s="2674">
        <f>ROUND(AVERAGE(K17:K$22)/100,4)</f>
        <v>1.32E-2</v>
      </c>
      <c r="AH17" s="2674">
        <f>ROUND(AVERAGE(L17:L$22)/100,4)</f>
        <v>1.0500000000000001E-2</v>
      </c>
    </row>
    <row r="18" spans="1:34">
      <c r="A18" s="2655" t="s">
        <v>963</v>
      </c>
      <c r="B18" s="2669">
        <f t="shared" si="38"/>
        <v>319.87748030386797</v>
      </c>
      <c r="C18" s="2669">
        <f t="shared" si="38"/>
        <v>269.60135833173649</v>
      </c>
      <c r="D18" s="2669">
        <f t="shared" si="35"/>
        <v>269.60135833173649</v>
      </c>
      <c r="E18" s="2669">
        <f t="shared" si="39"/>
        <v>439.18089823583784</v>
      </c>
      <c r="F18" s="2669">
        <f t="shared" si="39"/>
        <v>239.23503918706311</v>
      </c>
      <c r="G18" s="3446"/>
      <c r="H18" s="2659">
        <v>1</v>
      </c>
      <c r="I18" s="2659">
        <v>0.51</v>
      </c>
      <c r="J18" s="2659">
        <v>0.54</v>
      </c>
      <c r="K18" s="2659">
        <v>0.48</v>
      </c>
      <c r="L18" s="2670">
        <v>0.93</v>
      </c>
      <c r="N18" s="2672">
        <f t="shared" si="37"/>
        <v>5.1000000000000004E-3</v>
      </c>
      <c r="O18" s="2673">
        <f t="shared" si="33"/>
        <v>5.4000000000000003E-3</v>
      </c>
      <c r="P18" s="2673">
        <f t="shared" si="33"/>
        <v>4.7999999999999996E-3</v>
      </c>
      <c r="Q18" s="2673">
        <f t="shared" si="33"/>
        <v>9.300000000000001E-3</v>
      </c>
      <c r="R18" s="2666"/>
      <c r="S18" s="2672">
        <f>B18/B19-1</f>
        <v>5.9040261127922822E-3</v>
      </c>
      <c r="T18" s="2673">
        <f>C18/C19-1</f>
        <v>5.9752176557332781E-3</v>
      </c>
      <c r="U18" s="2673">
        <f>E18/E19-1</f>
        <v>4.9906138119859556E-3</v>
      </c>
      <c r="V18" s="2673">
        <f>F18/F19-1</f>
        <v>9.4305450930933787E-3</v>
      </c>
      <c r="X18" s="2754">
        <f>ROUND(SUMPRODUCT(PRODUCT(1+N18:N$21)),4)</f>
        <v>1.0399</v>
      </c>
      <c r="Y18" s="2754">
        <f>ROUND(SUMPRODUCT(PRODUCT(1+O18:O$21)),4)</f>
        <v>1.0451999999999999</v>
      </c>
      <c r="Z18" s="2754">
        <f t="shared" si="0"/>
        <v>1.0451999999999999</v>
      </c>
      <c r="AA18" s="2754">
        <f>ROUND(SUMPRODUCT(PRODUCT(1+P18:P$21)),4)</f>
        <v>1.0387999999999999</v>
      </c>
      <c r="AB18" s="2754">
        <f>ROUND(SUMPRODUCT(PRODUCT(1+Q18:Q$21)),4)</f>
        <v>1.0411999999999999</v>
      </c>
      <c r="AD18" s="2674">
        <f>ROUND(AVERAGE(I18:I$22)/100,4)</f>
        <v>1.38E-2</v>
      </c>
      <c r="AE18" s="2674">
        <f>ROUND(AVERAGE(J18:J$22)/100,4)</f>
        <v>1.3599999999999999E-2</v>
      </c>
      <c r="AF18" s="2674">
        <f t="shared" si="1"/>
        <v>1.3599999999999999E-2</v>
      </c>
      <c r="AG18" s="2674">
        <f>ROUND(AVERAGE(K18:K$22)/100,4)</f>
        <v>1.4200000000000001E-2</v>
      </c>
      <c r="AH18" s="2674">
        <f>ROUND(AVERAGE(L18:L$22)/100,4)</f>
        <v>1.0800000000000001E-2</v>
      </c>
    </row>
    <row r="19" spans="1:34" ht="13.5" thickBot="1">
      <c r="A19" s="2655" t="s">
        <v>962</v>
      </c>
      <c r="B19" s="2683">
        <v>318</v>
      </c>
      <c r="C19" s="2683">
        <v>268</v>
      </c>
      <c r="D19" s="2683">
        <f t="shared" si="35"/>
        <v>268</v>
      </c>
      <c r="E19" s="2683">
        <v>437</v>
      </c>
      <c r="F19" s="2684">
        <v>237</v>
      </c>
      <c r="G19" s="3444">
        <v>2014</v>
      </c>
      <c r="H19" s="2675">
        <v>4</v>
      </c>
      <c r="I19" s="2675">
        <v>0.21</v>
      </c>
      <c r="J19" s="2675">
        <v>0.41</v>
      </c>
      <c r="K19" s="2675">
        <v>0.12</v>
      </c>
      <c r="L19" s="2676">
        <v>0.89</v>
      </c>
      <c r="N19" s="2664">
        <f t="shared" si="37"/>
        <v>2.0999999999999999E-3</v>
      </c>
      <c r="O19" s="2665">
        <f t="shared" si="33"/>
        <v>4.0999999999999995E-3</v>
      </c>
      <c r="P19" s="2665">
        <f t="shared" si="33"/>
        <v>1.1999999999999999E-3</v>
      </c>
      <c r="Q19" s="2665">
        <f t="shared" si="33"/>
        <v>8.8999999999999999E-3</v>
      </c>
      <c r="R19" s="2666"/>
      <c r="S19" s="2667"/>
      <c r="T19" s="2668"/>
      <c r="U19" s="2668"/>
      <c r="V19" s="2668"/>
      <c r="X19" s="2754">
        <f>ROUND(SUMPRODUCT(PRODUCT(1+N19:N$21)),4)</f>
        <v>1.0347</v>
      </c>
      <c r="Y19" s="2754">
        <f>ROUND(SUMPRODUCT(PRODUCT(1+O19:O$21)),4)</f>
        <v>1.0395000000000001</v>
      </c>
      <c r="Z19" s="2754">
        <f t="shared" si="0"/>
        <v>1.0395000000000001</v>
      </c>
      <c r="AA19" s="2754">
        <f>ROUND(SUMPRODUCT(PRODUCT(1+P19:P$21)),4)</f>
        <v>1.0338000000000001</v>
      </c>
      <c r="AB19" s="2754">
        <f>ROUND(SUMPRODUCT(PRODUCT(1+Q19:Q$21)),4)</f>
        <v>1.0316000000000001</v>
      </c>
      <c r="AD19" s="2674">
        <f>ROUND(AVERAGE(I19:I$22)/100,4)</f>
        <v>1.6E-2</v>
      </c>
      <c r="AE19" s="2674">
        <f>ROUND(AVERAGE(J19:J$22)/100,4)</f>
        <v>1.5599999999999999E-2</v>
      </c>
      <c r="AF19" s="2674">
        <f t="shared" si="1"/>
        <v>1.5599999999999999E-2</v>
      </c>
      <c r="AG19" s="2674">
        <f>ROUND(AVERAGE(K19:K$22)/100,4)</f>
        <v>1.66E-2</v>
      </c>
      <c r="AH19" s="2674">
        <f>ROUND(AVERAGE(L19:L$22)/100,4)</f>
        <v>1.12E-2</v>
      </c>
    </row>
    <row r="20" spans="1:34">
      <c r="A20" s="2655" t="s">
        <v>961</v>
      </c>
      <c r="B20" s="2669">
        <f t="shared" ref="B20:C22" si="40">B19/(1+N19)</f>
        <v>317.33359944117353</v>
      </c>
      <c r="C20" s="2669">
        <f t="shared" si="40"/>
        <v>266.90568668459315</v>
      </c>
      <c r="D20" s="2669">
        <f t="shared" si="35"/>
        <v>266.90568668459315</v>
      </c>
      <c r="E20" s="2669">
        <f t="shared" ref="E20:F22" si="41">E19/(1+P19)</f>
        <v>436.47622852576905</v>
      </c>
      <c r="F20" s="2669">
        <f t="shared" si="41"/>
        <v>234.90930716622066</v>
      </c>
      <c r="G20" s="3445"/>
      <c r="H20" s="2685">
        <v>3</v>
      </c>
      <c r="I20" s="2685">
        <v>0.83</v>
      </c>
      <c r="J20" s="2685">
        <v>1.47</v>
      </c>
      <c r="K20" s="2685">
        <v>0.65</v>
      </c>
      <c r="L20" s="2686">
        <v>0.72</v>
      </c>
      <c r="N20" s="2664">
        <f t="shared" si="37"/>
        <v>8.3000000000000001E-3</v>
      </c>
      <c r="O20" s="2665">
        <f t="shared" si="33"/>
        <v>1.47E-2</v>
      </c>
      <c r="P20" s="2665">
        <f t="shared" si="33"/>
        <v>6.5000000000000006E-3</v>
      </c>
      <c r="Q20" s="2665">
        <f t="shared" si="33"/>
        <v>7.1999999999999998E-3</v>
      </c>
      <c r="R20" s="2666"/>
      <c r="S20" s="2664"/>
      <c r="T20" s="2665"/>
      <c r="U20" s="2665"/>
      <c r="V20" s="2665"/>
      <c r="X20" s="2754">
        <f>ROUND(SUMPRODUCT(PRODUCT(1+N20:N$21)),4)</f>
        <v>1.0325</v>
      </c>
      <c r="Y20" s="2754">
        <f>ROUND(SUMPRODUCT(PRODUCT(1+O20:O$21)),4)</f>
        <v>1.0353000000000001</v>
      </c>
      <c r="Z20" s="2754">
        <f t="shared" ref="Z20:Z21" si="42">Y20</f>
        <v>1.0353000000000001</v>
      </c>
      <c r="AA20" s="2754">
        <f>ROUND(SUMPRODUCT(PRODUCT(1+P20:P$21)),4)</f>
        <v>1.0326</v>
      </c>
      <c r="AB20" s="2754">
        <f>ROUND(SUMPRODUCT(PRODUCT(1+Q20:Q$21)),4)</f>
        <v>1.0225</v>
      </c>
      <c r="AD20" s="2674">
        <f>ROUND(AVERAGE(I20:I$22)/100,4)</f>
        <v>2.07E-2</v>
      </c>
      <c r="AE20" s="2674">
        <f>ROUND(AVERAGE(J20:J$22)/100,4)</f>
        <v>1.95E-2</v>
      </c>
      <c r="AF20" s="2674">
        <f t="shared" si="1"/>
        <v>1.95E-2</v>
      </c>
      <c r="AG20" s="2674">
        <f>ROUND(AVERAGE(K20:K$22)/100,4)</f>
        <v>2.1700000000000001E-2</v>
      </c>
      <c r="AH20" s="2674">
        <f>ROUND(AVERAGE(L20:L$22)/100,4)</f>
        <v>1.2E-2</v>
      </c>
    </row>
    <row r="21" spans="1:34" ht="13.5" thickBot="1">
      <c r="A21" s="2655" t="s">
        <v>960</v>
      </c>
      <c r="B21" s="2669">
        <f t="shared" si="40"/>
        <v>314.72141172386546</v>
      </c>
      <c r="C21" s="2669">
        <f t="shared" si="40"/>
        <v>263.03901319069001</v>
      </c>
      <c r="D21" s="2669">
        <f t="shared" si="35"/>
        <v>263.03901319069001</v>
      </c>
      <c r="E21" s="2669">
        <f t="shared" si="41"/>
        <v>433.65745506782821</v>
      </c>
      <c r="F21" s="2669">
        <f t="shared" si="41"/>
        <v>233.23005080045735</v>
      </c>
      <c r="G21" s="3445"/>
      <c r="H21" s="2675">
        <v>2</v>
      </c>
      <c r="I21" s="2675">
        <v>2.4</v>
      </c>
      <c r="J21" s="2675">
        <v>2.0299999999999998</v>
      </c>
      <c r="K21" s="2675">
        <v>2.59</v>
      </c>
      <c r="L21" s="2676">
        <v>1.52</v>
      </c>
      <c r="N21" s="2664">
        <f t="shared" si="37"/>
        <v>2.4E-2</v>
      </c>
      <c r="O21" s="2665">
        <f t="shared" si="33"/>
        <v>2.0299999999999999E-2</v>
      </c>
      <c r="P21" s="2665">
        <f t="shared" si="33"/>
        <v>2.5899999999999999E-2</v>
      </c>
      <c r="Q21" s="2665">
        <f t="shared" si="33"/>
        <v>1.52E-2</v>
      </c>
      <c r="R21" s="2666"/>
      <c r="S21" s="2664"/>
      <c r="T21" s="2665"/>
      <c r="U21" s="2665"/>
      <c r="V21" s="2665"/>
      <c r="X21" s="2754">
        <f>1+N21</f>
        <v>1.024</v>
      </c>
      <c r="Y21" s="2754">
        <f>1+O21</f>
        <v>1.0203</v>
      </c>
      <c r="Z21" s="2754">
        <f t="shared" si="42"/>
        <v>1.0203</v>
      </c>
      <c r="AA21" s="2754">
        <f>1+P21</f>
        <v>1.0259</v>
      </c>
      <c r="AB21" s="2754">
        <f>1+Q21</f>
        <v>1.0152000000000001</v>
      </c>
      <c r="AD21" s="2674">
        <f>ROUND(AVERAGE(I21:I$22)/100,4)</f>
        <v>2.69E-2</v>
      </c>
      <c r="AE21" s="2674">
        <f>ROUND(AVERAGE(J21:J$22)/100,4)</f>
        <v>2.1899999999999999E-2</v>
      </c>
      <c r="AF21" s="2674">
        <f t="shared" ref="AF21" si="43">AE21</f>
        <v>2.1899999999999999E-2</v>
      </c>
      <c r="AG21" s="2674">
        <f>ROUND(AVERAGE(K21:K$22)/100,4)</f>
        <v>2.9399999999999999E-2</v>
      </c>
      <c r="AH21" s="2674">
        <f>ROUND(AVERAGE(L21:L$22)/100,4)</f>
        <v>1.44E-2</v>
      </c>
    </row>
    <row r="22" spans="1:34" s="2691" customFormat="1" ht="13.5" thickBot="1">
      <c r="A22" s="2687" t="s">
        <v>959</v>
      </c>
      <c r="B22" s="2688">
        <f t="shared" si="40"/>
        <v>307.34512863658733</v>
      </c>
      <c r="C22" s="2688">
        <f t="shared" si="40"/>
        <v>257.80556031626975</v>
      </c>
      <c r="D22" s="2688">
        <f t="shared" si="35"/>
        <v>257.80556031626975</v>
      </c>
      <c r="E22" s="2688">
        <f t="shared" si="41"/>
        <v>422.70928459677179</v>
      </c>
      <c r="F22" s="2688">
        <f t="shared" si="41"/>
        <v>229.73803270336617</v>
      </c>
      <c r="G22" s="3446"/>
      <c r="H22" s="2689">
        <v>1</v>
      </c>
      <c r="I22" s="2689">
        <v>2.97</v>
      </c>
      <c r="J22" s="2689">
        <v>2.34</v>
      </c>
      <c r="K22" s="2689">
        <v>3.28</v>
      </c>
      <c r="L22" s="2690">
        <v>1.36</v>
      </c>
      <c r="N22" s="2692">
        <f t="shared" si="37"/>
        <v>2.9700000000000001E-2</v>
      </c>
      <c r="O22" s="2693">
        <f t="shared" si="33"/>
        <v>2.3399999999999997E-2</v>
      </c>
      <c r="P22" s="2693">
        <f t="shared" si="33"/>
        <v>3.2799999999999996E-2</v>
      </c>
      <c r="Q22" s="2693">
        <f t="shared" si="33"/>
        <v>1.3600000000000001E-2</v>
      </c>
      <c r="R22" s="2694"/>
      <c r="S22" s="2695">
        <f>B22/B23-1</f>
        <v>2.7910129219355539E-2</v>
      </c>
      <c r="T22" s="2696">
        <f>C22/C23-1</f>
        <v>2.3037937762975247E-2</v>
      </c>
      <c r="U22" s="2696">
        <f>E22/E23-1</f>
        <v>3.3519033243940788E-2</v>
      </c>
      <c r="V22" s="2696">
        <f>F22/F23-1</f>
        <v>1.2061818076502862E-2</v>
      </c>
      <c r="W22" s="2763" t="s">
        <v>2641</v>
      </c>
      <c r="X22" s="2765">
        <v>1</v>
      </c>
      <c r="Y22" s="2765">
        <v>1</v>
      </c>
      <c r="Z22" s="2765">
        <v>1</v>
      </c>
      <c r="AA22" s="2765">
        <v>1</v>
      </c>
      <c r="AB22" s="2765">
        <v>1</v>
      </c>
      <c r="AD22" s="3008">
        <f>I22/100</f>
        <v>2.9700000000000001E-2</v>
      </c>
      <c r="AE22" s="3008">
        <f>J22/100</f>
        <v>2.3399999999999997E-2</v>
      </c>
      <c r="AF22" s="3008">
        <f>AE22</f>
        <v>2.3399999999999997E-2</v>
      </c>
      <c r="AG22" s="3008">
        <f>K22/100</f>
        <v>3.2799999999999996E-2</v>
      </c>
      <c r="AH22" s="3008">
        <f>L22/100</f>
        <v>1.3600000000000001E-2</v>
      </c>
    </row>
    <row r="23" spans="1:34" ht="13.5" thickBot="1">
      <c r="A23" s="2655" t="s">
        <v>2584</v>
      </c>
      <c r="B23" s="2661">
        <v>299</v>
      </c>
      <c r="C23" s="2661">
        <v>252</v>
      </c>
      <c r="D23" s="2661">
        <f t="shared" si="35"/>
        <v>252</v>
      </c>
      <c r="E23" s="2661">
        <v>409</v>
      </c>
      <c r="F23" s="2662">
        <v>227</v>
      </c>
      <c r="G23" s="3447">
        <v>2013</v>
      </c>
      <c r="H23" s="2697">
        <v>4</v>
      </c>
      <c r="I23" s="2697">
        <v>1.83</v>
      </c>
      <c r="J23" s="2697">
        <v>1.68</v>
      </c>
      <c r="K23" s="2697">
        <v>1.97</v>
      </c>
      <c r="L23" s="2698">
        <v>0.87</v>
      </c>
      <c r="N23" s="2677">
        <f t="shared" si="37"/>
        <v>1.83E-2</v>
      </c>
      <c r="O23" s="2678">
        <f t="shared" si="33"/>
        <v>1.6799999999999999E-2</v>
      </c>
      <c r="P23" s="2678">
        <f t="shared" si="33"/>
        <v>1.9699999999999999E-2</v>
      </c>
      <c r="Q23" s="2678">
        <f t="shared" si="33"/>
        <v>8.6999999999999994E-3</v>
      </c>
      <c r="R23" s="2666"/>
      <c r="S23" s="2667"/>
      <c r="T23" s="2668"/>
      <c r="U23" s="2668"/>
      <c r="V23" s="2668"/>
      <c r="X23" s="2668"/>
      <c r="Y23" s="2668"/>
      <c r="Z23" s="2668"/>
    </row>
    <row r="24" spans="1:34">
      <c r="A24" s="2655" t="s">
        <v>2585</v>
      </c>
      <c r="B24" s="2669">
        <f t="shared" ref="B24:C26" si="44">B23/(1+N23)</f>
        <v>293.62663262299913</v>
      </c>
      <c r="C24" s="2669">
        <f t="shared" si="44"/>
        <v>247.83634933123525</v>
      </c>
      <c r="D24" s="2669">
        <f t="shared" si="35"/>
        <v>247.83634933123525</v>
      </c>
      <c r="E24" s="2669">
        <f t="shared" ref="E24:F26" si="45">E23/(1+P23)</f>
        <v>401.09836226341076</v>
      </c>
      <c r="F24" s="2669">
        <f t="shared" si="45"/>
        <v>225.04213343908003</v>
      </c>
      <c r="G24" s="3448"/>
      <c r="H24" s="2680">
        <v>3</v>
      </c>
      <c r="I24" s="2680">
        <v>1.86</v>
      </c>
      <c r="J24" s="2680">
        <v>1.72</v>
      </c>
      <c r="K24" s="2680">
        <v>1.98</v>
      </c>
      <c r="L24" s="2681">
        <v>0.88</v>
      </c>
      <c r="N24" s="2664">
        <f t="shared" si="37"/>
        <v>1.8600000000000002E-2</v>
      </c>
      <c r="O24" s="2682">
        <f t="shared" si="33"/>
        <v>1.72E-2</v>
      </c>
      <c r="P24" s="2682">
        <f t="shared" si="33"/>
        <v>1.9799999999999998E-2</v>
      </c>
      <c r="Q24" s="2682">
        <f t="shared" si="33"/>
        <v>8.8000000000000005E-3</v>
      </c>
      <c r="R24" s="2666"/>
      <c r="S24" s="2664"/>
      <c r="T24" s="2665"/>
      <c r="U24" s="2665"/>
      <c r="V24" s="2665"/>
    </row>
    <row r="25" spans="1:34">
      <c r="A25" s="2655" t="s">
        <v>2586</v>
      </c>
      <c r="B25" s="2669">
        <f t="shared" si="44"/>
        <v>288.2649053828776</v>
      </c>
      <c r="C25" s="2669">
        <f t="shared" si="44"/>
        <v>243.64564425013293</v>
      </c>
      <c r="D25" s="2669">
        <f t="shared" si="35"/>
        <v>243.64564425013293</v>
      </c>
      <c r="E25" s="2669">
        <f t="shared" si="45"/>
        <v>393.31080825986544</v>
      </c>
      <c r="F25" s="2669">
        <f t="shared" si="45"/>
        <v>223.07903790551154</v>
      </c>
      <c r="G25" s="3448"/>
      <c r="H25" s="2660">
        <v>2</v>
      </c>
      <c r="I25" s="2660">
        <v>2.04</v>
      </c>
      <c r="J25" s="2660">
        <v>2.33</v>
      </c>
      <c r="K25" s="2660">
        <v>2.0699999999999998</v>
      </c>
      <c r="L25" s="2671">
        <v>0.69</v>
      </c>
      <c r="N25" s="2664">
        <f t="shared" si="37"/>
        <v>2.0400000000000001E-2</v>
      </c>
      <c r="O25" s="2682">
        <f t="shared" si="33"/>
        <v>2.3300000000000001E-2</v>
      </c>
      <c r="P25" s="2682">
        <f t="shared" si="33"/>
        <v>2.07E-2</v>
      </c>
      <c r="Q25" s="2682">
        <f t="shared" si="33"/>
        <v>6.8999999999999999E-3</v>
      </c>
      <c r="R25" s="2666"/>
      <c r="S25" s="2664"/>
      <c r="T25" s="2665"/>
      <c r="U25" s="2665"/>
      <c r="V25" s="2665"/>
      <c r="X25" s="2766"/>
      <c r="Y25" s="2768"/>
    </row>
    <row r="26" spans="1:34">
      <c r="A26" s="2655" t="s">
        <v>2587</v>
      </c>
      <c r="B26" s="2669">
        <f t="shared" si="44"/>
        <v>282.50186729015837</v>
      </c>
      <c r="C26" s="2669">
        <f t="shared" si="44"/>
        <v>238.09796174155468</v>
      </c>
      <c r="D26" s="2669">
        <f t="shared" si="35"/>
        <v>238.09796174155468</v>
      </c>
      <c r="E26" s="2669">
        <f t="shared" si="45"/>
        <v>385.33438646014054</v>
      </c>
      <c r="F26" s="2669">
        <f t="shared" si="45"/>
        <v>221.55034055567739</v>
      </c>
      <c r="G26" s="3449"/>
      <c r="H26" s="2659">
        <v>1</v>
      </c>
      <c r="I26" s="2659">
        <v>1.67</v>
      </c>
      <c r="J26" s="2659">
        <v>1.31</v>
      </c>
      <c r="K26" s="2659">
        <v>1.85</v>
      </c>
      <c r="L26" s="2670">
        <v>0.96</v>
      </c>
      <c r="N26" s="2672">
        <f t="shared" si="37"/>
        <v>1.67E-2</v>
      </c>
      <c r="O26" s="2673">
        <f t="shared" si="33"/>
        <v>1.3100000000000001E-2</v>
      </c>
      <c r="P26" s="2673">
        <f t="shared" si="33"/>
        <v>1.8500000000000003E-2</v>
      </c>
      <c r="Q26" s="2673">
        <f t="shared" si="33"/>
        <v>9.5999999999999992E-3</v>
      </c>
      <c r="R26" s="2666"/>
      <c r="S26" s="2672">
        <f>B26/B27-1</f>
        <v>1.6193767230785472E-2</v>
      </c>
      <c r="T26" s="2673">
        <f>C26/C27-1</f>
        <v>1.7512657015190891E-2</v>
      </c>
      <c r="U26" s="2673">
        <f>E26/E27-1</f>
        <v>1.6713420739157048E-2</v>
      </c>
      <c r="V26" s="2673">
        <f>F26/F27-1</f>
        <v>7.0470025258062563E-3</v>
      </c>
      <c r="X26" s="2767"/>
      <c r="Y26" s="2674"/>
      <c r="Z26" s="2674"/>
    </row>
    <row r="27" spans="1:34" ht="13.5" thickBot="1">
      <c r="A27" s="2655" t="s">
        <v>2588</v>
      </c>
      <c r="B27" s="2699">
        <v>278</v>
      </c>
      <c r="C27" s="2699">
        <v>234</v>
      </c>
      <c r="D27" s="2699">
        <f t="shared" si="35"/>
        <v>234</v>
      </c>
      <c r="E27" s="2699">
        <v>379</v>
      </c>
      <c r="F27" s="2700">
        <v>220</v>
      </c>
      <c r="G27" s="3444">
        <v>2012</v>
      </c>
      <c r="H27" s="2675">
        <v>4</v>
      </c>
      <c r="I27" s="2675">
        <v>0.91</v>
      </c>
      <c r="J27" s="2675">
        <v>0.68</v>
      </c>
      <c r="K27" s="2675">
        <v>0.98</v>
      </c>
      <c r="L27" s="2676">
        <v>0.9</v>
      </c>
      <c r="N27" s="2664">
        <f t="shared" si="37"/>
        <v>9.1000000000000004E-3</v>
      </c>
      <c r="O27" s="2665">
        <f t="shared" si="37"/>
        <v>6.8000000000000005E-3</v>
      </c>
      <c r="P27" s="2665">
        <f t="shared" si="37"/>
        <v>9.7999999999999997E-3</v>
      </c>
      <c r="Q27" s="2665">
        <f t="shared" si="37"/>
        <v>9.0000000000000011E-3</v>
      </c>
      <c r="R27" s="2666"/>
      <c r="S27" s="2667"/>
      <c r="T27" s="2668"/>
      <c r="U27" s="2668"/>
      <c r="V27" s="2668"/>
      <c r="X27" s="2668"/>
      <c r="Y27" s="2668"/>
      <c r="Z27" s="2668"/>
    </row>
    <row r="28" spans="1:34">
      <c r="A28" s="2655" t="s">
        <v>2589</v>
      </c>
      <c r="B28" s="2669">
        <f>B27/(1+N27)</f>
        <v>275.49301357645425</v>
      </c>
      <c r="C28" s="2669">
        <f>C27/(1+O27)</f>
        <v>232.41954707985698</v>
      </c>
      <c r="D28" s="2669">
        <f t="shared" si="35"/>
        <v>232.41954707985698</v>
      </c>
      <c r="E28" s="2669">
        <f t="shared" ref="E28:F30" si="46">E27/(1+P27)</f>
        <v>375.32184591008121</v>
      </c>
      <c r="F28" s="2669">
        <f t="shared" si="46"/>
        <v>218.03766105054513</v>
      </c>
      <c r="G28" s="3445"/>
      <c r="H28" s="2680">
        <v>3</v>
      </c>
      <c r="I28" s="2680">
        <v>0.09</v>
      </c>
      <c r="J28" s="2680">
        <v>0.28999999999999998</v>
      </c>
      <c r="K28" s="2680">
        <v>-0.01</v>
      </c>
      <c r="L28" s="2681">
        <v>0.57999999999999996</v>
      </c>
      <c r="N28" s="2664">
        <f t="shared" si="37"/>
        <v>8.9999999999999998E-4</v>
      </c>
      <c r="O28" s="2665">
        <f t="shared" si="37"/>
        <v>2.8999999999999998E-3</v>
      </c>
      <c r="P28" s="2665">
        <f t="shared" si="37"/>
        <v>-1E-4</v>
      </c>
      <c r="Q28" s="2665">
        <f t="shared" si="37"/>
        <v>5.7999999999999996E-3</v>
      </c>
      <c r="R28" s="2666"/>
      <c r="S28" s="2664"/>
      <c r="T28" s="2665"/>
      <c r="U28" s="2665"/>
      <c r="V28" s="2665"/>
    </row>
    <row r="29" spans="1:34">
      <c r="A29" s="2655" t="s">
        <v>2590</v>
      </c>
      <c r="B29" s="2669">
        <f>B28/(1+N28)</f>
        <v>275.24529281292263</v>
      </c>
      <c r="C29" s="2669">
        <f>C28/(1+O28)</f>
        <v>231.74747938962707</v>
      </c>
      <c r="D29" s="2669">
        <f t="shared" si="35"/>
        <v>231.74747938962707</v>
      </c>
      <c r="E29" s="2669">
        <f t="shared" si="46"/>
        <v>375.35938184826603</v>
      </c>
      <c r="F29" s="2669">
        <f t="shared" si="46"/>
        <v>216.78033510692495</v>
      </c>
      <c r="G29" s="3445"/>
      <c r="H29" s="2660">
        <v>2</v>
      </c>
      <c r="I29" s="2660">
        <v>0.02</v>
      </c>
      <c r="J29" s="2660">
        <v>0.12</v>
      </c>
      <c r="K29" s="2660">
        <v>-0.08</v>
      </c>
      <c r="L29" s="2671">
        <v>1.24</v>
      </c>
      <c r="N29" s="2664">
        <f t="shared" si="37"/>
        <v>2.0000000000000001E-4</v>
      </c>
      <c r="O29" s="2665">
        <f t="shared" si="37"/>
        <v>1.1999999999999999E-3</v>
      </c>
      <c r="P29" s="2665">
        <f t="shared" si="37"/>
        <v>-8.0000000000000004E-4</v>
      </c>
      <c r="Q29" s="2665">
        <f t="shared" si="37"/>
        <v>1.24E-2</v>
      </c>
      <c r="R29" s="2666"/>
      <c r="S29" s="2664"/>
      <c r="T29" s="2665"/>
      <c r="U29" s="2665"/>
      <c r="V29" s="2665"/>
    </row>
    <row r="30" spans="1:34" ht="13.5" thickBot="1">
      <c r="A30" s="2655" t="s">
        <v>2591</v>
      </c>
      <c r="B30" s="2669">
        <f>B29/(1+N29)</f>
        <v>275.19025476197027</v>
      </c>
      <c r="C30" s="2701">
        <v>232</v>
      </c>
      <c r="D30" s="2701">
        <f t="shared" si="35"/>
        <v>232</v>
      </c>
      <c r="E30" s="2669">
        <f t="shared" si="46"/>
        <v>375.65990977608692</v>
      </c>
      <c r="F30" s="2669">
        <f t="shared" si="46"/>
        <v>214.12518283971252</v>
      </c>
      <c r="G30" s="3446"/>
      <c r="H30" s="2659">
        <v>1</v>
      </c>
      <c r="I30" s="2659">
        <v>0.02</v>
      </c>
      <c r="J30" s="2659">
        <v>0.13</v>
      </c>
      <c r="K30" s="2659">
        <v>-0.04</v>
      </c>
      <c r="L30" s="2670">
        <v>0.46</v>
      </c>
      <c r="N30" s="2664">
        <f t="shared" si="37"/>
        <v>2.0000000000000001E-4</v>
      </c>
      <c r="O30" s="2665">
        <f t="shared" si="37"/>
        <v>1.2999999999999999E-3</v>
      </c>
      <c r="P30" s="2665">
        <f t="shared" si="37"/>
        <v>-4.0000000000000002E-4</v>
      </c>
      <c r="Q30" s="2665">
        <f t="shared" si="37"/>
        <v>4.5999999999999999E-3</v>
      </c>
      <c r="R30" s="2666"/>
      <c r="S30" s="2672">
        <f>B30/B31-1</f>
        <v>6.9183549807361189E-4</v>
      </c>
      <c r="T30" s="2673">
        <f>C30/C31-1</f>
        <v>0</v>
      </c>
      <c r="U30" s="2673">
        <f>E30/E31-1</f>
        <v>-9.0449527636460303E-4</v>
      </c>
      <c r="V30" s="2673">
        <f>F30/F31-1</f>
        <v>5.2825485432512753E-3</v>
      </c>
      <c r="X30" s="2674"/>
      <c r="Y30" s="2674"/>
      <c r="Z30" s="2674"/>
    </row>
    <row r="31" spans="1:34" ht="13.5" thickBot="1">
      <c r="A31" s="2655" t="s">
        <v>2592</v>
      </c>
      <c r="B31" s="2661">
        <v>275</v>
      </c>
      <c r="C31" s="2661">
        <v>232</v>
      </c>
      <c r="D31" s="2661">
        <f t="shared" si="35"/>
        <v>232</v>
      </c>
      <c r="E31" s="2661">
        <v>376</v>
      </c>
      <c r="F31" s="2662">
        <v>213</v>
      </c>
      <c r="G31" s="3444">
        <v>2011</v>
      </c>
      <c r="H31" s="2675">
        <v>4</v>
      </c>
      <c r="I31" s="2675">
        <v>-0.2</v>
      </c>
      <c r="J31" s="2675">
        <v>0.04</v>
      </c>
      <c r="K31" s="2675">
        <v>-0.34</v>
      </c>
      <c r="L31" s="2676">
        <v>0.46</v>
      </c>
      <c r="N31" s="2677">
        <f t="shared" si="37"/>
        <v>-2E-3</v>
      </c>
      <c r="O31" s="2678">
        <f t="shared" si="37"/>
        <v>4.0000000000000002E-4</v>
      </c>
      <c r="P31" s="2678">
        <f t="shared" si="37"/>
        <v>-3.4000000000000002E-3</v>
      </c>
      <c r="Q31" s="2678">
        <f t="shared" si="37"/>
        <v>4.5999999999999999E-3</v>
      </c>
      <c r="R31" s="2666"/>
      <c r="S31" s="2667"/>
      <c r="T31" s="2668"/>
      <c r="U31" s="2668"/>
      <c r="V31" s="2668"/>
      <c r="X31" s="2668"/>
      <c r="Y31" s="2668"/>
      <c r="Z31" s="2668"/>
    </row>
    <row r="32" spans="1:34">
      <c r="A32" s="2655" t="s">
        <v>2593</v>
      </c>
      <c r="B32" s="2669">
        <f t="shared" ref="B32:C34" si="47">B31/(1+N31)</f>
        <v>275.55110220440883</v>
      </c>
      <c r="C32" s="2669">
        <f t="shared" si="47"/>
        <v>231.90723710515795</v>
      </c>
      <c r="D32" s="2669">
        <f t="shared" si="35"/>
        <v>231.90723710515795</v>
      </c>
      <c r="E32" s="2669">
        <f t="shared" ref="E32:F34" si="48">E31/(1+P31)</f>
        <v>377.28276138872161</v>
      </c>
      <c r="F32" s="2669">
        <f t="shared" si="48"/>
        <v>212.02468644236512</v>
      </c>
      <c r="G32" s="3445">
        <v>2011</v>
      </c>
      <c r="H32" s="2680">
        <v>3</v>
      </c>
      <c r="I32" s="2680">
        <v>0.13</v>
      </c>
      <c r="J32" s="2680">
        <v>0.75</v>
      </c>
      <c r="K32" s="2680">
        <v>-0.08</v>
      </c>
      <c r="L32" s="2681">
        <v>0.53</v>
      </c>
      <c r="N32" s="2664">
        <f t="shared" si="37"/>
        <v>1.2999999999999999E-3</v>
      </c>
      <c r="O32" s="2682">
        <f t="shared" si="37"/>
        <v>7.4999999999999997E-3</v>
      </c>
      <c r="P32" s="2682">
        <f t="shared" si="37"/>
        <v>-8.0000000000000004E-4</v>
      </c>
      <c r="Q32" s="2682">
        <f t="shared" si="37"/>
        <v>5.3E-3</v>
      </c>
      <c r="R32" s="2666"/>
      <c r="S32" s="2664"/>
      <c r="T32" s="2665"/>
      <c r="U32" s="2665"/>
      <c r="V32" s="2665"/>
    </row>
    <row r="33" spans="1:26">
      <c r="A33" s="2655" t="s">
        <v>2594</v>
      </c>
      <c r="B33" s="2669">
        <f t="shared" si="47"/>
        <v>275.19335084830601</v>
      </c>
      <c r="C33" s="2669">
        <f t="shared" si="47"/>
        <v>230.18088050139744</v>
      </c>
      <c r="D33" s="2669">
        <f t="shared" si="35"/>
        <v>230.18088050139744</v>
      </c>
      <c r="E33" s="2669">
        <f t="shared" si="48"/>
        <v>377.58482925212331</v>
      </c>
      <c r="F33" s="2669">
        <f t="shared" si="48"/>
        <v>210.90687997847917</v>
      </c>
      <c r="G33" s="3445">
        <v>2011</v>
      </c>
      <c r="H33" s="2660">
        <v>2</v>
      </c>
      <c r="I33" s="2660">
        <v>-0.4</v>
      </c>
      <c r="J33" s="2660">
        <v>0.17</v>
      </c>
      <c r="K33" s="2660">
        <v>-0.57999999999999996</v>
      </c>
      <c r="L33" s="2671">
        <v>-0.2</v>
      </c>
      <c r="N33" s="2664">
        <f t="shared" si="37"/>
        <v>-4.0000000000000001E-3</v>
      </c>
      <c r="O33" s="2682">
        <f t="shared" si="37"/>
        <v>1.7000000000000001E-3</v>
      </c>
      <c r="P33" s="2682">
        <f t="shared" si="37"/>
        <v>-5.7999999999999996E-3</v>
      </c>
      <c r="Q33" s="2682">
        <f t="shared" si="37"/>
        <v>-2E-3</v>
      </c>
      <c r="R33" s="2666"/>
      <c r="S33" s="2664"/>
      <c r="T33" s="2665"/>
      <c r="U33" s="2665"/>
      <c r="V33" s="2665"/>
    </row>
    <row r="34" spans="1:26" ht="13.5" thickBot="1">
      <c r="A34" s="2655" t="s">
        <v>2595</v>
      </c>
      <c r="B34" s="2669">
        <f t="shared" si="47"/>
        <v>276.29854502841971</v>
      </c>
      <c r="C34" s="2669">
        <f t="shared" si="47"/>
        <v>229.79023709833027</v>
      </c>
      <c r="D34" s="2669">
        <f t="shared" si="35"/>
        <v>229.79023709833027</v>
      </c>
      <c r="E34" s="2669">
        <f t="shared" si="48"/>
        <v>379.78759731655936</v>
      </c>
      <c r="F34" s="2669">
        <f t="shared" si="48"/>
        <v>211.32953905659235</v>
      </c>
      <c r="G34" s="3446">
        <v>2011</v>
      </c>
      <c r="H34" s="2659">
        <v>1</v>
      </c>
      <c r="I34" s="2659">
        <v>2.65</v>
      </c>
      <c r="J34" s="2659">
        <v>3.76</v>
      </c>
      <c r="K34" s="2659">
        <v>1.89</v>
      </c>
      <c r="L34" s="2670">
        <v>7.95</v>
      </c>
      <c r="N34" s="2672">
        <f t="shared" si="37"/>
        <v>2.6499999999999999E-2</v>
      </c>
      <c r="O34" s="2673">
        <f t="shared" si="37"/>
        <v>3.7599999999999995E-2</v>
      </c>
      <c r="P34" s="2673">
        <f t="shared" si="37"/>
        <v>1.89E-2</v>
      </c>
      <c r="Q34" s="2673">
        <f t="shared" si="37"/>
        <v>7.9500000000000001E-2</v>
      </c>
      <c r="R34" s="2666"/>
      <c r="S34" s="2672">
        <f>B34/B35-1</f>
        <v>2.713213765211786E-2</v>
      </c>
      <c r="T34" s="2673">
        <f>C34/C35-1</f>
        <v>3.9774828499231862E-2</v>
      </c>
      <c r="U34" s="2673">
        <f>E34/E35-1</f>
        <v>1.8197311840641772E-2</v>
      </c>
      <c r="V34" s="2673">
        <f>F34/F35-1</f>
        <v>7.8211933962205826E-2</v>
      </c>
      <c r="X34" s="2674"/>
      <c r="Y34" s="2674"/>
      <c r="Z34" s="2674"/>
    </row>
    <row r="35" spans="1:26" ht="13.5" thickBot="1">
      <c r="A35" s="2655" t="s">
        <v>2596</v>
      </c>
      <c r="B35" s="2661">
        <v>269</v>
      </c>
      <c r="C35" s="2661">
        <v>221</v>
      </c>
      <c r="D35" s="2661">
        <f t="shared" si="35"/>
        <v>221</v>
      </c>
      <c r="E35" s="2661">
        <v>373</v>
      </c>
      <c r="F35" s="2662">
        <v>196</v>
      </c>
      <c r="G35" s="3444">
        <v>2010</v>
      </c>
      <c r="H35" s="2675">
        <v>4</v>
      </c>
      <c r="I35" s="2675">
        <v>5.72</v>
      </c>
      <c r="J35" s="2675">
        <v>6.57</v>
      </c>
      <c r="K35" s="2675">
        <v>5.72</v>
      </c>
      <c r="L35" s="2676">
        <v>2.72</v>
      </c>
      <c r="N35" s="2664">
        <f t="shared" si="37"/>
        <v>5.7200000000000001E-2</v>
      </c>
      <c r="O35" s="2665">
        <f t="shared" si="37"/>
        <v>6.5700000000000008E-2</v>
      </c>
      <c r="P35" s="2665">
        <f t="shared" si="37"/>
        <v>5.7200000000000001E-2</v>
      </c>
      <c r="Q35" s="2665">
        <f t="shared" si="37"/>
        <v>2.7200000000000002E-2</v>
      </c>
      <c r="R35" s="2666"/>
      <c r="S35" s="2667"/>
      <c r="T35" s="2668"/>
      <c r="U35" s="2668"/>
      <c r="V35" s="2668"/>
      <c r="X35" s="2668"/>
      <c r="Y35" s="2668"/>
      <c r="Z35" s="2668"/>
    </row>
    <row r="36" spans="1:26">
      <c r="A36" s="2655" t="s">
        <v>2597</v>
      </c>
      <c r="B36" s="2669">
        <f t="shared" ref="B36:C38" si="49">B35/(1+N35)</f>
        <v>254.44570563753314</v>
      </c>
      <c r="C36" s="2669">
        <f t="shared" si="49"/>
        <v>207.37543398705074</v>
      </c>
      <c r="D36" s="2669">
        <f t="shared" si="35"/>
        <v>207.37543398705074</v>
      </c>
      <c r="E36" s="2669">
        <f t="shared" ref="E36:F38" si="50">E35/(1+P35)</f>
        <v>352.81876655315932</v>
      </c>
      <c r="F36" s="2669">
        <f t="shared" si="50"/>
        <v>190.809968847352</v>
      </c>
      <c r="G36" s="3445">
        <v>2010</v>
      </c>
      <c r="H36" s="2680">
        <v>3</v>
      </c>
      <c r="I36" s="2680">
        <v>4.7300000000000004</v>
      </c>
      <c r="J36" s="2680">
        <v>3.9</v>
      </c>
      <c r="K36" s="2680">
        <v>5.03</v>
      </c>
      <c r="L36" s="2681">
        <v>4.21</v>
      </c>
      <c r="N36" s="2664">
        <f t="shared" si="37"/>
        <v>4.7300000000000002E-2</v>
      </c>
      <c r="O36" s="2665">
        <f t="shared" si="37"/>
        <v>3.9E-2</v>
      </c>
      <c r="P36" s="2665">
        <f t="shared" si="37"/>
        <v>5.0300000000000004E-2</v>
      </c>
      <c r="Q36" s="2665">
        <f t="shared" si="37"/>
        <v>4.2099999999999999E-2</v>
      </c>
      <c r="R36" s="2666"/>
      <c r="S36" s="2664"/>
      <c r="T36" s="2665"/>
      <c r="U36" s="2665"/>
      <c r="V36" s="2665"/>
    </row>
    <row r="37" spans="1:26">
      <c r="A37" s="2655" t="s">
        <v>2598</v>
      </c>
      <c r="B37" s="2669">
        <f t="shared" si="49"/>
        <v>242.95398227588385</v>
      </c>
      <c r="C37" s="2669">
        <f t="shared" si="49"/>
        <v>199.59137053614126</v>
      </c>
      <c r="D37" s="2669">
        <f t="shared" si="35"/>
        <v>199.59137053614126</v>
      </c>
      <c r="E37" s="2669">
        <f t="shared" si="50"/>
        <v>335.92189522342125</v>
      </c>
      <c r="F37" s="2669">
        <f t="shared" si="50"/>
        <v>183.10139991109489</v>
      </c>
      <c r="G37" s="3445">
        <v>2010</v>
      </c>
      <c r="H37" s="2660">
        <v>2</v>
      </c>
      <c r="I37" s="2660">
        <v>4.6900000000000004</v>
      </c>
      <c r="J37" s="2660">
        <v>3.55</v>
      </c>
      <c r="K37" s="2660">
        <v>5.07</v>
      </c>
      <c r="L37" s="2671">
        <v>4.2300000000000004</v>
      </c>
      <c r="N37" s="2664">
        <f t="shared" si="37"/>
        <v>4.6900000000000004E-2</v>
      </c>
      <c r="O37" s="2665">
        <f t="shared" si="37"/>
        <v>3.5499999999999997E-2</v>
      </c>
      <c r="P37" s="2665">
        <f t="shared" si="37"/>
        <v>5.0700000000000002E-2</v>
      </c>
      <c r="Q37" s="2665">
        <f t="shared" si="37"/>
        <v>4.2300000000000004E-2</v>
      </c>
      <c r="R37" s="2666"/>
      <c r="S37" s="2664"/>
      <c r="T37" s="2665"/>
      <c r="U37" s="2665"/>
      <c r="V37" s="2665"/>
    </row>
    <row r="38" spans="1:26" ht="13.5" thickBot="1">
      <c r="A38" s="2655" t="s">
        <v>2599</v>
      </c>
      <c r="B38" s="2669">
        <f t="shared" si="49"/>
        <v>232.06990378821649</v>
      </c>
      <c r="C38" s="2669">
        <f t="shared" si="49"/>
        <v>192.74878854286936</v>
      </c>
      <c r="D38" s="2669">
        <f t="shared" si="35"/>
        <v>192.74878854286936</v>
      </c>
      <c r="E38" s="2669">
        <f t="shared" si="50"/>
        <v>319.71247284992984</v>
      </c>
      <c r="F38" s="2669">
        <f t="shared" si="50"/>
        <v>175.67053622862409</v>
      </c>
      <c r="G38" s="3446">
        <v>2010</v>
      </c>
      <c r="H38" s="2659">
        <v>1</v>
      </c>
      <c r="I38" s="2659">
        <v>5.4</v>
      </c>
      <c r="J38" s="2659">
        <v>3.2</v>
      </c>
      <c r="K38" s="2659">
        <v>6.16</v>
      </c>
      <c r="L38" s="2670">
        <v>4.51</v>
      </c>
      <c r="N38" s="2664">
        <f t="shared" si="37"/>
        <v>5.4000000000000006E-2</v>
      </c>
      <c r="O38" s="2665">
        <f t="shared" si="37"/>
        <v>3.2000000000000001E-2</v>
      </c>
      <c r="P38" s="2665">
        <f t="shared" si="37"/>
        <v>6.1600000000000002E-2</v>
      </c>
      <c r="Q38" s="2665">
        <f t="shared" si="37"/>
        <v>4.5100000000000001E-2</v>
      </c>
      <c r="R38" s="2666"/>
      <c r="S38" s="2672">
        <f>B38/B39-1</f>
        <v>5.4863199037347599E-2</v>
      </c>
      <c r="T38" s="2673">
        <f>C38/C39-1</f>
        <v>3.0742184721226584E-2</v>
      </c>
      <c r="U38" s="2673">
        <f>E38/E39-1</f>
        <v>6.2167683886810154E-2</v>
      </c>
      <c r="V38" s="2673">
        <f>F38/F39-1</f>
        <v>4.5657953741810031E-2</v>
      </c>
      <c r="X38" s="2674"/>
      <c r="Y38" s="2674"/>
      <c r="Z38" s="2674"/>
    </row>
    <row r="39" spans="1:26" ht="13.5" thickBot="1">
      <c r="A39" s="2655" t="s">
        <v>2600</v>
      </c>
      <c r="B39" s="2661">
        <v>220</v>
      </c>
      <c r="C39" s="2661">
        <v>187</v>
      </c>
      <c r="D39" s="2661">
        <f t="shared" si="35"/>
        <v>187</v>
      </c>
      <c r="E39" s="2661">
        <v>301</v>
      </c>
      <c r="F39" s="2662">
        <v>168</v>
      </c>
      <c r="G39" s="3444">
        <v>2009</v>
      </c>
      <c r="H39" s="2675">
        <v>4</v>
      </c>
      <c r="I39" s="2675">
        <v>2.2999999999999998</v>
      </c>
      <c r="J39" s="2675">
        <v>1.04</v>
      </c>
      <c r="K39" s="2675">
        <v>2.84</v>
      </c>
      <c r="L39" s="2676">
        <v>0.67</v>
      </c>
      <c r="N39" s="2677">
        <f t="shared" si="37"/>
        <v>2.3E-2</v>
      </c>
      <c r="O39" s="2678">
        <f t="shared" si="37"/>
        <v>1.04E-2</v>
      </c>
      <c r="P39" s="2678">
        <f t="shared" si="37"/>
        <v>2.8399999999999998E-2</v>
      </c>
      <c r="Q39" s="2678">
        <f t="shared" si="37"/>
        <v>6.7000000000000002E-3</v>
      </c>
      <c r="R39" s="2666"/>
      <c r="S39" s="2667"/>
      <c r="T39" s="2668"/>
      <c r="U39" s="2668"/>
      <c r="V39" s="2668"/>
      <c r="X39" s="2668"/>
      <c r="Y39" s="2668"/>
      <c r="Z39" s="2668"/>
    </row>
    <row r="40" spans="1:26">
      <c r="A40" s="2655" t="s">
        <v>2601</v>
      </c>
      <c r="B40" s="2669">
        <f t="shared" ref="B40:C42" si="51">B39/(1+N39)</f>
        <v>215.05376344086022</v>
      </c>
      <c r="C40" s="2669">
        <f t="shared" si="51"/>
        <v>185.0752177355503</v>
      </c>
      <c r="D40" s="2669">
        <f t="shared" si="35"/>
        <v>185.0752177355503</v>
      </c>
      <c r="E40" s="2669">
        <f t="shared" ref="E40:F42" si="52">E39/(1+P39)</f>
        <v>292.68767016725008</v>
      </c>
      <c r="F40" s="2669">
        <f t="shared" si="52"/>
        <v>166.88189132810174</v>
      </c>
      <c r="G40" s="3445">
        <v>2009</v>
      </c>
      <c r="H40" s="2680">
        <v>3</v>
      </c>
      <c r="I40" s="2680">
        <v>2.1</v>
      </c>
      <c r="J40" s="2680">
        <v>1.86</v>
      </c>
      <c r="K40" s="2680">
        <v>2.29</v>
      </c>
      <c r="L40" s="2681">
        <v>0.85</v>
      </c>
      <c r="N40" s="2664">
        <f t="shared" si="37"/>
        <v>2.1000000000000001E-2</v>
      </c>
      <c r="O40" s="2682">
        <f t="shared" si="37"/>
        <v>1.8600000000000002E-2</v>
      </c>
      <c r="P40" s="2682">
        <f t="shared" si="37"/>
        <v>2.29E-2</v>
      </c>
      <c r="Q40" s="2682">
        <f t="shared" si="37"/>
        <v>8.5000000000000006E-3</v>
      </c>
      <c r="R40" s="2666"/>
      <c r="S40" s="2664"/>
      <c r="T40" s="2665"/>
      <c r="U40" s="2665"/>
      <c r="V40" s="2665"/>
    </row>
    <row r="41" spans="1:26">
      <c r="A41" s="2655" t="s">
        <v>2602</v>
      </c>
      <c r="B41" s="2669">
        <f t="shared" si="51"/>
        <v>210.630522469011</v>
      </c>
      <c r="C41" s="2669">
        <f t="shared" si="51"/>
        <v>181.69567812247232</v>
      </c>
      <c r="D41" s="2669">
        <f t="shared" si="35"/>
        <v>181.69567812247232</v>
      </c>
      <c r="E41" s="2669">
        <f t="shared" si="52"/>
        <v>286.13517466736738</v>
      </c>
      <c r="F41" s="2669">
        <f t="shared" si="52"/>
        <v>165.47535084591149</v>
      </c>
      <c r="G41" s="3445">
        <v>2009</v>
      </c>
      <c r="H41" s="2660">
        <v>2</v>
      </c>
      <c r="I41" s="2660">
        <v>0.86</v>
      </c>
      <c r="J41" s="2660">
        <v>-1.1299999999999999</v>
      </c>
      <c r="K41" s="2660">
        <v>1.79</v>
      </c>
      <c r="L41" s="2671">
        <v>-2.0699999999999998</v>
      </c>
      <c r="N41" s="2664">
        <f t="shared" si="37"/>
        <v>8.6E-3</v>
      </c>
      <c r="O41" s="2682">
        <f t="shared" si="37"/>
        <v>-1.1299999999999999E-2</v>
      </c>
      <c r="P41" s="2682">
        <f t="shared" si="37"/>
        <v>1.7899999999999999E-2</v>
      </c>
      <c r="Q41" s="2682">
        <f t="shared" si="37"/>
        <v>-2.07E-2</v>
      </c>
      <c r="R41" s="2666"/>
      <c r="S41" s="2664"/>
      <c r="T41" s="2665"/>
      <c r="U41" s="2665"/>
      <c r="V41" s="2665"/>
    </row>
    <row r="42" spans="1:26">
      <c r="A42" s="2655" t="s">
        <v>2603</v>
      </c>
      <c r="B42" s="2669">
        <f t="shared" si="51"/>
        <v>208.83454537875372</v>
      </c>
      <c r="C42" s="2669">
        <f t="shared" si="51"/>
        <v>183.77230517090351</v>
      </c>
      <c r="D42" s="2669">
        <f t="shared" si="35"/>
        <v>183.77230517090351</v>
      </c>
      <c r="E42" s="2669">
        <f t="shared" si="52"/>
        <v>281.10342338870947</v>
      </c>
      <c r="F42" s="2669">
        <f t="shared" si="52"/>
        <v>168.97309388942256</v>
      </c>
      <c r="G42" s="3446">
        <v>2009</v>
      </c>
      <c r="H42" s="2659">
        <v>1</v>
      </c>
      <c r="I42" s="2659">
        <v>-2.64</v>
      </c>
      <c r="J42" s="2659">
        <v>-2.5299999999999998</v>
      </c>
      <c r="K42" s="2659">
        <v>-3.02</v>
      </c>
      <c r="L42" s="2670">
        <v>1.52</v>
      </c>
      <c r="N42" s="2672">
        <f t="shared" si="37"/>
        <v>-2.64E-2</v>
      </c>
      <c r="O42" s="2673">
        <f t="shared" si="37"/>
        <v>-2.53E-2</v>
      </c>
      <c r="P42" s="2673">
        <f t="shared" si="37"/>
        <v>-3.0200000000000001E-2</v>
      </c>
      <c r="Q42" s="2673">
        <f t="shared" si="37"/>
        <v>1.52E-2</v>
      </c>
      <c r="R42" s="2666"/>
      <c r="S42" s="2672">
        <f>B42/B43-1</f>
        <v>-2.4137638417038754E-2</v>
      </c>
      <c r="T42" s="2673">
        <f>C42/C43-1</f>
        <v>-2.248773845264096E-2</v>
      </c>
      <c r="U42" s="2673">
        <f>E42/E43-1</f>
        <v>-2.7323794502735366E-2</v>
      </c>
      <c r="V42" s="2673">
        <f>F42/F43-1</f>
        <v>1.7910204153148035E-2</v>
      </c>
      <c r="X42" s="2674"/>
      <c r="Y42" s="2674"/>
      <c r="Z42" s="2674"/>
    </row>
    <row r="43" spans="1:26" ht="13.5" thickBot="1">
      <c r="A43" s="2655" t="s">
        <v>2604</v>
      </c>
      <c r="B43" s="2699">
        <v>214</v>
      </c>
      <c r="C43" s="2699">
        <v>188</v>
      </c>
      <c r="D43" s="2699">
        <f t="shared" si="35"/>
        <v>188</v>
      </c>
      <c r="E43" s="2699">
        <v>289</v>
      </c>
      <c r="F43" s="2700">
        <v>166</v>
      </c>
      <c r="G43" s="3444">
        <v>2008</v>
      </c>
      <c r="H43" s="2675">
        <v>4</v>
      </c>
      <c r="I43" s="2675">
        <v>1.73</v>
      </c>
      <c r="J43" s="2675">
        <v>0.03</v>
      </c>
      <c r="K43" s="2675">
        <v>2.59</v>
      </c>
      <c r="L43" s="2676">
        <v>-1.66</v>
      </c>
      <c r="N43" s="2664">
        <f t="shared" si="37"/>
        <v>1.7299999999999999E-2</v>
      </c>
      <c r="O43" s="2665">
        <f t="shared" si="37"/>
        <v>2.9999999999999997E-4</v>
      </c>
      <c r="P43" s="2665">
        <f t="shared" si="37"/>
        <v>2.5899999999999999E-2</v>
      </c>
      <c r="Q43" s="2665">
        <f t="shared" si="37"/>
        <v>-1.66E-2</v>
      </c>
      <c r="R43" s="2666"/>
      <c r="S43" s="2667"/>
      <c r="T43" s="2668"/>
      <c r="U43" s="2668"/>
      <c r="V43" s="2668"/>
      <c r="X43" s="2668"/>
      <c r="Y43" s="2668"/>
      <c r="Z43" s="2668"/>
    </row>
    <row r="44" spans="1:26">
      <c r="A44" s="2655" t="s">
        <v>2605</v>
      </c>
      <c r="B44" s="2669">
        <f t="shared" ref="B44:C46" si="53">B43/(1+N43)</f>
        <v>210.36075887152265</v>
      </c>
      <c r="C44" s="2669">
        <f t="shared" si="53"/>
        <v>187.94361691492554</v>
      </c>
      <c r="D44" s="2669">
        <f t="shared" si="35"/>
        <v>187.94361691492554</v>
      </c>
      <c r="E44" s="2669">
        <f t="shared" ref="E44:F46" si="54">E43/(1+P43)</f>
        <v>281.70386977288234</v>
      </c>
      <c r="F44" s="2669">
        <f t="shared" si="54"/>
        <v>168.80211511083994</v>
      </c>
      <c r="G44" s="3445">
        <v>2008</v>
      </c>
      <c r="H44" s="2680">
        <v>3</v>
      </c>
      <c r="I44" s="2680">
        <v>1.96</v>
      </c>
      <c r="J44" s="2680">
        <v>2.36</v>
      </c>
      <c r="K44" s="2680">
        <v>1.82</v>
      </c>
      <c r="L44" s="2681">
        <v>2.2200000000000002</v>
      </c>
      <c r="N44" s="2664">
        <f t="shared" si="37"/>
        <v>1.9599999999999999E-2</v>
      </c>
      <c r="O44" s="2665">
        <f t="shared" si="37"/>
        <v>2.3599999999999999E-2</v>
      </c>
      <c r="P44" s="2665">
        <f t="shared" si="37"/>
        <v>1.8200000000000001E-2</v>
      </c>
      <c r="Q44" s="2665">
        <f t="shared" si="37"/>
        <v>2.2200000000000001E-2</v>
      </c>
      <c r="R44" s="2666"/>
      <c r="S44" s="2664"/>
      <c r="T44" s="2665"/>
      <c r="U44" s="2665"/>
      <c r="V44" s="2665"/>
    </row>
    <row r="45" spans="1:26">
      <c r="A45" s="2655" t="s">
        <v>2606</v>
      </c>
      <c r="B45" s="2669">
        <f t="shared" si="53"/>
        <v>206.31694671589116</v>
      </c>
      <c r="C45" s="2669">
        <f t="shared" si="53"/>
        <v>183.61041121036101</v>
      </c>
      <c r="D45" s="2669">
        <f t="shared" si="35"/>
        <v>183.61041121036101</v>
      </c>
      <c r="E45" s="2669">
        <f t="shared" si="54"/>
        <v>276.66850301795557</v>
      </c>
      <c r="F45" s="2669">
        <f t="shared" si="54"/>
        <v>165.1360938278614</v>
      </c>
      <c r="G45" s="3445">
        <v>2008</v>
      </c>
      <c r="H45" s="2660">
        <v>2</v>
      </c>
      <c r="I45" s="2660">
        <v>4.93</v>
      </c>
      <c r="J45" s="2660">
        <v>7.38</v>
      </c>
      <c r="K45" s="2660">
        <v>3.98</v>
      </c>
      <c r="L45" s="2671">
        <v>6.86</v>
      </c>
      <c r="N45" s="2664">
        <f t="shared" si="37"/>
        <v>4.9299999999999997E-2</v>
      </c>
      <c r="O45" s="2665">
        <f t="shared" si="37"/>
        <v>7.3800000000000004E-2</v>
      </c>
      <c r="P45" s="2665">
        <f t="shared" si="37"/>
        <v>3.9800000000000002E-2</v>
      </c>
      <c r="Q45" s="2665">
        <f t="shared" si="37"/>
        <v>6.8600000000000008E-2</v>
      </c>
      <c r="R45" s="2666"/>
      <c r="S45" s="2664"/>
      <c r="T45" s="2665"/>
      <c r="U45" s="2665"/>
      <c r="V45" s="2665"/>
    </row>
    <row r="46" spans="1:26" s="2705" customFormat="1" ht="13.5" thickBot="1">
      <c r="A46" s="2655" t="s">
        <v>2607</v>
      </c>
      <c r="B46" s="2702">
        <f t="shared" si="53"/>
        <v>196.62341248059772</v>
      </c>
      <c r="C46" s="2702">
        <f t="shared" si="53"/>
        <v>170.99125648199012</v>
      </c>
      <c r="D46" s="2702">
        <f t="shared" si="35"/>
        <v>170.99125648199012</v>
      </c>
      <c r="E46" s="2702">
        <f t="shared" si="54"/>
        <v>266.07857570490052</v>
      </c>
      <c r="F46" s="2702">
        <f t="shared" si="54"/>
        <v>154.53499328828505</v>
      </c>
      <c r="G46" s="3446">
        <v>2008</v>
      </c>
      <c r="H46" s="2703">
        <v>1</v>
      </c>
      <c r="I46" s="2703">
        <v>4.1399999999999997</v>
      </c>
      <c r="J46" s="2703">
        <v>3.45</v>
      </c>
      <c r="K46" s="2703">
        <v>4.95</v>
      </c>
      <c r="L46" s="2704">
        <v>4.82</v>
      </c>
      <c r="N46" s="2706">
        <f t="shared" si="37"/>
        <v>4.1399999999999999E-2</v>
      </c>
      <c r="O46" s="2707">
        <f t="shared" si="37"/>
        <v>3.4500000000000003E-2</v>
      </c>
      <c r="P46" s="2707">
        <f t="shared" si="37"/>
        <v>4.9500000000000002E-2</v>
      </c>
      <c r="Q46" s="2707">
        <f t="shared" si="37"/>
        <v>4.82E-2</v>
      </c>
      <c r="R46" s="2708"/>
      <c r="S46" s="2706">
        <f>B46/B47-1</f>
        <v>4.5869215322328349E-2</v>
      </c>
      <c r="T46" s="2707">
        <f>C46/C47-1</f>
        <v>3.6310645345394743E-2</v>
      </c>
      <c r="U46" s="2707">
        <f>E46/E47-1</f>
        <v>4.7553447657088688E-2</v>
      </c>
      <c r="V46" s="2707">
        <f>F46/F47-1</f>
        <v>4.4155360055980086E-2</v>
      </c>
      <c r="X46" s="2709"/>
      <c r="Y46" s="2709"/>
      <c r="Z46" s="2709"/>
    </row>
    <row r="47" spans="1:26" ht="13.5" thickBot="1">
      <c r="A47" s="2655" t="s">
        <v>2608</v>
      </c>
      <c r="B47" s="2661">
        <v>188</v>
      </c>
      <c r="C47" s="2661">
        <v>165</v>
      </c>
      <c r="D47" s="2661">
        <f t="shared" si="35"/>
        <v>165</v>
      </c>
      <c r="E47" s="2661">
        <v>254</v>
      </c>
      <c r="F47" s="2662">
        <v>148</v>
      </c>
      <c r="G47" s="3444">
        <v>2007</v>
      </c>
      <c r="H47" s="2710">
        <v>4</v>
      </c>
      <c r="I47" s="2710">
        <v>5.51</v>
      </c>
      <c r="J47" s="2710">
        <v>4.8899999999999997</v>
      </c>
      <c r="K47" s="2710">
        <v>6.43</v>
      </c>
      <c r="L47" s="2711">
        <v>5.36</v>
      </c>
      <c r="N47" s="2712">
        <f t="shared" ref="N47:O50" si="55">B47/B48-1</f>
        <v>4.1339718365245526E-2</v>
      </c>
      <c r="O47" s="2713">
        <f t="shared" si="55"/>
        <v>4.0324492593776018E-2</v>
      </c>
      <c r="P47" s="2713">
        <f t="shared" ref="P47:Q50" si="56">E47/E48-1</f>
        <v>6.1625555347990968E-2</v>
      </c>
      <c r="Q47" s="2713">
        <f t="shared" si="56"/>
        <v>4.6757569250590603E-2</v>
      </c>
      <c r="R47" s="2666"/>
      <c r="S47" s="2667"/>
      <c r="T47" s="2668"/>
      <c r="U47" s="2668"/>
      <c r="V47" s="2668"/>
      <c r="X47" s="2668"/>
      <c r="Y47" s="2668"/>
      <c r="Z47" s="2668"/>
    </row>
    <row r="48" spans="1:26">
      <c r="A48" s="2655" t="s">
        <v>2609</v>
      </c>
      <c r="B48" s="2669">
        <f t="shared" ref="B48:C50" si="57">B49+(B$47-B$51)*I48/SUM(I$47:I$50)</f>
        <v>180.5366651097618</v>
      </c>
      <c r="C48" s="2669">
        <f t="shared" si="57"/>
        <v>158.60435967302453</v>
      </c>
      <c r="D48" s="2669">
        <f t="shared" si="35"/>
        <v>158.60435967302453</v>
      </c>
      <c r="E48" s="2669">
        <f t="shared" ref="E48:F50" si="58">E49+(E$47-E$51)*K48/SUM(K$47:K$50)</f>
        <v>239.25573260785075</v>
      </c>
      <c r="F48" s="2669">
        <f t="shared" si="58"/>
        <v>141.38899430740037</v>
      </c>
      <c r="G48" s="3445">
        <v>2007</v>
      </c>
      <c r="H48" s="2680">
        <v>3</v>
      </c>
      <c r="I48" s="2680">
        <v>8.65</v>
      </c>
      <c r="J48" s="2680">
        <v>8.06</v>
      </c>
      <c r="K48" s="2680">
        <v>9.94</v>
      </c>
      <c r="L48" s="2681">
        <v>5.8</v>
      </c>
      <c r="N48" s="2712">
        <f t="shared" si="55"/>
        <v>6.940217571740015E-2</v>
      </c>
      <c r="O48" s="2713">
        <f t="shared" si="55"/>
        <v>7.1197482471153428E-2</v>
      </c>
      <c r="P48" s="2713">
        <f t="shared" si="56"/>
        <v>0.10529679922579582</v>
      </c>
      <c r="Q48" s="2713">
        <f t="shared" si="56"/>
        <v>5.3292245059512133E-2</v>
      </c>
      <c r="R48" s="2666"/>
      <c r="S48" s="2664"/>
      <c r="T48" s="2665"/>
      <c r="U48" s="2665"/>
      <c r="V48" s="2665"/>
      <c r="X48" s="2714"/>
      <c r="Y48" s="2714"/>
      <c r="Z48" s="2714"/>
    </row>
    <row r="49" spans="1:26">
      <c r="A49" s="2655" t="s">
        <v>2610</v>
      </c>
      <c r="B49" s="2669">
        <f t="shared" si="57"/>
        <v>168.82017748715555</v>
      </c>
      <c r="C49" s="2669">
        <f t="shared" si="57"/>
        <v>148.06267029972753</v>
      </c>
      <c r="D49" s="2669">
        <f t="shared" si="35"/>
        <v>148.06267029972753</v>
      </c>
      <c r="E49" s="2669">
        <f t="shared" si="58"/>
        <v>216.46288379323747</v>
      </c>
      <c r="F49" s="2669">
        <f t="shared" si="58"/>
        <v>134.23529411764704</v>
      </c>
      <c r="G49" s="3445">
        <v>2007</v>
      </c>
      <c r="H49" s="2660">
        <v>2</v>
      </c>
      <c r="I49" s="2660">
        <v>3.67</v>
      </c>
      <c r="J49" s="2660">
        <v>2.3199999999999998</v>
      </c>
      <c r="K49" s="2660">
        <v>5.0199999999999996</v>
      </c>
      <c r="L49" s="2671">
        <v>6.71</v>
      </c>
      <c r="N49" s="2712">
        <f t="shared" si="55"/>
        <v>3.0339138143848032E-2</v>
      </c>
      <c r="O49" s="2713">
        <f t="shared" si="55"/>
        <v>2.0922341588790472E-2</v>
      </c>
      <c r="P49" s="2713">
        <f t="shared" si="56"/>
        <v>5.6164796592717003E-2</v>
      </c>
      <c r="Q49" s="2713">
        <f t="shared" si="56"/>
        <v>6.5704536723887319E-2</v>
      </c>
      <c r="R49" s="2666"/>
      <c r="S49" s="2664"/>
      <c r="T49" s="2665"/>
      <c r="U49" s="2665"/>
      <c r="V49" s="2665"/>
      <c r="X49" s="2714"/>
      <c r="Y49" s="2714"/>
      <c r="Z49" s="2714"/>
    </row>
    <row r="50" spans="1:26">
      <c r="A50" s="2655" t="s">
        <v>2611</v>
      </c>
      <c r="B50" s="2669">
        <f t="shared" si="57"/>
        <v>163.84913591779542</v>
      </c>
      <c r="C50" s="2669">
        <f t="shared" si="57"/>
        <v>145.0283378746594</v>
      </c>
      <c r="D50" s="2669">
        <f t="shared" si="35"/>
        <v>145.0283378746594</v>
      </c>
      <c r="E50" s="2669">
        <f t="shared" si="58"/>
        <v>204.95180722891567</v>
      </c>
      <c r="F50" s="2669">
        <f t="shared" si="58"/>
        <v>125.95920303605313</v>
      </c>
      <c r="G50" s="3446">
        <v>2007</v>
      </c>
      <c r="H50" s="2659">
        <v>1</v>
      </c>
      <c r="I50" s="2659">
        <v>3.58</v>
      </c>
      <c r="J50" s="2659">
        <v>3.08</v>
      </c>
      <c r="K50" s="2659">
        <v>4.34</v>
      </c>
      <c r="L50" s="2670">
        <v>3.21</v>
      </c>
      <c r="N50" s="2715">
        <f t="shared" si="55"/>
        <v>3.0497710174814063E-2</v>
      </c>
      <c r="O50" s="2716">
        <f t="shared" si="55"/>
        <v>2.8569772160704998E-2</v>
      </c>
      <c r="P50" s="2716">
        <f t="shared" si="56"/>
        <v>5.1034908866234296E-2</v>
      </c>
      <c r="Q50" s="2716">
        <f t="shared" si="56"/>
        <v>3.245248390207478E-2</v>
      </c>
      <c r="R50" s="2666"/>
      <c r="S50" s="2672">
        <f>B50/B51-1</f>
        <v>3.0497710174814063E-2</v>
      </c>
      <c r="T50" s="2673">
        <f>C50/C51-1</f>
        <v>2.8569772160704998E-2</v>
      </c>
      <c r="U50" s="2673">
        <f>E50/E51-1</f>
        <v>5.1034908866234296E-2</v>
      </c>
      <c r="V50" s="2673">
        <f>F50/F51-1</f>
        <v>3.245248390207478E-2</v>
      </c>
      <c r="X50" s="2714"/>
      <c r="Y50" s="2714"/>
      <c r="Z50" s="2714"/>
    </row>
    <row r="51" spans="1:26" ht="13.5" thickBot="1">
      <c r="A51" s="2655" t="s">
        <v>2612</v>
      </c>
      <c r="B51" s="2683">
        <v>159</v>
      </c>
      <c r="C51" s="2683">
        <v>141</v>
      </c>
      <c r="D51" s="2683">
        <f t="shared" si="35"/>
        <v>141</v>
      </c>
      <c r="E51" s="2683">
        <v>195</v>
      </c>
      <c r="F51" s="2684">
        <v>122</v>
      </c>
      <c r="G51" s="3444">
        <v>2006</v>
      </c>
      <c r="H51" s="2675">
        <v>4</v>
      </c>
      <c r="I51" s="2675">
        <v>3.79</v>
      </c>
      <c r="J51" s="2675">
        <v>2.21</v>
      </c>
      <c r="K51" s="2675">
        <v>5.65</v>
      </c>
      <c r="L51" s="2676">
        <v>5.41</v>
      </c>
      <c r="N51" s="2712">
        <f t="shared" ref="N51:O54" si="59">I51/SUM(I$51:I$54)*(B$51/B$55-1)</f>
        <v>7.245466462748526E-2</v>
      </c>
      <c r="O51" s="2713">
        <f t="shared" si="59"/>
        <v>2.3237230038062766E-2</v>
      </c>
      <c r="P51" s="2713">
        <f t="shared" ref="P51:Q54" si="60">K51/SUM(K$51:K$54)*(E$51/E$55-1)</f>
        <v>0.16146893866323722</v>
      </c>
      <c r="Q51" s="2713">
        <f t="shared" si="60"/>
        <v>5.0755230321793784E-2</v>
      </c>
      <c r="R51" s="2666"/>
      <c r="S51" s="2667"/>
      <c r="T51" s="2668"/>
      <c r="U51" s="2668"/>
      <c r="V51" s="2668"/>
      <c r="X51" s="2714"/>
      <c r="Y51" s="2714"/>
      <c r="Z51" s="2714"/>
    </row>
    <row r="52" spans="1:26">
      <c r="A52" s="2655" t="s">
        <v>2613</v>
      </c>
      <c r="B52" s="2669">
        <f t="shared" ref="B52:C54" si="61">B53+(B$51-B$55)*I52/SUM(I$51:I$54)</f>
        <v>149.00125628140702</v>
      </c>
      <c r="C52" s="2669">
        <f t="shared" si="61"/>
        <v>137.95592286501378</v>
      </c>
      <c r="D52" s="2669">
        <f t="shared" si="35"/>
        <v>137.95592286501378</v>
      </c>
      <c r="E52" s="2669">
        <f t="shared" ref="E52:F54" si="62">E53+(E$51-E$55)*K52/SUM(K$51:K$54)</f>
        <v>169.97231450719823</v>
      </c>
      <c r="F52" s="2669">
        <f t="shared" si="62"/>
        <v>116.21390374331551</v>
      </c>
      <c r="G52" s="3445">
        <v>2006</v>
      </c>
      <c r="H52" s="2680">
        <v>3</v>
      </c>
      <c r="I52" s="2680">
        <v>0.92</v>
      </c>
      <c r="J52" s="2680">
        <v>1.08</v>
      </c>
      <c r="K52" s="2680">
        <v>0.73</v>
      </c>
      <c r="L52" s="2681">
        <v>1.08</v>
      </c>
      <c r="N52" s="2712">
        <f t="shared" si="59"/>
        <v>1.7587939698492462E-2</v>
      </c>
      <c r="O52" s="2713">
        <f t="shared" si="59"/>
        <v>1.1355750425840628E-2</v>
      </c>
      <c r="P52" s="2713">
        <f t="shared" si="60"/>
        <v>2.0862358446754544E-2</v>
      </c>
      <c r="Q52" s="2713">
        <f t="shared" si="60"/>
        <v>1.0132282578103011E-2</v>
      </c>
      <c r="R52" s="2666"/>
      <c r="S52" s="2664"/>
      <c r="T52" s="2665"/>
      <c r="U52" s="2665"/>
      <c r="V52" s="2665"/>
      <c r="X52" s="2714"/>
      <c r="Y52" s="2714"/>
      <c r="Z52" s="2714"/>
    </row>
    <row r="53" spans="1:26">
      <c r="A53" s="2655" t="s">
        <v>2614</v>
      </c>
      <c r="B53" s="2669">
        <f t="shared" si="61"/>
        <v>146.57412060301507</v>
      </c>
      <c r="C53" s="2669">
        <f t="shared" si="61"/>
        <v>136.46831955922866</v>
      </c>
      <c r="D53" s="2669">
        <f t="shared" si="35"/>
        <v>136.46831955922866</v>
      </c>
      <c r="E53" s="2669">
        <f t="shared" si="62"/>
        <v>166.73864894795128</v>
      </c>
      <c r="F53" s="2669">
        <f t="shared" si="62"/>
        <v>115.05882352941177</v>
      </c>
      <c r="G53" s="3445">
        <v>2006</v>
      </c>
      <c r="H53" s="2660">
        <v>2</v>
      </c>
      <c r="I53" s="2660">
        <v>0.96</v>
      </c>
      <c r="J53" s="2660">
        <v>0.25</v>
      </c>
      <c r="K53" s="2660">
        <v>1.9</v>
      </c>
      <c r="L53" s="2671">
        <v>0.95</v>
      </c>
      <c r="N53" s="2712">
        <f t="shared" si="59"/>
        <v>1.8352632728861701E-2</v>
      </c>
      <c r="O53" s="2713">
        <f t="shared" si="59"/>
        <v>2.6286459319075526E-3</v>
      </c>
      <c r="P53" s="2713">
        <f t="shared" si="60"/>
        <v>5.4299289107991269E-2</v>
      </c>
      <c r="Q53" s="2713">
        <f t="shared" si="60"/>
        <v>8.9126559714794995E-3</v>
      </c>
      <c r="R53" s="2666"/>
      <c r="S53" s="2664"/>
      <c r="T53" s="2665"/>
      <c r="U53" s="2665"/>
      <c r="V53" s="2665"/>
      <c r="X53" s="2714"/>
      <c r="Y53" s="2714"/>
      <c r="Z53" s="2714"/>
    </row>
    <row r="54" spans="1:26">
      <c r="A54" s="2655" t="s">
        <v>2615</v>
      </c>
      <c r="B54" s="2669">
        <f t="shared" si="61"/>
        <v>144.04145728643215</v>
      </c>
      <c r="C54" s="2669">
        <f t="shared" si="61"/>
        <v>136.12396694214877</v>
      </c>
      <c r="D54" s="2669">
        <f t="shared" si="35"/>
        <v>136.12396694214877</v>
      </c>
      <c r="E54" s="2669">
        <f t="shared" si="62"/>
        <v>158.32225913621264</v>
      </c>
      <c r="F54" s="2669">
        <f t="shared" si="62"/>
        <v>114.04278074866311</v>
      </c>
      <c r="G54" s="3446">
        <v>2006</v>
      </c>
      <c r="H54" s="2659">
        <v>1</v>
      </c>
      <c r="I54" s="2659">
        <v>2.29</v>
      </c>
      <c r="J54" s="2659">
        <v>3.72</v>
      </c>
      <c r="K54" s="2659">
        <v>0.75</v>
      </c>
      <c r="L54" s="2670">
        <v>0.04</v>
      </c>
      <c r="N54" s="2715">
        <f t="shared" si="59"/>
        <v>4.3778675988638847E-2</v>
      </c>
      <c r="O54" s="2716">
        <f t="shared" si="59"/>
        <v>3.9114251466784385E-2</v>
      </c>
      <c r="P54" s="2716">
        <f t="shared" si="60"/>
        <v>2.1433929911049188E-2</v>
      </c>
      <c r="Q54" s="2716">
        <f t="shared" si="60"/>
        <v>3.7526972511492629E-4</v>
      </c>
      <c r="R54" s="2666"/>
      <c r="S54" s="2672">
        <f>B54/B55-1</f>
        <v>4.3778675988638716E-2</v>
      </c>
      <c r="T54" s="2673">
        <f>C54/C55-1</f>
        <v>3.91142514667846E-2</v>
      </c>
      <c r="U54" s="2673">
        <f>E54/E55-1</f>
        <v>2.143392991104931E-2</v>
      </c>
      <c r="V54" s="2673">
        <f>F54/F55-1</f>
        <v>3.7526972511492396E-4</v>
      </c>
      <c r="X54" s="2714"/>
      <c r="Y54" s="2714"/>
      <c r="Z54" s="2714"/>
    </row>
    <row r="55" spans="1:26" ht="13.5" thickBot="1">
      <c r="A55" s="2655" t="s">
        <v>2616</v>
      </c>
      <c r="B55" s="2683">
        <v>138</v>
      </c>
      <c r="C55" s="2683">
        <v>131</v>
      </c>
      <c r="D55" s="2683">
        <f t="shared" si="35"/>
        <v>131</v>
      </c>
      <c r="E55" s="2683">
        <v>155</v>
      </c>
      <c r="F55" s="2684">
        <v>114</v>
      </c>
      <c r="G55" s="3444">
        <v>2005</v>
      </c>
      <c r="H55" s="2675">
        <v>4</v>
      </c>
      <c r="I55" s="2675">
        <v>3.29</v>
      </c>
      <c r="J55" s="2675">
        <v>1.44</v>
      </c>
      <c r="K55" s="2675">
        <v>0.66</v>
      </c>
      <c r="L55" s="2676">
        <v>7.78</v>
      </c>
      <c r="N55" s="2712">
        <f t="shared" ref="N55:O58" si="63">I55/SUM(I$55:I$58)*(B$55/B$59-1)</f>
        <v>9.9404603216919935E-2</v>
      </c>
      <c r="O55" s="2713">
        <f t="shared" si="63"/>
        <v>4.7636550760861554E-2</v>
      </c>
      <c r="P55" s="2713">
        <f t="shared" ref="P55:Q58" si="64">K55/SUM(K$55:K$58)*(E$55/E$59-1)</f>
        <v>8.3756345177664976E-2</v>
      </c>
      <c r="Q55" s="2713">
        <f t="shared" si="64"/>
        <v>5.2148766661559584E-2</v>
      </c>
      <c r="R55" s="2666"/>
      <c r="S55" s="2667"/>
      <c r="T55" s="2668"/>
      <c r="U55" s="2668"/>
      <c r="V55" s="2668"/>
      <c r="X55" s="2714"/>
      <c r="Y55" s="2714"/>
      <c r="Z55" s="2714"/>
    </row>
    <row r="56" spans="1:26">
      <c r="A56" s="2655" t="s">
        <v>2617</v>
      </c>
      <c r="B56" s="2669">
        <f t="shared" ref="B56:C58" si="65">B57+(B$55-B$59)*I56/SUM(I$55:I$58)</f>
        <v>125.9720430107527</v>
      </c>
      <c r="C56" s="2669">
        <f t="shared" si="65"/>
        <v>125.1883408071749</v>
      </c>
      <c r="D56" s="2669">
        <f t="shared" si="35"/>
        <v>125.1883408071749</v>
      </c>
      <c r="E56" s="2669">
        <f t="shared" ref="E56:F58" si="66">E57+(E$55-E$59)*K56/SUM(K$55:K$58)</f>
        <v>144.61421319796952</v>
      </c>
      <c r="F56" s="2669">
        <f t="shared" si="66"/>
        <v>108.42008196721311</v>
      </c>
      <c r="G56" s="3445">
        <v>2005</v>
      </c>
      <c r="H56" s="2680">
        <v>3</v>
      </c>
      <c r="I56" s="2680">
        <v>0.46</v>
      </c>
      <c r="J56" s="2680">
        <v>0.32</v>
      </c>
      <c r="K56" s="2680">
        <v>0.42</v>
      </c>
      <c r="L56" s="2681">
        <v>0.64</v>
      </c>
      <c r="N56" s="2712">
        <f t="shared" si="63"/>
        <v>1.3898515951301874E-2</v>
      </c>
      <c r="O56" s="2713">
        <f t="shared" si="63"/>
        <v>1.0585900169080346E-2</v>
      </c>
      <c r="P56" s="2713">
        <f t="shared" si="64"/>
        <v>5.3299492385786795E-2</v>
      </c>
      <c r="Q56" s="2713">
        <f t="shared" si="64"/>
        <v>4.2898728359123568E-3</v>
      </c>
      <c r="R56" s="2666"/>
      <c r="S56" s="2664"/>
      <c r="T56" s="2665"/>
      <c r="U56" s="2665"/>
      <c r="V56" s="2665"/>
      <c r="X56" s="2714"/>
      <c r="Y56" s="2714"/>
      <c r="Z56" s="2714"/>
    </row>
    <row r="57" spans="1:26">
      <c r="A57" s="2655" t="s">
        <v>2618</v>
      </c>
      <c r="B57" s="2669">
        <f t="shared" si="65"/>
        <v>124.29032258064517</v>
      </c>
      <c r="C57" s="2669">
        <f t="shared" si="65"/>
        <v>123.8968609865471</v>
      </c>
      <c r="D57" s="2669">
        <f t="shared" si="35"/>
        <v>123.8968609865471</v>
      </c>
      <c r="E57" s="2669">
        <f t="shared" si="66"/>
        <v>138.00507614213197</v>
      </c>
      <c r="F57" s="2669">
        <f t="shared" si="66"/>
        <v>107.96106557377048</v>
      </c>
      <c r="G57" s="3445">
        <v>2005</v>
      </c>
      <c r="H57" s="2660">
        <v>2</v>
      </c>
      <c r="I57" s="2660">
        <v>0.47</v>
      </c>
      <c r="J57" s="2660">
        <v>0.1</v>
      </c>
      <c r="K57" s="2660">
        <v>0.52</v>
      </c>
      <c r="L57" s="2671">
        <v>0.79</v>
      </c>
      <c r="N57" s="2712">
        <f t="shared" si="63"/>
        <v>1.420065760241713E-2</v>
      </c>
      <c r="O57" s="2713">
        <f t="shared" si="63"/>
        <v>3.3080938028376083E-3</v>
      </c>
      <c r="P57" s="2713">
        <f t="shared" si="64"/>
        <v>6.598984771573603E-2</v>
      </c>
      <c r="Q57" s="2713">
        <f t="shared" si="64"/>
        <v>5.2953117818293153E-3</v>
      </c>
      <c r="R57" s="2666"/>
      <c r="S57" s="2664"/>
      <c r="T57" s="2665"/>
      <c r="U57" s="2665"/>
      <c r="V57" s="2665"/>
      <c r="X57" s="2714"/>
      <c r="Y57" s="2714"/>
      <c r="Z57" s="2714"/>
    </row>
    <row r="58" spans="1:26">
      <c r="A58" s="2655" t="s">
        <v>2619</v>
      </c>
      <c r="B58" s="2669">
        <f t="shared" si="65"/>
        <v>122.57204301075269</v>
      </c>
      <c r="C58" s="2669">
        <f t="shared" si="65"/>
        <v>123.4932735426009</v>
      </c>
      <c r="D58" s="2669">
        <f t="shared" si="35"/>
        <v>123.4932735426009</v>
      </c>
      <c r="E58" s="2669">
        <f t="shared" si="66"/>
        <v>129.82233502538071</v>
      </c>
      <c r="F58" s="2669">
        <f t="shared" si="66"/>
        <v>107.39446721311475</v>
      </c>
      <c r="G58" s="3446">
        <v>2005</v>
      </c>
      <c r="H58" s="2659">
        <v>1</v>
      </c>
      <c r="I58" s="2659">
        <v>0.43</v>
      </c>
      <c r="J58" s="2659">
        <v>0.37</v>
      </c>
      <c r="K58" s="2659">
        <v>0.37</v>
      </c>
      <c r="L58" s="2670">
        <v>0.55000000000000004</v>
      </c>
      <c r="N58" s="2715">
        <f t="shared" si="63"/>
        <v>1.2992090997956099E-2</v>
      </c>
      <c r="O58" s="2716">
        <f t="shared" si="63"/>
        <v>1.2239947070499151E-2</v>
      </c>
      <c r="P58" s="2716">
        <f t="shared" si="64"/>
        <v>4.6954314720812178E-2</v>
      </c>
      <c r="Q58" s="2716">
        <f t="shared" si="64"/>
        <v>3.6866094683621815E-3</v>
      </c>
      <c r="R58" s="2666"/>
      <c r="S58" s="2672">
        <f>B58/B59-1</f>
        <v>1.2992090997956174E-2</v>
      </c>
      <c r="T58" s="2673">
        <f>C58/C59-1</f>
        <v>1.2239947070499246E-2</v>
      </c>
      <c r="U58" s="2673">
        <f>E58/E59-1</f>
        <v>4.695431472081224E-2</v>
      </c>
      <c r="V58" s="2673">
        <f>F58/F59-1</f>
        <v>3.6866094683620787E-3</v>
      </c>
      <c r="X58" s="2714"/>
      <c r="Y58" s="2714"/>
      <c r="Z58" s="2714"/>
    </row>
    <row r="59" spans="1:26" ht="13.5" thickBot="1">
      <c r="A59" s="2655" t="s">
        <v>2620</v>
      </c>
      <c r="B59" s="2699">
        <v>121</v>
      </c>
      <c r="C59" s="2699">
        <v>122</v>
      </c>
      <c r="D59" s="2699">
        <f t="shared" si="35"/>
        <v>122</v>
      </c>
      <c r="E59" s="2699">
        <v>124</v>
      </c>
      <c r="F59" s="2700">
        <v>107</v>
      </c>
      <c r="G59" s="3444">
        <v>2004</v>
      </c>
      <c r="H59" s="2675">
        <v>4</v>
      </c>
      <c r="I59" s="2675">
        <v>0.33</v>
      </c>
      <c r="J59" s="2675">
        <v>0.5</v>
      </c>
      <c r="K59" s="2675">
        <v>0.5</v>
      </c>
      <c r="L59" s="2676">
        <v>0</v>
      </c>
      <c r="N59" s="2712">
        <f t="shared" ref="N59:O62" si="67">I59/SUM(I$59:I$62)*(B$59/B$63-1)</f>
        <v>1.3391770148526898E-2</v>
      </c>
      <c r="O59" s="2713">
        <f t="shared" si="67"/>
        <v>1.063264221158958E-2</v>
      </c>
      <c r="P59" s="2713">
        <f t="shared" ref="P59:Q62" si="68">K59/SUM(K$59:K$62)*(E$59/E$63-1)</f>
        <v>2.2244466688911134E-2</v>
      </c>
      <c r="Q59" s="2713">
        <f t="shared" si="68"/>
        <v>0</v>
      </c>
      <c r="R59" s="2666"/>
      <c r="S59" s="2667"/>
      <c r="T59" s="2668"/>
      <c r="U59" s="2668"/>
      <c r="V59" s="2668"/>
      <c r="X59" s="2714"/>
      <c r="Y59" s="2714"/>
      <c r="Z59" s="2714"/>
    </row>
    <row r="60" spans="1:26">
      <c r="A60" s="2655" t="s">
        <v>2621</v>
      </c>
      <c r="B60" s="2669">
        <f t="shared" ref="B60:C62" si="69">B61+(B$59-B$63)*I60/SUM(I$59:I$62)</f>
        <v>119.51351351351352</v>
      </c>
      <c r="C60" s="2669">
        <f t="shared" si="69"/>
        <v>120.7878787878788</v>
      </c>
      <c r="D60" s="2669">
        <f t="shared" si="35"/>
        <v>120.7878787878788</v>
      </c>
      <c r="E60" s="2669">
        <f t="shared" ref="E60:F62" si="70">E61+(E$59-E$63)*K60/SUM(K$59:K$62)</f>
        <v>121.5975975975976</v>
      </c>
      <c r="F60" s="2669">
        <f t="shared" si="70"/>
        <v>107</v>
      </c>
      <c r="G60" s="3445">
        <v>2004</v>
      </c>
      <c r="H60" s="2680">
        <v>3</v>
      </c>
      <c r="I60" s="2680">
        <v>0.56000000000000005</v>
      </c>
      <c r="J60" s="2680">
        <v>0.8</v>
      </c>
      <c r="K60" s="2680">
        <v>0.83</v>
      </c>
      <c r="L60" s="2681">
        <v>0.06</v>
      </c>
      <c r="N60" s="2712">
        <f t="shared" si="67"/>
        <v>2.2725428130833527E-2</v>
      </c>
      <c r="O60" s="2713">
        <f t="shared" si="67"/>
        <v>1.7012227538543329E-2</v>
      </c>
      <c r="P60" s="2713">
        <f t="shared" si="68"/>
        <v>3.6925814703592477E-2</v>
      </c>
      <c r="Q60" s="2713">
        <f t="shared" si="68"/>
        <v>2.8846153846153744E-2</v>
      </c>
      <c r="R60" s="2666"/>
      <c r="S60" s="2664"/>
      <c r="T60" s="2665"/>
      <c r="U60" s="2665"/>
      <c r="V60" s="2665"/>
      <c r="X60" s="2714"/>
      <c r="Y60" s="2714"/>
      <c r="Z60" s="2714"/>
    </row>
    <row r="61" spans="1:26">
      <c r="A61" s="2655" t="s">
        <v>2622</v>
      </c>
      <c r="B61" s="2669">
        <f t="shared" si="69"/>
        <v>116.99099099099099</v>
      </c>
      <c r="C61" s="2669">
        <f t="shared" si="69"/>
        <v>118.84848484848486</v>
      </c>
      <c r="D61" s="2669">
        <f t="shared" si="35"/>
        <v>118.84848484848486</v>
      </c>
      <c r="E61" s="2669">
        <f t="shared" si="70"/>
        <v>117.60960960960961</v>
      </c>
      <c r="F61" s="2669">
        <f t="shared" si="70"/>
        <v>104</v>
      </c>
      <c r="G61" s="3445">
        <v>2004</v>
      </c>
      <c r="H61" s="2660">
        <v>2</v>
      </c>
      <c r="I61" s="2660">
        <v>1</v>
      </c>
      <c r="J61" s="2660">
        <v>1.5</v>
      </c>
      <c r="K61" s="2660">
        <v>1.5</v>
      </c>
      <c r="L61" s="2671">
        <v>0</v>
      </c>
      <c r="N61" s="2712">
        <f t="shared" si="67"/>
        <v>4.0581121662202721E-2</v>
      </c>
      <c r="O61" s="2713">
        <f t="shared" si="67"/>
        <v>3.1897926634768738E-2</v>
      </c>
      <c r="P61" s="2713">
        <f t="shared" si="68"/>
        <v>6.6733400066733395E-2</v>
      </c>
      <c r="Q61" s="2713">
        <f t="shared" si="68"/>
        <v>0</v>
      </c>
      <c r="R61" s="2666"/>
      <c r="S61" s="2664"/>
      <c r="T61" s="2665"/>
      <c r="U61" s="2665"/>
      <c r="V61" s="2665"/>
      <c r="X61" s="2714"/>
      <c r="Y61" s="2714"/>
      <c r="Z61" s="2714"/>
    </row>
    <row r="62" spans="1:26" s="2705" customFormat="1" ht="13.5" thickBot="1">
      <c r="A62" s="2655" t="s">
        <v>2623</v>
      </c>
      <c r="B62" s="2702">
        <f t="shared" si="69"/>
        <v>112.48648648648648</v>
      </c>
      <c r="C62" s="2702">
        <f t="shared" si="69"/>
        <v>115.21212121212122</v>
      </c>
      <c r="D62" s="2702">
        <f t="shared" si="35"/>
        <v>115.21212121212122</v>
      </c>
      <c r="E62" s="2702">
        <f t="shared" si="70"/>
        <v>110.4024024024024</v>
      </c>
      <c r="F62" s="2702">
        <f t="shared" si="70"/>
        <v>104</v>
      </c>
      <c r="G62" s="3446">
        <v>2004</v>
      </c>
      <c r="H62" s="2703">
        <v>1</v>
      </c>
      <c r="I62" s="2703">
        <v>0.33</v>
      </c>
      <c r="J62" s="2703">
        <v>0.5</v>
      </c>
      <c r="K62" s="2703">
        <v>0.5</v>
      </c>
      <c r="L62" s="2704">
        <v>0</v>
      </c>
      <c r="N62" s="2717">
        <f t="shared" si="67"/>
        <v>1.3391770148526898E-2</v>
      </c>
      <c r="O62" s="2718">
        <f t="shared" si="67"/>
        <v>1.063264221158958E-2</v>
      </c>
      <c r="P62" s="2718">
        <f t="shared" si="68"/>
        <v>2.2244466688911134E-2</v>
      </c>
      <c r="Q62" s="2718">
        <f t="shared" si="68"/>
        <v>0</v>
      </c>
      <c r="R62" s="2708"/>
      <c r="S62" s="2706">
        <f>B62/B63-1</f>
        <v>1.3391770148526883E-2</v>
      </c>
      <c r="T62" s="2707">
        <f>C62/C63-1</f>
        <v>1.063264221158966E-2</v>
      </c>
      <c r="U62" s="2707">
        <f>E62/E63-1</f>
        <v>2.2244466688911224E-2</v>
      </c>
      <c r="V62" s="2707">
        <f>F62/F63-1</f>
        <v>0</v>
      </c>
      <c r="X62" s="2719"/>
      <c r="Y62" s="2719"/>
      <c r="Z62" s="2719"/>
    </row>
    <row r="63" spans="1:26" ht="13.5" thickBot="1">
      <c r="A63" s="2655" t="s">
        <v>2624</v>
      </c>
      <c r="B63" s="2720">
        <v>111</v>
      </c>
      <c r="C63" s="2720">
        <v>114</v>
      </c>
      <c r="D63" s="2720">
        <f t="shared" si="35"/>
        <v>114</v>
      </c>
      <c r="E63" s="2720">
        <v>108</v>
      </c>
      <c r="F63" s="2721">
        <v>104</v>
      </c>
      <c r="G63" s="3444">
        <v>2003</v>
      </c>
      <c r="H63" s="2710">
        <v>4</v>
      </c>
      <c r="I63" s="2722"/>
      <c r="J63" s="2722"/>
      <c r="K63" s="2722"/>
      <c r="L63" s="2722"/>
      <c r="N63" s="2723"/>
      <c r="O63" s="2722"/>
      <c r="P63" s="2722"/>
      <c r="Q63" s="2722"/>
      <c r="S63" s="2723"/>
      <c r="T63" s="2722"/>
      <c r="U63" s="2722"/>
      <c r="V63" s="2722"/>
      <c r="X63" s="2714"/>
      <c r="Y63" s="2714"/>
      <c r="Z63" s="2714"/>
    </row>
    <row r="64" spans="1:26">
      <c r="A64" s="2655" t="s">
        <v>2625</v>
      </c>
      <c r="B64" s="2724">
        <f t="shared" ref="B64:C66" si="71">B65+(B$63-B$67)/4</f>
        <v>109.75</v>
      </c>
      <c r="C64" s="2724">
        <f t="shared" si="71"/>
        <v>112.25</v>
      </c>
      <c r="D64" s="2724">
        <f t="shared" si="35"/>
        <v>112.25</v>
      </c>
      <c r="E64" s="2724">
        <f t="shared" ref="E64:F66" si="72">E65+(E$63-E$67)/4</f>
        <v>107.25</v>
      </c>
      <c r="F64" s="2724">
        <f t="shared" si="72"/>
        <v>103.5</v>
      </c>
      <c r="G64" s="3445">
        <v>2003</v>
      </c>
      <c r="H64" s="2680">
        <v>3</v>
      </c>
      <c r="I64" s="2722"/>
      <c r="J64" s="2722"/>
      <c r="K64" s="2722"/>
      <c r="L64" s="2722"/>
      <c r="X64" s="2714"/>
      <c r="Y64" s="2714"/>
      <c r="Z64" s="2714"/>
    </row>
    <row r="65" spans="1:26">
      <c r="A65" s="2655" t="s">
        <v>2626</v>
      </c>
      <c r="B65" s="2724">
        <f t="shared" si="71"/>
        <v>108.5</v>
      </c>
      <c r="C65" s="2724">
        <f t="shared" si="71"/>
        <v>110.5</v>
      </c>
      <c r="D65" s="2724">
        <f t="shared" si="35"/>
        <v>110.5</v>
      </c>
      <c r="E65" s="2724">
        <f t="shared" si="72"/>
        <v>106.5</v>
      </c>
      <c r="F65" s="2724">
        <f t="shared" si="72"/>
        <v>103</v>
      </c>
      <c r="G65" s="3445">
        <v>2003</v>
      </c>
      <c r="H65" s="2660">
        <v>2</v>
      </c>
      <c r="I65" s="2722"/>
      <c r="J65" s="2722"/>
      <c r="K65" s="2722"/>
      <c r="L65" s="2722"/>
      <c r="X65" s="2714"/>
      <c r="Y65" s="2714"/>
      <c r="Z65" s="2714"/>
    </row>
    <row r="66" spans="1:26" ht="13.5" thickBot="1">
      <c r="A66" s="2655" t="s">
        <v>2627</v>
      </c>
      <c r="B66" s="2724">
        <f t="shared" si="71"/>
        <v>107.25</v>
      </c>
      <c r="C66" s="2724">
        <f t="shared" si="71"/>
        <v>108.75</v>
      </c>
      <c r="D66" s="2724">
        <f t="shared" si="35"/>
        <v>108.75</v>
      </c>
      <c r="E66" s="2724">
        <f t="shared" si="72"/>
        <v>105.75</v>
      </c>
      <c r="F66" s="2724">
        <f t="shared" si="72"/>
        <v>102.5</v>
      </c>
      <c r="G66" s="3446">
        <v>2003</v>
      </c>
      <c r="H66" s="2725">
        <v>1</v>
      </c>
      <c r="I66" s="2722"/>
      <c r="J66" s="2722"/>
      <c r="K66" s="2722"/>
      <c r="L66" s="2722"/>
      <c r="S66" s="2664"/>
      <c r="T66" s="2665"/>
      <c r="U66" s="2665"/>
      <c r="X66" s="2714"/>
      <c r="Y66" s="2714"/>
      <c r="Z66" s="2714"/>
    </row>
    <row r="67" spans="1:26" ht="13.5" thickBot="1">
      <c r="A67" s="2655" t="s">
        <v>2628</v>
      </c>
      <c r="B67" s="2726">
        <v>106</v>
      </c>
      <c r="C67" s="2726">
        <v>107</v>
      </c>
      <c r="D67" s="2726">
        <f t="shared" si="35"/>
        <v>107</v>
      </c>
      <c r="E67" s="2726">
        <v>105</v>
      </c>
      <c r="F67" s="2727">
        <v>102</v>
      </c>
      <c r="G67" s="3444">
        <v>2002</v>
      </c>
      <c r="H67" s="2675">
        <v>4</v>
      </c>
      <c r="I67" s="2722"/>
      <c r="J67" s="2722"/>
      <c r="K67" s="2722"/>
      <c r="L67" s="2722"/>
      <c r="N67" s="2723"/>
      <c r="O67" s="2722"/>
      <c r="P67" s="2722"/>
      <c r="Q67" s="2722"/>
      <c r="S67" s="2723"/>
      <c r="T67" s="2722"/>
      <c r="U67" s="2722"/>
      <c r="V67" s="2722"/>
      <c r="X67" s="2714"/>
      <c r="Y67" s="2714"/>
      <c r="Z67" s="2714"/>
    </row>
    <row r="68" spans="1:26">
      <c r="A68" s="2655" t="s">
        <v>2629</v>
      </c>
      <c r="B68" s="2724">
        <f t="shared" ref="B68:C70" si="73">B69+(B$67-B$71)/4</f>
        <v>105</v>
      </c>
      <c r="C68" s="2724">
        <f t="shared" si="73"/>
        <v>106</v>
      </c>
      <c r="D68" s="2724">
        <f t="shared" si="35"/>
        <v>106</v>
      </c>
      <c r="E68" s="2724">
        <f t="shared" ref="E68:F70" si="74">E69+(E$67-E$71)/4</f>
        <v>104.5</v>
      </c>
      <c r="F68" s="2724">
        <f t="shared" si="74"/>
        <v>101.5</v>
      </c>
      <c r="G68" s="3445">
        <v>2002</v>
      </c>
      <c r="H68" s="2680">
        <v>3</v>
      </c>
      <c r="I68" s="2722"/>
      <c r="J68" s="2722"/>
      <c r="K68" s="2722"/>
      <c r="L68" s="2722"/>
      <c r="X68" s="2714"/>
      <c r="Y68" s="2714"/>
      <c r="Z68" s="2714"/>
    </row>
    <row r="69" spans="1:26">
      <c r="A69" s="2655" t="s">
        <v>2630</v>
      </c>
      <c r="B69" s="2724">
        <f t="shared" si="73"/>
        <v>104</v>
      </c>
      <c r="C69" s="2724">
        <f t="shared" si="73"/>
        <v>105</v>
      </c>
      <c r="D69" s="2724">
        <f t="shared" si="35"/>
        <v>105</v>
      </c>
      <c r="E69" s="2724">
        <f t="shared" si="74"/>
        <v>104</v>
      </c>
      <c r="F69" s="2724">
        <f t="shared" si="74"/>
        <v>101</v>
      </c>
      <c r="G69" s="3445">
        <v>2002</v>
      </c>
      <c r="H69" s="2660">
        <v>2</v>
      </c>
      <c r="I69" s="2722"/>
      <c r="J69" s="2722"/>
      <c r="K69" s="2722"/>
      <c r="L69" s="2722"/>
      <c r="X69" s="2714"/>
      <c r="Y69" s="2714"/>
      <c r="Z69" s="2714"/>
    </row>
    <row r="70" spans="1:26" s="2691" customFormat="1" ht="13.5" thickBot="1">
      <c r="A70" s="2687" t="s">
        <v>2631</v>
      </c>
      <c r="B70" s="2728">
        <f t="shared" si="73"/>
        <v>103</v>
      </c>
      <c r="C70" s="2728">
        <f t="shared" si="73"/>
        <v>104</v>
      </c>
      <c r="D70" s="2728">
        <f t="shared" si="35"/>
        <v>104</v>
      </c>
      <c r="E70" s="2728">
        <f t="shared" si="74"/>
        <v>103.5</v>
      </c>
      <c r="F70" s="2728">
        <f t="shared" si="74"/>
        <v>100.5</v>
      </c>
      <c r="G70" s="3446">
        <v>2002</v>
      </c>
      <c r="H70" s="2729">
        <v>1</v>
      </c>
      <c r="I70" s="2730"/>
      <c r="J70" s="2730"/>
      <c r="K70" s="2730"/>
      <c r="L70" s="2730"/>
      <c r="N70" s="2731"/>
      <c r="S70" s="2731"/>
      <c r="X70" s="2732"/>
      <c r="Y70" s="2732"/>
      <c r="Z70" s="2732"/>
    </row>
    <row r="71" spans="1:26" ht="13.5" thickBot="1">
      <c r="B71" s="2733">
        <v>102</v>
      </c>
      <c r="C71" s="2734">
        <v>103</v>
      </c>
      <c r="D71" s="2734">
        <f t="shared" si="35"/>
        <v>103</v>
      </c>
      <c r="E71" s="2734">
        <v>103</v>
      </c>
      <c r="F71" s="2735">
        <v>100</v>
      </c>
      <c r="I71" s="2722"/>
      <c r="J71" s="2722"/>
      <c r="K71" s="2722"/>
      <c r="L71" s="2722"/>
      <c r="N71" s="2723"/>
      <c r="O71" s="2722"/>
      <c r="P71" s="2722"/>
      <c r="Q71" s="2722"/>
      <c r="S71" s="2723"/>
      <c r="T71" s="2722"/>
      <c r="U71" s="2722"/>
      <c r="V71" s="2722"/>
      <c r="X71" s="2668"/>
      <c r="Y71" s="2668"/>
      <c r="Z71" s="2668"/>
    </row>
    <row r="73" spans="1:26" s="2737" customFormat="1">
      <c r="A73" s="2736" t="s">
        <v>2632</v>
      </c>
      <c r="G73" s="2738"/>
      <c r="N73" s="2738"/>
      <c r="S73" s="2738"/>
    </row>
    <row r="74" spans="1:26" s="2737" customFormat="1">
      <c r="A74" s="2737" t="s">
        <v>2633</v>
      </c>
      <c r="G74" s="2738"/>
      <c r="N74" s="2738"/>
      <c r="S74" s="2738"/>
    </row>
    <row r="75" spans="1:26" s="2737" customFormat="1">
      <c r="A75" s="2737" t="s">
        <v>2634</v>
      </c>
      <c r="G75" s="2738"/>
      <c r="I75" s="2739"/>
      <c r="J75" s="2739"/>
      <c r="K75" s="2739"/>
      <c r="L75" s="2739"/>
      <c r="N75" s="2740"/>
      <c r="O75" s="2739"/>
      <c r="P75" s="2739"/>
      <c r="Q75" s="2739"/>
      <c r="S75" s="2740"/>
      <c r="T75" s="2739"/>
      <c r="U75" s="2739"/>
      <c r="V75" s="2739"/>
    </row>
    <row r="76" spans="1:26" s="2737" customFormat="1">
      <c r="A76" s="2737" t="s">
        <v>2635</v>
      </c>
      <c r="G76" s="2738"/>
      <c r="N76" s="2738"/>
      <c r="S76" s="2738"/>
    </row>
    <row r="83" spans="7:22" ht="13.5" thickBot="1"/>
    <row r="84" spans="7:22">
      <c r="G84" s="2663"/>
      <c r="S84" s="2741" t="s">
        <v>2636</v>
      </c>
      <c r="T84" s="2742" t="s">
        <v>2637</v>
      </c>
      <c r="U84" s="2742" t="s">
        <v>2638</v>
      </c>
      <c r="V84" s="2742" t="s">
        <v>2639</v>
      </c>
    </row>
    <row r="85" spans="7:22">
      <c r="G85" s="2663"/>
      <c r="N85" s="2667"/>
      <c r="O85" s="2668"/>
      <c r="P85" s="2668"/>
      <c r="Q85" s="2668"/>
      <c r="S85" s="2743">
        <v>2006</v>
      </c>
      <c r="T85" s="2744">
        <v>15.1</v>
      </c>
      <c r="U85" s="2744">
        <v>7.43</v>
      </c>
      <c r="V85" s="2744">
        <v>26.26</v>
      </c>
    </row>
    <row r="86" spans="7:22">
      <c r="G86" s="2663"/>
      <c r="N86" s="2667"/>
      <c r="O86" s="2668"/>
      <c r="P86" s="2668"/>
      <c r="Q86" s="2668"/>
      <c r="S86" s="2746">
        <v>2005</v>
      </c>
      <c r="T86" s="2745">
        <v>13.9</v>
      </c>
      <c r="U86" s="2745">
        <v>7.49</v>
      </c>
      <c r="V86" s="2745">
        <v>24.92</v>
      </c>
    </row>
    <row r="87" spans="7:22">
      <c r="G87" s="2663"/>
      <c r="N87" s="2667"/>
      <c r="O87" s="2668"/>
      <c r="P87" s="2668"/>
      <c r="Q87" s="2668"/>
      <c r="S87" s="2743">
        <v>2004</v>
      </c>
      <c r="T87" s="2744">
        <v>9.48</v>
      </c>
      <c r="U87" s="2744">
        <v>7.2</v>
      </c>
      <c r="V87" s="2744">
        <v>14.68</v>
      </c>
    </row>
    <row r="88" spans="7:22">
      <c r="G88" s="2663"/>
      <c r="N88" s="2667"/>
      <c r="O88" s="2668"/>
      <c r="P88" s="2668"/>
      <c r="Q88" s="2668"/>
      <c r="S88" s="2746">
        <v>2003</v>
      </c>
      <c r="T88" s="2745">
        <v>4.5</v>
      </c>
      <c r="U88" s="2745">
        <v>6.12</v>
      </c>
      <c r="V88" s="2745">
        <v>2.34</v>
      </c>
    </row>
    <row r="89" spans="7:22" ht="13.5" thickBot="1">
      <c r="G89" s="2663"/>
      <c r="N89" s="2667"/>
      <c r="O89" s="2668"/>
      <c r="P89" s="2668"/>
      <c r="Q89" s="2668"/>
      <c r="S89" s="2747">
        <v>2002</v>
      </c>
      <c r="T89" s="2748">
        <v>3.59</v>
      </c>
      <c r="U89" s="2748">
        <v>4.54</v>
      </c>
      <c r="V89" s="2748">
        <v>2.5499999999999998</v>
      </c>
    </row>
    <row r="90" spans="7:22">
      <c r="G90" s="2663"/>
      <c r="N90" s="2667"/>
      <c r="O90" s="2668"/>
      <c r="P90" s="2668"/>
      <c r="Q90" s="2668"/>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c r="S100" s="2663"/>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1724</v>
      </c>
      <c r="B1" s="737"/>
      <c r="C1" s="772"/>
      <c r="D1" s="3123" t="s">
        <v>950</v>
      </c>
      <c r="E1" s="2387" t="s">
        <v>2375</v>
      </c>
      <c r="F1" s="2388">
        <f ca="1">J53</f>
        <v>0</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1725</v>
      </c>
      <c r="B2" s="774" t="e">
        <f ca="1">C40+J29+L46</f>
        <v>#DIV/0!</v>
      </c>
      <c r="C2" s="2057"/>
      <c r="D2" s="2055"/>
      <c r="E2" s="2056"/>
      <c r="F2" s="2056"/>
      <c r="G2" s="1589"/>
      <c r="H2" s="2057"/>
      <c r="I2" s="2057"/>
      <c r="J2" s="2057"/>
      <c r="K2" s="2058"/>
      <c r="L2" s="2057"/>
      <c r="M2" s="2057"/>
    </row>
    <row r="3" spans="1:33" ht="18" customHeight="1" thickBot="1">
      <c r="A3" s="832" t="s">
        <v>1726</v>
      </c>
      <c r="B3" s="833">
        <f ca="1">IF(ISERROR(B2*10000/F43),0,ROUND(B2*10000/F43,0))</f>
        <v>0</v>
      </c>
      <c r="C3" s="2057"/>
      <c r="D3" s="2055"/>
      <c r="E3" s="2056"/>
      <c r="F3" s="2056"/>
      <c r="G3" s="1589"/>
      <c r="H3" s="775" t="s">
        <v>693</v>
      </c>
      <c r="I3" s="1361"/>
      <c r="J3" s="1361"/>
      <c r="K3" s="1590"/>
      <c r="L3" s="1361"/>
      <c r="M3" s="1361"/>
    </row>
    <row r="4" spans="1:33" ht="18" customHeight="1">
      <c r="A4" s="776" t="s">
        <v>1727</v>
      </c>
      <c r="B4" s="777" t="s">
        <v>1728</v>
      </c>
      <c r="C4" s="777" t="s">
        <v>1729</v>
      </c>
      <c r="D4" s="777" t="s">
        <v>631</v>
      </c>
      <c r="E4" s="778" t="s">
        <v>1730</v>
      </c>
      <c r="F4" s="779"/>
      <c r="G4" s="1591"/>
      <c r="H4" s="776" t="s">
        <v>1731</v>
      </c>
      <c r="I4" s="777" t="s">
        <v>1732</v>
      </c>
      <c r="J4" s="777" t="s">
        <v>1733</v>
      </c>
      <c r="K4" s="777" t="s">
        <v>1734</v>
      </c>
      <c r="L4" s="778" t="s">
        <v>1735</v>
      </c>
      <c r="M4" s="779"/>
    </row>
    <row r="5" spans="1:33" ht="18" customHeight="1">
      <c r="A5" s="780">
        <v>1</v>
      </c>
      <c r="B5" s="781" t="s">
        <v>2459</v>
      </c>
      <c r="C5" s="54">
        <f ca="1">C6+C10+C12</f>
        <v>0</v>
      </c>
      <c r="D5" s="2496" t="s">
        <v>2462</v>
      </c>
      <c r="E5" s="2490"/>
      <c r="F5" s="2491"/>
      <c r="G5" s="1591"/>
      <c r="H5" s="780">
        <v>1</v>
      </c>
      <c r="I5" s="781" t="s">
        <v>2459</v>
      </c>
      <c r="J5" s="54">
        <f ca="1">J6+J10+J12</f>
        <v>0</v>
      </c>
      <c r="K5" s="2496" t="s">
        <v>2462</v>
      </c>
      <c r="L5" s="2490"/>
      <c r="M5" s="2491"/>
    </row>
    <row r="6" spans="1:33" ht="18" customHeight="1">
      <c r="A6" s="1830" t="s">
        <v>1823</v>
      </c>
      <c r="B6" s="3435" t="s">
        <v>2464</v>
      </c>
      <c r="C6" s="782">
        <f ca="1">ROUND(F6*F8*F7*(1-F9)/10000,0)</f>
        <v>0</v>
      </c>
      <c r="D6" s="2497" t="s">
        <v>2463</v>
      </c>
      <c r="E6" s="783" t="s">
        <v>1737</v>
      </c>
      <c r="F6" s="784">
        <f ca="1">INDIRECT("'数据-取费表'!u"&amp;$G$1)</f>
        <v>0</v>
      </c>
      <c r="G6" s="1591"/>
      <c r="H6" s="2504" t="s">
        <v>2469</v>
      </c>
      <c r="I6" s="3435" t="s">
        <v>2464</v>
      </c>
      <c r="J6" s="782">
        <f ca="1">ROUND(M6*M8*M7*(1-M9)/10000,0)</f>
        <v>0</v>
      </c>
      <c r="K6" s="340" t="s">
        <v>1736</v>
      </c>
      <c r="L6" s="783" t="s">
        <v>1737</v>
      </c>
      <c r="M6" s="784">
        <f ca="1">INDIRECT("'数据-取费表'!z"&amp;$G$1)</f>
        <v>0</v>
      </c>
    </row>
    <row r="7" spans="1:33" ht="18" customHeight="1">
      <c r="A7" s="2500"/>
      <c r="B7" s="3436"/>
      <c r="C7" s="787"/>
      <c r="D7" s="788"/>
      <c r="E7" s="783" t="s">
        <v>1738</v>
      </c>
      <c r="F7" s="784">
        <f ca="1">IF(INDIRECT("'数据-取费表'!ah"&amp;$G$1)="",INDIRECT("'数据-取费表'!k"&amp;$G$1),INDIRECT("'数据-取费表'!ah"&amp;$G$1))</f>
        <v>0</v>
      </c>
      <c r="G7" s="1591"/>
      <c r="H7" s="2489"/>
      <c r="I7" s="3436"/>
      <c r="J7" s="787"/>
      <c r="K7" s="788"/>
      <c r="L7" s="783" t="s">
        <v>1738</v>
      </c>
      <c r="M7" s="784">
        <f ca="1">F7</f>
        <v>0</v>
      </c>
    </row>
    <row r="8" spans="1:33" ht="18" customHeight="1">
      <c r="A8" s="2493"/>
      <c r="B8" s="3437"/>
      <c r="C8" s="787"/>
      <c r="D8" s="788"/>
      <c r="E8" s="783" t="s">
        <v>1739</v>
      </c>
      <c r="F8" s="784">
        <f ca="1">INDIRECT("'数据-取费表'!ai"&amp;$G$1)</f>
        <v>0</v>
      </c>
      <c r="G8" s="1591"/>
      <c r="H8" s="2489"/>
      <c r="I8" s="3437"/>
      <c r="J8" s="787"/>
      <c r="K8" s="788"/>
      <c r="L8" s="783" t="s">
        <v>1739</v>
      </c>
      <c r="M8" s="784">
        <f ca="1">INDIRECT("'数据-取费表'!ai"&amp;$G$1)</f>
        <v>0</v>
      </c>
    </row>
    <row r="9" spans="1:33" ht="18" customHeight="1">
      <c r="A9" s="785"/>
      <c r="B9" s="3438"/>
      <c r="C9" s="787"/>
      <c r="D9" s="788"/>
      <c r="E9" s="783" t="s">
        <v>1740</v>
      </c>
      <c r="F9" s="793">
        <f ca="1">INDIRECT("'数据-取费表'!w"&amp;$G$1)</f>
        <v>0</v>
      </c>
      <c r="G9" s="1591"/>
      <c r="H9" s="2505"/>
      <c r="I9" s="3437"/>
      <c r="J9" s="787"/>
      <c r="K9" s="788"/>
      <c r="L9" s="794" t="s">
        <v>1740</v>
      </c>
      <c r="M9" s="795">
        <f ca="1">INDIRECT("'数据-取费表'!ab"&amp;$G$1)</f>
        <v>0</v>
      </c>
    </row>
    <row r="10" spans="1:33" ht="18" customHeight="1">
      <c r="A10" s="1830" t="s">
        <v>2467</v>
      </c>
      <c r="B10" s="2494" t="s">
        <v>2460</v>
      </c>
      <c r="C10" s="798">
        <f ca="1">ROUND(IF(F10="押一",C6/12*F11,IF(F10="押二",C6/12*2*F11,IF(F10="押三",C6/12*3*F11,C11*F11))),0)</f>
        <v>0</v>
      </c>
      <c r="D10" s="2501" t="s">
        <v>2975</v>
      </c>
      <c r="E10" s="2498" t="s">
        <v>2465</v>
      </c>
      <c r="F10" s="2621"/>
      <c r="G10" s="1591"/>
      <c r="H10" s="2561" t="s">
        <v>2470</v>
      </c>
      <c r="I10" s="2566" t="s">
        <v>2460</v>
      </c>
      <c r="J10" s="782">
        <f ca="1">ROUND(IF(M10="押一",J6/12*M11,IF(M10="押二",J6/12*2*M11,IF(M10="押三",J6/12*3*M11,J11*M11))),0)</f>
        <v>0</v>
      </c>
      <c r="K10" s="2501" t="s">
        <v>2975</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1741</v>
      </c>
      <c r="C13" s="791">
        <f ca="1">ROUND(C29*F13,0)</f>
        <v>0</v>
      </c>
      <c r="D13" s="1834" t="s">
        <v>2298</v>
      </c>
      <c r="E13" s="1834" t="s">
        <v>1743</v>
      </c>
      <c r="F13" s="2536">
        <f ca="1">INDIRECT("'数据-取费表'!y"&amp;$G$1)</f>
        <v>0</v>
      </c>
      <c r="G13" s="1591"/>
      <c r="H13" s="1829">
        <v>2</v>
      </c>
      <c r="I13" s="1827" t="s">
        <v>1741</v>
      </c>
      <c r="J13" s="1819">
        <f ca="1">ROUND(J14*J15,0)</f>
        <v>0</v>
      </c>
      <c r="K13" s="1821" t="s">
        <v>1742</v>
      </c>
      <c r="L13" s="2552"/>
      <c r="M13" s="2553"/>
    </row>
    <row r="14" spans="1:33" ht="18" customHeight="1">
      <c r="A14" s="1647" t="s">
        <v>1883</v>
      </c>
      <c r="B14" s="783" t="s">
        <v>643</v>
      </c>
      <c r="C14" s="803">
        <f ca="1">INDIRECT("'数据-取费表'!m"&amp;$G$1)+INDIRECT("'数据-取费表'!t"&amp;$G$1)</f>
        <v>0</v>
      </c>
      <c r="D14" s="1979" t="s">
        <v>1744</v>
      </c>
      <c r="E14" s="1980"/>
      <c r="F14" s="804"/>
      <c r="G14" s="1591"/>
      <c r="H14" s="1648" t="s">
        <v>1829</v>
      </c>
      <c r="I14" s="2231" t="s">
        <v>2827</v>
      </c>
      <c r="J14" s="52">
        <f ca="1">C29</f>
        <v>0</v>
      </c>
      <c r="K14" s="25"/>
      <c r="L14" s="800"/>
      <c r="M14" s="801"/>
    </row>
    <row r="15" spans="1:33" s="2064" customFormat="1" ht="18" customHeight="1" thickBot="1">
      <c r="A15" s="1647" t="s">
        <v>1884</v>
      </c>
      <c r="B15" s="783" t="s">
        <v>645</v>
      </c>
      <c r="C15" s="52">
        <f ca="1">ROUND(C14*F15,0)</f>
        <v>0</v>
      </c>
      <c r="D15" s="805" t="s">
        <v>1745</v>
      </c>
      <c r="E15" s="805" t="s">
        <v>1746</v>
      </c>
      <c r="F15" s="806">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3" t="s">
        <v>648</v>
      </c>
      <c r="C16" s="52">
        <f ca="1">ROUND(INDIRECT("'数据-取费表'!m"&amp;$G$1)*F16,0)</f>
        <v>0</v>
      </c>
      <c r="D16" s="783" t="s">
        <v>1745</v>
      </c>
      <c r="E16" s="783" t="s">
        <v>1746</v>
      </c>
      <c r="F16" s="808">
        <f ca="1">IF(INDIRECT("'数据-取费表'!c"&amp;$G$1)="住宅",'数据-取费表'!B34,0)</f>
        <v>0</v>
      </c>
      <c r="G16" s="1591"/>
      <c r="H16" s="1829" t="s">
        <v>1747</v>
      </c>
      <c r="I16" s="1827" t="s">
        <v>1748</v>
      </c>
      <c r="J16" s="791">
        <f ca="1">ROUND(J17+J22+J23+J24,0)</f>
        <v>0</v>
      </c>
      <c r="K16" s="1821" t="s">
        <v>1749</v>
      </c>
      <c r="L16" s="2486"/>
      <c r="M16" s="2491"/>
    </row>
    <row r="17" spans="1:33" s="2064" customFormat="1" ht="18" customHeight="1">
      <c r="A17" s="1647" t="s">
        <v>1886</v>
      </c>
      <c r="B17" s="783" t="s">
        <v>651</v>
      </c>
      <c r="C17" s="52">
        <f ca="1">ROUND(F17*(F43+INDIRECT("'数据-取费表'!S"&amp;$G$1))/10000,0)</f>
        <v>0</v>
      </c>
      <c r="D17" s="783" t="s">
        <v>1750</v>
      </c>
      <c r="E17" s="783" t="s">
        <v>1751</v>
      </c>
      <c r="F17" s="55">
        <f>'数据-取费表'!B35</f>
        <v>200</v>
      </c>
      <c r="G17" s="1592"/>
      <c r="H17" s="1648" t="s">
        <v>1829</v>
      </c>
      <c r="I17" s="783" t="s">
        <v>654</v>
      </c>
      <c r="J17" s="52">
        <f ca="1">ROUND(IF(项目基本情况!B11="自然人",J5*M17,J18+J19+J20),0)</f>
        <v>0</v>
      </c>
      <c r="K17" s="2485" t="s">
        <v>1752</v>
      </c>
      <c r="L17" s="2484" t="s">
        <v>1753</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3" t="s">
        <v>657</v>
      </c>
      <c r="C18" s="52">
        <f ca="1">ROUND(C14*F18,0)</f>
        <v>0</v>
      </c>
      <c r="D18" s="783" t="s">
        <v>1745</v>
      </c>
      <c r="E18" s="783" t="s">
        <v>1746</v>
      </c>
      <c r="F18" s="808">
        <f>'数据-取费表'!B36</f>
        <v>1.4999999999999999E-2</v>
      </c>
      <c r="G18" s="1592"/>
      <c r="H18" s="1647" t="s">
        <v>1883</v>
      </c>
      <c r="I18" s="783" t="s">
        <v>1754</v>
      </c>
      <c r="J18" s="52">
        <f ca="1">ROUND(J5*M18/1.05,1)</f>
        <v>0</v>
      </c>
      <c r="K18" s="2484" t="s">
        <v>1755</v>
      </c>
      <c r="L18" s="783" t="s">
        <v>1746</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3" t="s">
        <v>660</v>
      </c>
      <c r="C19" s="52">
        <f ca="1">SUM(C14:C18)</f>
        <v>0</v>
      </c>
      <c r="D19" s="260" t="s">
        <v>1756</v>
      </c>
      <c r="E19" s="1982"/>
      <c r="F19" s="55"/>
      <c r="G19" s="1591"/>
      <c r="H19" s="1647" t="s">
        <v>1884</v>
      </c>
      <c r="I19" s="783" t="s">
        <v>1757</v>
      </c>
      <c r="J19" s="52">
        <f ca="1">IF(K19="按租金收入计税",ROUND(J5*M19,1),ROUND(C29*F33*0.7,1))</f>
        <v>0</v>
      </c>
      <c r="K19" s="810" t="s">
        <v>663</v>
      </c>
      <c r="L19" s="783" t="s">
        <v>1746</v>
      </c>
      <c r="M19" s="808">
        <f>IF(K19="按租金收入计税",'数据-取费表'!B51,'数据-取费表'!B50)</f>
        <v>1.2E-2</v>
      </c>
    </row>
    <row r="20" spans="1:33" s="2064" customFormat="1" ht="18" customHeight="1">
      <c r="A20" s="1648" t="s">
        <v>1888</v>
      </c>
      <c r="B20" s="783" t="s">
        <v>664</v>
      </c>
      <c r="C20" s="52">
        <f ca="1">ROUND(C19*F20,0)</f>
        <v>0</v>
      </c>
      <c r="D20" s="811" t="s">
        <v>1758</v>
      </c>
      <c r="E20" s="783" t="s">
        <v>1746</v>
      </c>
      <c r="F20" s="808">
        <f>'数据-取费表'!B37</f>
        <v>0.02</v>
      </c>
      <c r="G20" s="1592"/>
      <c r="H20" s="1650" t="s">
        <v>1879</v>
      </c>
      <c r="I20" s="340" t="s">
        <v>1759</v>
      </c>
      <c r="J20" s="53">
        <f ca="1">ROUND(M20*M21/10000,0)</f>
        <v>0</v>
      </c>
      <c r="K20" s="813" t="s">
        <v>1760</v>
      </c>
      <c r="L20" s="783" t="s">
        <v>1761</v>
      </c>
      <c r="M20" s="639">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3" t="s">
        <v>1762</v>
      </c>
      <c r="C21" s="52" t="s">
        <v>1763</v>
      </c>
      <c r="D21" s="811" t="s">
        <v>2299</v>
      </c>
      <c r="E21" s="783" t="s">
        <v>1764</v>
      </c>
      <c r="F21" s="808">
        <f>'数据-取费表'!B38</f>
        <v>1.4999999999999999E-2</v>
      </c>
      <c r="G21" s="1592"/>
      <c r="H21" s="2506"/>
      <c r="I21" s="792"/>
      <c r="J21" s="68"/>
      <c r="K21" s="815"/>
      <c r="L21" s="783" t="s">
        <v>1765</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3" t="s">
        <v>1766</v>
      </c>
      <c r="C22" s="52"/>
      <c r="D22" s="2572" t="str">
        <f>IF(F23&lt;=1,"单利计息。","复利计息。")&amp;"建造成本、管理费用、销售费用产生的利息。"</f>
        <v>复利计息。建造成本、管理费用、销售费用产生的利息。</v>
      </c>
      <c r="E22" s="1982"/>
      <c r="F22" s="55"/>
      <c r="G22" s="1591"/>
      <c r="H22" s="1648" t="s">
        <v>1888</v>
      </c>
      <c r="I22" s="783" t="s">
        <v>1767</v>
      </c>
      <c r="J22" s="52">
        <f ca="1">ROUND(J14*M22,0)</f>
        <v>0</v>
      </c>
      <c r="K22" s="2484" t="s">
        <v>1768</v>
      </c>
      <c r="L22" s="783" t="s">
        <v>1746</v>
      </c>
      <c r="M22" s="816">
        <f ca="1">INDIRECT("'数据-取费表'!Ak"&amp;$G$1)</f>
        <v>0</v>
      </c>
    </row>
    <row r="23" spans="1:33" s="2064" customFormat="1" ht="18" customHeight="1">
      <c r="A23" s="1647" t="s">
        <v>1830</v>
      </c>
      <c r="B23" s="783" t="s">
        <v>2536</v>
      </c>
      <c r="C23" s="52">
        <f ca="1">ROUND(IF('数据-取费表'!B22&lt;=1,(C19+C20)*F24*F23/2,(C19+C20)*(POWER((1+F24),F23/2)-1)),0)</f>
        <v>0</v>
      </c>
      <c r="D23" s="2571" t="str">
        <f>IF(F23&lt;=1,"(建造成本+管理费用)×利率×(建设周期÷2)","(建造成本+管理费用)×((1+利率)^(建设周期÷2)-1)")</f>
        <v>(建造成本+管理费用)×((1+利率)^(建设周期÷2)-1)</v>
      </c>
      <c r="E23" s="783" t="s">
        <v>1769</v>
      </c>
      <c r="F23" s="639">
        <f>'数据-取费表'!B20</f>
        <v>2</v>
      </c>
      <c r="G23" s="1592"/>
      <c r="H23" s="1648" t="s">
        <v>1889</v>
      </c>
      <c r="I23" s="783" t="s">
        <v>677</v>
      </c>
      <c r="J23" s="52">
        <f ca="1">ROUND(J13*M23,0)</f>
        <v>0</v>
      </c>
      <c r="K23" s="2484" t="s">
        <v>1770</v>
      </c>
      <c r="L23" s="783" t="s">
        <v>1746</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3" t="s">
        <v>1771</v>
      </c>
      <c r="C24" s="52">
        <f ca="1">ROUND(IF('数据-取费表'!B22&lt;=1,F21*F24*F23/2,F21*(POWER((1+F24),F23/2)-1)),4)</f>
        <v>6.9999999999999999E-4</v>
      </c>
      <c r="D24" s="2571" t="str">
        <f>IF(F23&lt;=1,"销售费用×利率×(建设周期÷2)","销售费用×((1+利率)^(建设周期÷2)-1)")</f>
        <v>销售费用×((1+利率)^(建设周期÷2)-1)</v>
      </c>
      <c r="E24" s="783" t="s">
        <v>1772</v>
      </c>
      <c r="F24" s="818">
        <f ca="1">'数据-取费表'!B40</f>
        <v>4.7500000000000001E-2</v>
      </c>
      <c r="G24" s="1592"/>
      <c r="H24" s="2551" t="s">
        <v>1890</v>
      </c>
      <c r="I24" s="2546" t="s">
        <v>664</v>
      </c>
      <c r="J24" s="2544">
        <f ca="1">ROUND(J5*M24,0)</f>
        <v>0</v>
      </c>
      <c r="K24" s="2545" t="s">
        <v>1773</v>
      </c>
      <c r="L24" s="2546" t="s">
        <v>1746</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3" t="s">
        <v>682</v>
      </c>
      <c r="C25" s="52"/>
      <c r="D25" s="260" t="s">
        <v>1774</v>
      </c>
      <c r="E25" s="1982"/>
      <c r="F25" s="55"/>
      <c r="G25" s="1591"/>
      <c r="H25" s="1829" t="s">
        <v>1775</v>
      </c>
      <c r="I25" s="3009" t="s">
        <v>2823</v>
      </c>
      <c r="J25" s="791">
        <f ca="1">J5-J16</f>
        <v>0</v>
      </c>
      <c r="K25" s="2548" t="s">
        <v>1776</v>
      </c>
      <c r="L25" s="2549"/>
      <c r="M25" s="2550"/>
    </row>
    <row r="26" spans="1:33" ht="18" customHeight="1">
      <c r="A26" s="1647" t="s">
        <v>1830</v>
      </c>
      <c r="B26" s="783" t="s">
        <v>2439</v>
      </c>
      <c r="C26" s="52">
        <f ca="1">ROUND((C19+C20)*F26,0)</f>
        <v>0</v>
      </c>
      <c r="D26" s="811" t="s">
        <v>1777</v>
      </c>
      <c r="E26" s="794" t="s">
        <v>1778</v>
      </c>
      <c r="F26" s="793">
        <f ca="1">INDIRECT("'数据-取费表'!q"&amp;$G$1)</f>
        <v>0</v>
      </c>
      <c r="G26" s="1591"/>
      <c r="H26" s="2502" t="s">
        <v>1779</v>
      </c>
      <c r="I26" s="2232" t="s">
        <v>2828</v>
      </c>
      <c r="J26" s="782">
        <f ca="1">IF(J5&lt;&gt;0,ROUND(J25*(1-((1+M28)/(1+M26))^M27)/(M26-M28),0),0)</f>
        <v>0</v>
      </c>
      <c r="K26" s="813" t="s">
        <v>1780</v>
      </c>
      <c r="L26" s="783" t="s">
        <v>2420</v>
      </c>
      <c r="M26" s="793">
        <f ca="1">INDIRECT("'数据-取费表'!I"&amp;$G$1)</f>
        <v>0</v>
      </c>
    </row>
    <row r="27" spans="1:33" ht="18" customHeight="1">
      <c r="A27" s="1647" t="s">
        <v>1831</v>
      </c>
      <c r="B27" s="783" t="s">
        <v>684</v>
      </c>
      <c r="C27" s="52">
        <f ca="1">ROUND(F21*F26,4)</f>
        <v>0</v>
      </c>
      <c r="D27" s="811" t="s">
        <v>1781</v>
      </c>
      <c r="E27" s="805"/>
      <c r="F27" s="806"/>
      <c r="G27" s="1591"/>
      <c r="H27" s="2503"/>
      <c r="I27" s="786"/>
      <c r="J27" s="787"/>
      <c r="K27" s="820" t="s">
        <v>1782</v>
      </c>
      <c r="L27" s="783" t="s">
        <v>1783</v>
      </c>
      <c r="M27" s="821">
        <f ca="1">INDIRECT("'数据-取费表'!ag"&amp;$G$1)</f>
        <v>0</v>
      </c>
    </row>
    <row r="28" spans="1:33" s="2064" customFormat="1" ht="18" customHeight="1">
      <c r="A28" s="1649" t="s">
        <v>1840</v>
      </c>
      <c r="B28" s="783" t="s">
        <v>685</v>
      </c>
      <c r="C28" s="52">
        <f>ROUND(F28/(1+'数据-取费表'!C42),4)</f>
        <v>5.33E-2</v>
      </c>
      <c r="D28" s="811" t="s">
        <v>2300</v>
      </c>
      <c r="E28" s="783" t="s">
        <v>1784</v>
      </c>
      <c r="F28" s="808">
        <f>'数据-取费表'!B41</f>
        <v>5.6000000000000001E-2</v>
      </c>
      <c r="G28" s="1592"/>
      <c r="H28" s="1829"/>
      <c r="I28" s="790"/>
      <c r="J28" s="791"/>
      <c r="K28" s="815"/>
      <c r="L28" s="783" t="s">
        <v>1785</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0</v>
      </c>
      <c r="D29" s="2545"/>
      <c r="E29" s="2546"/>
      <c r="F29" s="2547"/>
      <c r="G29" s="1592"/>
      <c r="H29" s="822" t="s">
        <v>1786</v>
      </c>
      <c r="I29" s="823" t="s">
        <v>1787</v>
      </c>
      <c r="J29" s="824">
        <f ca="1">ROUND(J26/(1+F40)^F41,0)</f>
        <v>0</v>
      </c>
      <c r="K29" s="825" t="s">
        <v>1788</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1">
        <f ca="1">ROUND(C31+C36+C37+C38,0)</f>
        <v>0</v>
      </c>
      <c r="D30" s="1821" t="s">
        <v>1790</v>
      </c>
      <c r="E30" s="2486"/>
      <c r="F30" s="2491"/>
      <c r="G30" s="2062"/>
      <c r="H30" s="2065"/>
      <c r="I30" s="2066"/>
      <c r="J30" s="2067"/>
      <c r="K30" s="2068"/>
      <c r="L30" s="2069"/>
      <c r="M30" s="2070"/>
    </row>
    <row r="31" spans="1:33" ht="18" customHeight="1">
      <c r="A31" s="1648" t="s">
        <v>1829</v>
      </c>
      <c r="B31" s="783" t="s">
        <v>654</v>
      </c>
      <c r="C31" s="52">
        <f ca="1">ROUND(IF(项目基本情况!B11="自然人",C5*F31,C32+C33+C34),1)</f>
        <v>0</v>
      </c>
      <c r="D31" s="1979" t="s">
        <v>1791</v>
      </c>
      <c r="E31" s="1977" t="s">
        <v>1792</v>
      </c>
      <c r="F31" s="809">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7" t="s">
        <v>1830</v>
      </c>
      <c r="B32" s="783" t="s">
        <v>1793</v>
      </c>
      <c r="C32" s="52">
        <f ca="1">ROUND(C5*F32/1.05,1)</f>
        <v>0</v>
      </c>
      <c r="D32" s="1977" t="s">
        <v>1794</v>
      </c>
      <c r="E32" s="783" t="s">
        <v>1795</v>
      </c>
      <c r="F32" s="808">
        <f>'数据-取费表'!B41</f>
        <v>5.6000000000000001E-2</v>
      </c>
      <c r="G32" s="2062"/>
      <c r="H32" s="2071"/>
      <c r="I32" s="2072"/>
      <c r="J32" s="2073"/>
      <c r="K32" s="2074"/>
      <c r="L32" s="2075"/>
      <c r="M32" s="2076"/>
    </row>
    <row r="33" spans="1:18" ht="18" customHeight="1">
      <c r="A33" s="1647"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62"/>
      <c r="H33" s="2077"/>
      <c r="I33" s="2077"/>
      <c r="J33" s="2077"/>
      <c r="K33" s="2078"/>
      <c r="L33" s="2077"/>
      <c r="M33" s="2077"/>
    </row>
    <row r="34" spans="1:18" ht="18" customHeight="1">
      <c r="A34" s="1650" t="s">
        <v>1832</v>
      </c>
      <c r="B34" s="340" t="s">
        <v>1797</v>
      </c>
      <c r="C34" s="53">
        <f ca="1">ROUND(F34*F35/10000,1)</f>
        <v>0</v>
      </c>
      <c r="D34" s="813" t="s">
        <v>1798</v>
      </c>
      <c r="E34" s="783" t="s">
        <v>1799</v>
      </c>
      <c r="F34" s="639">
        <f>'数据-取费表'!B52</f>
        <v>10</v>
      </c>
      <c r="G34" s="2062"/>
      <c r="H34" s="2065"/>
      <c r="I34" s="834" t="s">
        <v>1812</v>
      </c>
      <c r="J34" s="835"/>
      <c r="K34" s="2080"/>
      <c r="L34" s="2079"/>
      <c r="M34" s="2079"/>
    </row>
    <row r="35" spans="1:18" ht="18" customHeight="1">
      <c r="A35" s="814"/>
      <c r="B35" s="792"/>
      <c r="C35" s="68"/>
      <c r="D35" s="815"/>
      <c r="E35" s="783" t="s">
        <v>1800</v>
      </c>
      <c r="F35" s="784">
        <f ca="1">INDIRECT("'数据-取费表'!r"&amp;$G$1)</f>
        <v>0</v>
      </c>
      <c r="G35" s="2062"/>
      <c r="H35" s="2065"/>
      <c r="I35" s="836" t="s">
        <v>1813</v>
      </c>
      <c r="J35" s="837">
        <f ca="1">ROUND(C13*J36,0)</f>
        <v>0</v>
      </c>
      <c r="K35" s="2078"/>
      <c r="L35" s="2077"/>
      <c r="M35" s="2077"/>
    </row>
    <row r="36" spans="1:18" ht="18" customHeight="1">
      <c r="A36" s="1648" t="s">
        <v>1888</v>
      </c>
      <c r="B36" s="783" t="s">
        <v>1801</v>
      </c>
      <c r="C36" s="52">
        <f ca="1">ROUND(C29*F36,1)</f>
        <v>0</v>
      </c>
      <c r="D36" s="1977" t="s">
        <v>1802</v>
      </c>
      <c r="E36" s="783" t="s">
        <v>1795</v>
      </c>
      <c r="F36" s="816">
        <f ca="1">INDIRECT("'数据-取费表'!Ak"&amp;$G$1)</f>
        <v>0</v>
      </c>
      <c r="G36" s="2062"/>
      <c r="H36" s="2077"/>
      <c r="I36" s="838" t="s">
        <v>1814</v>
      </c>
      <c r="J36" s="839">
        <f ca="1">INDIRECT("'数据-取费表'!j"&amp;$G$1)</f>
        <v>0</v>
      </c>
      <c r="K36" s="2082"/>
      <c r="L36" s="2077"/>
      <c r="M36" s="2077"/>
    </row>
    <row r="37" spans="1:18" ht="18" customHeight="1">
      <c r="A37" s="1648" t="s">
        <v>1889</v>
      </c>
      <c r="B37" s="783" t="s">
        <v>677</v>
      </c>
      <c r="C37" s="52">
        <f ca="1">ROUND(C13*F37,1)</f>
        <v>0</v>
      </c>
      <c r="D37" s="1977" t="s">
        <v>1803</v>
      </c>
      <c r="E37" s="783" t="s">
        <v>1795</v>
      </c>
      <c r="F37" s="817">
        <f ca="1">INDIRECT("'数据-取费表'!Al"&amp;$G$1)</f>
        <v>0</v>
      </c>
      <c r="G37" s="2062"/>
      <c r="H37" s="2077"/>
      <c r="I37" s="840" t="s">
        <v>1815</v>
      </c>
      <c r="J37" s="841"/>
      <c r="K37" s="2082"/>
      <c r="L37" s="2077"/>
      <c r="M37" s="2077"/>
    </row>
    <row r="38" spans="1:18" ht="18" customHeight="1" thickBot="1">
      <c r="A38" s="2551" t="s">
        <v>1890</v>
      </c>
      <c r="B38" s="2546" t="s">
        <v>664</v>
      </c>
      <c r="C38" s="2544">
        <f ca="1">ROUND(C5*F38,1)</f>
        <v>0</v>
      </c>
      <c r="D38" s="2545" t="s">
        <v>1804</v>
      </c>
      <c r="E38" s="2546" t="s">
        <v>1795</v>
      </c>
      <c r="F38" s="2542">
        <f ca="1">INDIRECT("'数据-取费表'!Am"&amp;$G$1)</f>
        <v>0</v>
      </c>
      <c r="G38" s="2062"/>
      <c r="H38" s="2077"/>
      <c r="I38" s="842" t="s">
        <v>1816</v>
      </c>
      <c r="J38" s="843"/>
      <c r="K38" s="2083"/>
      <c r="L38" s="2077"/>
      <c r="M38" s="2077"/>
    </row>
    <row r="39" spans="1:18" ht="24.6" customHeight="1" thickTop="1">
      <c r="A39" s="1829" t="s">
        <v>1893</v>
      </c>
      <c r="B39" s="3009" t="s">
        <v>2823</v>
      </c>
      <c r="C39" s="791">
        <f ca="1">C5-C30</f>
        <v>0</v>
      </c>
      <c r="D39" s="2548" t="s">
        <v>1805</v>
      </c>
      <c r="E39" s="2549"/>
      <c r="F39" s="2550"/>
      <c r="G39" s="2062"/>
      <c r="H39" s="2077"/>
      <c r="I39" s="836" t="s">
        <v>1817</v>
      </c>
      <c r="J39" s="844" t="e">
        <f ca="1">ROUND(J35/C39,3)</f>
        <v>#DIV/0!</v>
      </c>
      <c r="K39" s="2083"/>
      <c r="L39" s="2077"/>
      <c r="M39" s="2077"/>
    </row>
    <row r="40" spans="1:18" ht="18" customHeight="1">
      <c r="A40" s="780" t="s">
        <v>1894</v>
      </c>
      <c r="B40" s="2232" t="s">
        <v>2302</v>
      </c>
      <c r="C40" s="782" t="e">
        <f ca="1">ROUND(C39*(1-((1+F42)/(1+F40))^F41)/(F40-F42),0)</f>
        <v>#DIV/0!</v>
      </c>
      <c r="D40" s="813" t="s">
        <v>1806</v>
      </c>
      <c r="E40" s="783" t="s">
        <v>2420</v>
      </c>
      <c r="F40" s="793">
        <f ca="1">INDIRECT("'数据-取费表'!I"&amp;$G$1)</f>
        <v>0</v>
      </c>
      <c r="G40" s="2062"/>
      <c r="H40" s="2062"/>
      <c r="I40" s="836" t="s">
        <v>1818</v>
      </c>
      <c r="J40" s="844" t="e">
        <f ca="1">1-J39</f>
        <v>#DIV/0!</v>
      </c>
      <c r="K40" s="2083"/>
      <c r="L40" s="2062"/>
      <c r="M40" s="2062"/>
    </row>
    <row r="41" spans="1:18" ht="18" customHeight="1">
      <c r="A41" s="785"/>
      <c r="B41" s="786"/>
      <c r="C41" s="787"/>
      <c r="D41" s="820" t="s">
        <v>1807</v>
      </c>
      <c r="E41" s="783" t="s">
        <v>2965</v>
      </c>
      <c r="F41" s="821">
        <f ca="1">IF(INDIRECT("'数据-取费表'!af"&amp;$G$1)=0,INDIRECT("'数据-取费表'!ae"&amp;$G$1),INDIRECT("'数据-取费表'!af"&amp;$G$1))</f>
        <v>0</v>
      </c>
      <c r="G41" s="2062"/>
      <c r="H41" s="1988"/>
      <c r="I41" s="842" t="s">
        <v>1819</v>
      </c>
      <c r="J41" s="845"/>
      <c r="K41" s="2082"/>
      <c r="L41" s="1988"/>
      <c r="M41" s="1988"/>
    </row>
    <row r="42" spans="1:18" ht="18" customHeight="1">
      <c r="A42" s="789"/>
      <c r="B42" s="790"/>
      <c r="C42" s="791"/>
      <c r="D42" s="815"/>
      <c r="E42" s="783" t="s">
        <v>1808</v>
      </c>
      <c r="F42" s="793">
        <f ca="1">INDIRECT("'数据-取费表'!v"&amp;$G$1)</f>
        <v>0</v>
      </c>
      <c r="G42" s="2062"/>
      <c r="H42" s="1988"/>
      <c r="I42" s="846" t="s">
        <v>1820</v>
      </c>
      <c r="J42" s="844" t="e">
        <f ca="1">ROUND(C13/C40,3)</f>
        <v>#DIV/0!</v>
      </c>
      <c r="K42" s="2082"/>
      <c r="L42" s="1988"/>
      <c r="M42" s="1988"/>
    </row>
    <row r="43" spans="1:18" ht="18" customHeight="1" thickBot="1">
      <c r="A43" s="822" t="s">
        <v>1786</v>
      </c>
      <c r="B43" s="823" t="s">
        <v>1809</v>
      </c>
      <c r="C43" s="824" t="e">
        <f ca="1">ROUND(C40*10000/F43,0)</f>
        <v>#DIV/0!</v>
      </c>
      <c r="D43" s="825" t="s">
        <v>1810</v>
      </c>
      <c r="E43" s="826" t="s">
        <v>1811</v>
      </c>
      <c r="F43" s="827">
        <f ca="1">INDIRECT("'数据-取费表'!k"&amp;$G$1)</f>
        <v>0</v>
      </c>
      <c r="G43" s="2062"/>
      <c r="H43" s="1988"/>
      <c r="I43" s="846" t="s">
        <v>1821</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t="e">
        <f ca="1">C67-C40</f>
        <v>#DIV/0!</v>
      </c>
      <c r="D46" s="2085"/>
      <c r="E46" s="2085"/>
      <c r="F46" s="2085"/>
      <c r="I46" s="2378" t="s">
        <v>2344</v>
      </c>
      <c r="J46" s="2379"/>
      <c r="K46" s="2380"/>
      <c r="L46" s="3158" t="e">
        <f ca="1">IF(OR(M47="住宅",D1="土地（套用方法）"),0,IF(L48&gt;J51,L60,J60))</f>
        <v>#DIV/0!</v>
      </c>
      <c r="O46" s="2394" t="s">
        <v>2411</v>
      </c>
      <c r="P46" s="1591"/>
      <c r="Q46" s="1603"/>
      <c r="R46" s="1591"/>
    </row>
    <row r="47" spans="1:18" s="2059" customFormat="1" ht="18" customHeight="1" thickBot="1">
      <c r="A47" s="2372">
        <v>1</v>
      </c>
      <c r="B47" s="2373" t="s">
        <v>633</v>
      </c>
      <c r="C47" s="2574">
        <f ca="1">C48+C52+C54</f>
        <v>0</v>
      </c>
      <c r="D47" s="2085"/>
      <c r="E47" s="2085"/>
      <c r="F47" s="2085"/>
      <c r="I47" s="3148" t="s">
        <v>2345</v>
      </c>
      <c r="J47" s="2381"/>
      <c r="K47" s="3155" t="s">
        <v>2350</v>
      </c>
      <c r="L47" s="3159">
        <f ca="1">INDIRECT("'数据-取费表'!d"&amp;$G$1)</f>
        <v>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634</v>
      </c>
      <c r="E48" s="2376" t="s">
        <v>2297</v>
      </c>
      <c r="F48" s="2377"/>
      <c r="G48" s="2090"/>
      <c r="I48" s="3124" t="s">
        <v>2346</v>
      </c>
      <c r="J48" s="2382"/>
      <c r="K48" s="3156" t="s">
        <v>2352</v>
      </c>
      <c r="L48" s="1908">
        <f ca="1">INDIRECT("'数据-取费表'!f"&amp;$G$1)</f>
        <v>0</v>
      </c>
      <c r="O48" s="2398" t="s">
        <v>2380</v>
      </c>
      <c r="P48" s="2399" t="s">
        <v>2406</v>
      </c>
      <c r="Q48" s="2400" t="e">
        <f ca="1">C40+J29</f>
        <v>#DIV/0!</v>
      </c>
      <c r="R48" s="2399" t="s">
        <v>2381</v>
      </c>
    </row>
    <row r="49" spans="1:18" s="2059" customFormat="1" ht="18" customHeight="1" thickBot="1">
      <c r="A49" s="785"/>
      <c r="B49" s="786"/>
      <c r="C49" s="787"/>
      <c r="D49" s="788"/>
      <c r="E49" s="783" t="s">
        <v>1738</v>
      </c>
      <c r="F49" s="784">
        <f ca="1">F7</f>
        <v>0</v>
      </c>
      <c r="G49" s="2090"/>
      <c r="H49" s="2093"/>
      <c r="I49" s="3124" t="s">
        <v>2347</v>
      </c>
      <c r="J49" s="2383"/>
      <c r="K49" s="3157" t="s">
        <v>2353</v>
      </c>
      <c r="L49" s="2384"/>
      <c r="O49" s="2398" t="s">
        <v>2382</v>
      </c>
      <c r="P49" s="2399" t="s">
        <v>2407</v>
      </c>
      <c r="Q49" s="2400" t="e">
        <f ca="1">J60</f>
        <v>#DIV/0!</v>
      </c>
      <c r="R49" s="2399" t="s">
        <v>2383</v>
      </c>
    </row>
    <row r="50" spans="1:18" s="2059" customFormat="1" ht="18" customHeight="1" thickBot="1">
      <c r="A50" s="785"/>
      <c r="B50" s="786"/>
      <c r="C50" s="787"/>
      <c r="D50" s="788"/>
      <c r="E50" s="783" t="s">
        <v>1739</v>
      </c>
      <c r="F50" s="784">
        <f ca="1">F8</f>
        <v>0</v>
      </c>
      <c r="G50" s="2095"/>
      <c r="H50" s="2093"/>
      <c r="I50" s="3124" t="s">
        <v>2348</v>
      </c>
      <c r="J50" s="3152">
        <f>SUMPRODUCT((I63:I65=J47)*(J62:L62=J48)*(J63:L65))</f>
        <v>0</v>
      </c>
      <c r="K50" s="3157" t="s">
        <v>2354</v>
      </c>
      <c r="L50" s="2384"/>
      <c r="O50" s="2401" t="s">
        <v>2384</v>
      </c>
      <c r="P50" s="2399" t="s">
        <v>2408</v>
      </c>
      <c r="Q50" s="2400">
        <f ca="1">C29</f>
        <v>0</v>
      </c>
      <c r="R50" s="2399" t="s">
        <v>2381</v>
      </c>
    </row>
    <row r="51" spans="1:18" s="2059" customFormat="1" ht="18" customHeight="1" thickBot="1">
      <c r="A51" s="785"/>
      <c r="B51" s="786"/>
      <c r="C51" s="787"/>
      <c r="D51" s="788"/>
      <c r="E51" s="783" t="s">
        <v>638</v>
      </c>
      <c r="F51" s="2371"/>
      <c r="H51" s="2093"/>
      <c r="I51" s="3149" t="s">
        <v>2349</v>
      </c>
      <c r="J51" s="3153">
        <f>IF(J49="",J50,J49+J50-YEAR('数据-取费表'!B2))</f>
        <v>0</v>
      </c>
      <c r="K51" s="3124" t="s">
        <v>2355</v>
      </c>
      <c r="L51" s="3160">
        <f ca="1">ROUND(-PV(INDIRECT("'数据-取费表'!h"&amp;$G$1),L48,(C39-C13*J36),0),0)</f>
        <v>0</v>
      </c>
      <c r="O51" s="2401" t="s">
        <v>2385</v>
      </c>
      <c r="P51" s="2399" t="s">
        <v>2386</v>
      </c>
      <c r="Q51" s="2402" t="e">
        <f ca="1">J58</f>
        <v>#DIV/0!</v>
      </c>
      <c r="R51" s="2403"/>
    </row>
    <row r="52" spans="1:18" s="2059" customFormat="1" ht="18" customHeight="1" thickBot="1">
      <c r="A52" s="780" t="s">
        <v>2537</v>
      </c>
      <c r="B52" s="2494" t="s">
        <v>2460</v>
      </c>
      <c r="C52" s="798">
        <f ca="1">ROUND(IF(F52="押一",C48/12*F11,IF(F52="押二",C48/12*2*F11,IF(F52="押三",C48/12*3*F11,C53*F11))),0)</f>
        <v>0</v>
      </c>
      <c r="D52" s="2501" t="s">
        <v>2976</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2981</v>
      </c>
      <c r="J53" s="3154">
        <f ca="1">IF(M47="住宅",IF(D1="——",MAX(J51,L48),MAX(J51,L48-'数据-取费表'!B20)),IF(D1="——",MIN(J51,L48),MIN(J51,L48-'数据-取费表'!B20)))</f>
        <v>0</v>
      </c>
      <c r="K53" s="3451" t="s">
        <v>2967</v>
      </c>
      <c r="L53" s="3452"/>
      <c r="O53" s="2401" t="s">
        <v>2389</v>
      </c>
      <c r="P53" s="2399" t="s">
        <v>2390</v>
      </c>
      <c r="Q53" s="2400">
        <f ca="1">J53</f>
        <v>0</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2392</v>
      </c>
      <c r="P54" s="2399" t="s">
        <v>2409</v>
      </c>
      <c r="Q54" s="2400" t="e">
        <f ca="1">Q48+Q49</f>
        <v>#DIV/0!</v>
      </c>
      <c r="R54" s="2403" t="s">
        <v>2393</v>
      </c>
    </row>
    <row r="55" spans="1:18" s="2059" customFormat="1" ht="18" customHeight="1" thickTop="1" thickBot="1">
      <c r="A55" s="796">
        <v>2</v>
      </c>
      <c r="B55" s="797" t="s">
        <v>642</v>
      </c>
      <c r="C55" s="798">
        <f ca="1">C13</f>
        <v>0</v>
      </c>
      <c r="D55" s="794"/>
      <c r="E55" s="794"/>
      <c r="F55" s="799"/>
      <c r="I55" s="3163" t="s">
        <v>2356</v>
      </c>
      <c r="J55" s="3099" t="e">
        <f ca="1">ROUND(IF(J47="钢混",J57/J50,1-(1-2%)*(J50-J57)/J50),3)</f>
        <v>#DIV/0!</v>
      </c>
      <c r="K55" s="3164" t="s">
        <v>2357</v>
      </c>
      <c r="L55" s="2386"/>
      <c r="O55" s="2404" t="s">
        <v>2412</v>
      </c>
      <c r="P55" s="1591"/>
      <c r="Q55" s="1603"/>
      <c r="R55" s="1591"/>
    </row>
    <row r="56" spans="1:18" s="2059" customFormat="1" ht="42.75" customHeight="1" thickBot="1">
      <c r="A56" s="1649"/>
      <c r="B56" s="2231" t="s">
        <v>2303</v>
      </c>
      <c r="C56" s="52">
        <f ca="1">C29</f>
        <v>0</v>
      </c>
      <c r="D56" s="2639"/>
      <c r="E56" s="783"/>
      <c r="F56" s="808"/>
      <c r="I56" s="3165" t="s">
        <v>2358</v>
      </c>
      <c r="J56" s="3175"/>
      <c r="K56" s="3124" t="s">
        <v>2363</v>
      </c>
      <c r="L56" s="1908">
        <f ca="1">IF(L48&lt;J51,"——",L48-J51)</f>
        <v>0</v>
      </c>
      <c r="O56" s="2395" t="s">
        <v>2376</v>
      </c>
      <c r="P56" s="2396" t="s">
        <v>2377</v>
      </c>
      <c r="Q56" s="2397" t="s">
        <v>2378</v>
      </c>
      <c r="R56" s="2396" t="s">
        <v>2379</v>
      </c>
    </row>
    <row r="57" spans="1:18" s="2059" customFormat="1" ht="28.5" customHeight="1" thickBot="1">
      <c r="A57" s="796" t="s">
        <v>1747</v>
      </c>
      <c r="B57" s="797" t="s">
        <v>649</v>
      </c>
      <c r="C57" s="798">
        <f ca="1">ROUND(C58+C63+C64+C65,0)</f>
        <v>0</v>
      </c>
      <c r="D57" s="25" t="s">
        <v>1749</v>
      </c>
      <c r="E57" s="2640"/>
      <c r="F57" s="55"/>
      <c r="I57" s="3166" t="s">
        <v>2359</v>
      </c>
      <c r="J57" s="3167">
        <f ca="1">IF(OR(M47="住宅",J51&lt;L48,J56="是"),"——",J51-L48)</f>
        <v>0</v>
      </c>
      <c r="K57" s="3124" t="s">
        <v>2364</v>
      </c>
      <c r="L57" s="1908">
        <f ca="1">IF(L48&lt;J51,"——",IF(L55="比较法",L49,IF(L55="基准地价",L50,L51)))</f>
        <v>0</v>
      </c>
      <c r="O57" s="2398" t="s">
        <v>2380</v>
      </c>
      <c r="P57" s="2399" t="s">
        <v>2410</v>
      </c>
      <c r="Q57" s="2400" t="e">
        <f ca="1">C40+J29</f>
        <v>#DIV/0!</v>
      </c>
      <c r="R57" s="2399" t="s">
        <v>2381</v>
      </c>
    </row>
    <row r="58" spans="1:18" s="2059" customFormat="1" ht="28.5" customHeight="1" thickBot="1">
      <c r="A58" s="1648" t="s">
        <v>1823</v>
      </c>
      <c r="B58" s="783" t="s">
        <v>654</v>
      </c>
      <c r="C58" s="52">
        <f ca="1">ROUND(IF(项目基本情况!B11="自然人",C47*F58,C59+C60+C61),1)</f>
        <v>0</v>
      </c>
      <c r="D58" s="2638" t="s">
        <v>655</v>
      </c>
      <c r="E58" s="2639" t="s">
        <v>688</v>
      </c>
      <c r="F58" s="809">
        <f ca="1">IF(项目基本情况!B11="企业","",IF(INDIRECT("'数据-取费表'!c"&amp;$G$1)="住宅",5%,IF(F48*F49*F50/12/(1+'数据-取费表'!C42)&gt;20000,12%,7%)))</f>
        <v>7.0000000000000007E-2</v>
      </c>
      <c r="I58" s="3166" t="s">
        <v>2360</v>
      </c>
      <c r="J58" s="3100" t="e">
        <f ca="1">IF(J55&lt;0.4,0.4,J55)</f>
        <v>#DIV/0!</v>
      </c>
      <c r="K58" s="3124" t="s">
        <v>2365</v>
      </c>
      <c r="L58" s="1908" t="e">
        <f ca="1">ROUND(POWER(1+L52,L47-L48)*(POWER(1+L52,L48)-1)/(POWER(1+L52,L47)-1),4)</f>
        <v>#DIV/0!</v>
      </c>
      <c r="O58" s="2398" t="s">
        <v>2382</v>
      </c>
      <c r="P58" s="2399" t="s">
        <v>2413</v>
      </c>
      <c r="Q58" s="2400" t="e">
        <f ca="1">L60</f>
        <v>#DIV/0!</v>
      </c>
      <c r="R58" s="2403" t="s">
        <v>2415</v>
      </c>
    </row>
    <row r="59" spans="1:18" s="2059" customFormat="1" ht="28.5" customHeight="1" thickBot="1">
      <c r="A59" s="1647" t="s">
        <v>1830</v>
      </c>
      <c r="B59" s="783" t="s">
        <v>658</v>
      </c>
      <c r="C59" s="52">
        <f ca="1">ROUND(C47*F59/1.05,1)</f>
        <v>0</v>
      </c>
      <c r="D59" s="2639" t="s">
        <v>1755</v>
      </c>
      <c r="E59" s="783" t="s">
        <v>1746</v>
      </c>
      <c r="F59" s="808">
        <f t="shared" ref="F59:F65" si="0">F32</f>
        <v>5.6000000000000001E-2</v>
      </c>
      <c r="I59" s="3166" t="s">
        <v>2361</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1831</v>
      </c>
      <c r="B60" s="783" t="s">
        <v>1757</v>
      </c>
      <c r="C60" s="52">
        <f ca="1">IF(D60="按租金收入计税",ROUND(C47*F60,1),IF(D60="按房产原值计税",ROUND(C56*F60*0.7,1),INDIRECT("'数据-取费表'!Aj"&amp;$G$1)))</f>
        <v>0</v>
      </c>
      <c r="D60" s="2639" t="str">
        <f>D33</f>
        <v>按房产原值计税</v>
      </c>
      <c r="E60" s="783" t="s">
        <v>1746</v>
      </c>
      <c r="F60" s="808">
        <f t="shared" si="0"/>
        <v>1.2E-2</v>
      </c>
      <c r="I60" s="3168" t="s">
        <v>2362</v>
      </c>
      <c r="J60" s="3169" t="e">
        <f ca="1">IF(OR(M47="住宅",J51&lt;L48,J56="是"),"0",ROUND(J59/(1+J52)^J53,0))</f>
        <v>#DIV/0!</v>
      </c>
      <c r="K60" s="3170" t="s">
        <v>2367</v>
      </c>
      <c r="L60" s="3169" t="e">
        <f ca="1">IF(OR(M47="住宅",L48&lt;J51),0,ROUND(L57*(L58/L59-1),0))</f>
        <v>#DIV/0!</v>
      </c>
      <c r="O60" s="2401" t="s">
        <v>2385</v>
      </c>
      <c r="P60" s="2399" t="s">
        <v>2394</v>
      </c>
      <c r="Q60" s="2402">
        <f>L52</f>
        <v>0</v>
      </c>
      <c r="R60" s="2403"/>
    </row>
    <row r="61" spans="1:18" s="2059" customFormat="1" ht="18" customHeight="1" thickBot="1">
      <c r="A61" s="1650" t="s">
        <v>1832</v>
      </c>
      <c r="B61" s="340" t="s">
        <v>666</v>
      </c>
      <c r="C61" s="53">
        <f ca="1">ROUND(F61*F62/10000,1)</f>
        <v>0</v>
      </c>
      <c r="D61" s="813" t="s">
        <v>667</v>
      </c>
      <c r="E61" s="783" t="s">
        <v>668</v>
      </c>
      <c r="F61" s="639">
        <f t="shared" si="0"/>
        <v>10</v>
      </c>
      <c r="K61" s="2086"/>
      <c r="O61" s="2401" t="s">
        <v>2387</v>
      </c>
      <c r="P61" s="2399" t="s">
        <v>2395</v>
      </c>
      <c r="Q61" s="2400" t="e">
        <f ca="1">L58</f>
        <v>#DIV/0!</v>
      </c>
      <c r="R61" s="2403" t="s">
        <v>2396</v>
      </c>
    </row>
    <row r="62" spans="1:18" s="2059" customFormat="1" ht="15.75" thickBot="1">
      <c r="A62" s="814"/>
      <c r="B62" s="792"/>
      <c r="C62" s="68"/>
      <c r="D62" s="815"/>
      <c r="E62" s="783" t="s">
        <v>672</v>
      </c>
      <c r="F62" s="784">
        <f t="shared" ca="1" si="0"/>
        <v>0</v>
      </c>
      <c r="I62" s="3171" t="s">
        <v>2368</v>
      </c>
      <c r="J62" s="3172" t="s">
        <v>2369</v>
      </c>
      <c r="K62" s="3172" t="s">
        <v>2370</v>
      </c>
      <c r="L62" s="3172" t="s">
        <v>2351</v>
      </c>
      <c r="M62" s="3173" t="s">
        <v>2943</v>
      </c>
      <c r="O62" s="2401" t="s">
        <v>2389</v>
      </c>
      <c r="P62" s="2399" t="str">
        <f>K59</f>
        <v>建筑物剩余耐用年限下的土地年期修正系数Kn</v>
      </c>
      <c r="Q62" s="2400" t="e">
        <f ca="1">L59</f>
        <v>#DIV/0!</v>
      </c>
      <c r="R62" s="2403" t="s">
        <v>2398</v>
      </c>
    </row>
    <row r="63" spans="1:18" s="2059" customFormat="1" ht="15.75" thickBot="1">
      <c r="A63" s="1648" t="s">
        <v>1888</v>
      </c>
      <c r="B63" s="783" t="s">
        <v>674</v>
      </c>
      <c r="C63" s="52">
        <f ca="1">ROUND(C56*F63,1)</f>
        <v>0</v>
      </c>
      <c r="D63" s="2639" t="s">
        <v>1802</v>
      </c>
      <c r="E63" s="783" t="s">
        <v>1746</v>
      </c>
      <c r="F63" s="816">
        <f t="shared" ca="1" si="0"/>
        <v>0</v>
      </c>
      <c r="I63" s="3171" t="s">
        <v>2371</v>
      </c>
      <c r="J63" s="3172">
        <v>70</v>
      </c>
      <c r="K63" s="3172">
        <v>50</v>
      </c>
      <c r="L63" s="3172">
        <v>80</v>
      </c>
      <c r="M63" s="3174">
        <v>0.02</v>
      </c>
      <c r="O63" s="2398" t="s">
        <v>2392</v>
      </c>
      <c r="P63" s="2399" t="s">
        <v>2409</v>
      </c>
      <c r="Q63" s="2400" t="e">
        <f ca="1">Q57+Q58</f>
        <v>#DIV/0!</v>
      </c>
      <c r="R63" s="2403" t="s">
        <v>2393</v>
      </c>
    </row>
    <row r="64" spans="1:18" s="2059" customFormat="1" ht="16.5" thickBot="1">
      <c r="A64" s="1648" t="s">
        <v>1889</v>
      </c>
      <c r="B64" s="783" t="s">
        <v>677</v>
      </c>
      <c r="C64" s="52">
        <f ca="1">ROUND(C55*F64,1)</f>
        <v>0</v>
      </c>
      <c r="D64" s="2639" t="s">
        <v>678</v>
      </c>
      <c r="E64" s="783" t="s">
        <v>1746</v>
      </c>
      <c r="F64" s="817">
        <f t="shared" ca="1" si="0"/>
        <v>0</v>
      </c>
      <c r="I64" s="3171" t="s">
        <v>2372</v>
      </c>
      <c r="J64" s="3172">
        <v>50</v>
      </c>
      <c r="K64" s="3172">
        <v>35</v>
      </c>
      <c r="L64" s="3172">
        <v>60</v>
      </c>
      <c r="M64" s="845">
        <v>0</v>
      </c>
      <c r="O64" s="2404" t="s">
        <v>2416</v>
      </c>
      <c r="P64" s="1591"/>
      <c r="Q64" s="1603"/>
      <c r="R64" s="1591"/>
    </row>
    <row r="65" spans="1:18" s="2059" customFormat="1" ht="15.75" thickBot="1">
      <c r="A65" s="1648" t="s">
        <v>1890</v>
      </c>
      <c r="B65" s="783" t="s">
        <v>664</v>
      </c>
      <c r="C65" s="52">
        <f ca="1">ROUND(C47*F65,1)</f>
        <v>0</v>
      </c>
      <c r="D65" s="2639" t="s">
        <v>681</v>
      </c>
      <c r="E65" s="783" t="s">
        <v>1746</v>
      </c>
      <c r="F65" s="793">
        <f t="shared" ca="1" si="0"/>
        <v>0</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1775</v>
      </c>
      <c r="B66" s="3010" t="s">
        <v>2823</v>
      </c>
      <c r="C66" s="798">
        <f ca="1">C47-C57</f>
        <v>0</v>
      </c>
      <c r="D66" s="2638" t="s">
        <v>698</v>
      </c>
      <c r="E66" s="2637"/>
      <c r="F66" s="819"/>
      <c r="K66" s="2086"/>
      <c r="O66" s="2398" t="s">
        <v>2380</v>
      </c>
      <c r="P66" s="2399" t="s">
        <v>2410</v>
      </c>
      <c r="Q66" s="2400" t="e">
        <f ca="1">C40+J29</f>
        <v>#DIV/0!</v>
      </c>
      <c r="R66" s="2399" t="s">
        <v>2381</v>
      </c>
    </row>
    <row r="67" spans="1:18" s="2059" customFormat="1" ht="20.25" thickBot="1">
      <c r="A67" s="780" t="s">
        <v>1779</v>
      </c>
      <c r="B67" s="2232" t="s">
        <v>2302</v>
      </c>
      <c r="C67" s="782" t="e">
        <f ca="1">ROUND(C66*(1-((1+F69)/(1+F67))^F68)/(F67-F69),0)</f>
        <v>#DIV/0!</v>
      </c>
      <c r="D67" s="813" t="s">
        <v>702</v>
      </c>
      <c r="E67" s="783" t="s">
        <v>703</v>
      </c>
      <c r="F67" s="793">
        <f ca="1">F40</f>
        <v>0</v>
      </c>
      <c r="K67" s="2086"/>
      <c r="O67" s="2398" t="s">
        <v>2382</v>
      </c>
      <c r="P67" s="2399" t="s">
        <v>2413</v>
      </c>
      <c r="Q67" s="2400" t="e">
        <f ca="1">L60</f>
        <v>#DIV/0!</v>
      </c>
      <c r="R67" s="2403" t="s">
        <v>2415</v>
      </c>
    </row>
    <row r="68" spans="1:18" ht="21.75" thickBot="1">
      <c r="A68" s="785"/>
      <c r="B68" s="786"/>
      <c r="C68" s="787"/>
      <c r="D68" s="820" t="s">
        <v>1807</v>
      </c>
      <c r="E68" s="783" t="s">
        <v>1783</v>
      </c>
      <c r="F68" s="821">
        <f ca="1">F41</f>
        <v>0</v>
      </c>
      <c r="O68" s="2401" t="s">
        <v>2384</v>
      </c>
      <c r="P68" s="2399" t="s">
        <v>2414</v>
      </c>
      <c r="Q68" s="2405">
        <f ca="1">L51</f>
        <v>0</v>
      </c>
      <c r="R68" s="2406" t="s">
        <v>2417</v>
      </c>
    </row>
    <row r="69" spans="1:18" ht="20.25" thickBot="1">
      <c r="A69" s="789"/>
      <c r="B69" s="790"/>
      <c r="C69" s="791"/>
      <c r="D69" s="815"/>
      <c r="E69" s="783" t="s">
        <v>708</v>
      </c>
      <c r="F69" s="2371"/>
      <c r="O69" s="2401" t="s">
        <v>2385</v>
      </c>
      <c r="P69" s="2407" t="s">
        <v>2399</v>
      </c>
      <c r="Q69" s="2400">
        <f ca="1">ROUND(Q70-Q71*Q72,0)</f>
        <v>0</v>
      </c>
      <c r="R69" s="2403"/>
    </row>
    <row r="70" spans="1:18" ht="15.75" thickBot="1">
      <c r="A70" s="822" t="s">
        <v>1786</v>
      </c>
      <c r="B70" s="823" t="s">
        <v>1809</v>
      </c>
      <c r="C70" s="824" t="e">
        <f ca="1">ROUND(C67*10000/F70,0)</f>
        <v>#DIV/0!</v>
      </c>
      <c r="D70" s="825" t="s">
        <v>1810</v>
      </c>
      <c r="E70" s="826" t="s">
        <v>1811</v>
      </c>
      <c r="F70" s="827">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建筑物剩余耐用年限下的土地年期修正系数Kn</v>
      </c>
      <c r="Q75" s="2400" t="e">
        <f ca="1">L59</f>
        <v>#DIV/0!</v>
      </c>
      <c r="R75" s="2403" t="s">
        <v>2398</v>
      </c>
    </row>
    <row r="76" spans="1:18" ht="15.75" thickBot="1">
      <c r="O76" s="2398" t="s">
        <v>2392</v>
      </c>
      <c r="P76" s="2399" t="s">
        <v>2409</v>
      </c>
      <c r="Q76" s="2400" t="e">
        <f ca="1">Q66+Q67</f>
        <v>#DIV/0!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2472</v>
      </c>
      <c r="B1" s="3470"/>
      <c r="C1" s="3471"/>
      <c r="D1" s="3472">
        <f>SUM(I10,I15,I20,I21,I23)</f>
        <v>0</v>
      </c>
      <c r="E1" s="3472"/>
      <c r="F1" s="3472"/>
      <c r="G1" s="3472"/>
      <c r="H1" s="3472"/>
      <c r="I1" s="3473"/>
    </row>
    <row r="2" spans="1:9">
      <c r="A2" s="3459" t="s">
        <v>2473</v>
      </c>
      <c r="B2" s="3460" t="s">
        <v>2474</v>
      </c>
      <c r="C2" s="3460"/>
      <c r="D2" s="2507" t="s">
        <v>2475</v>
      </c>
      <c r="E2" s="2507" t="s">
        <v>2476</v>
      </c>
      <c r="F2" s="2507" t="s">
        <v>2477</v>
      </c>
      <c r="G2" s="2507" t="s">
        <v>2478</v>
      </c>
      <c r="H2" s="2507" t="s">
        <v>2479</v>
      </c>
      <c r="I2" s="2508" t="s">
        <v>2480</v>
      </c>
    </row>
    <row r="3" spans="1:9">
      <c r="A3" s="3459"/>
      <c r="B3" s="3460" t="s">
        <v>2481</v>
      </c>
      <c r="C3" s="3460"/>
      <c r="D3" s="2509"/>
      <c r="E3" s="2507"/>
      <c r="F3" s="2510"/>
      <c r="G3" s="2510"/>
      <c r="H3" s="2511"/>
      <c r="I3" s="2512">
        <f>ROUND(D3*E3*F3*G3*H3/10000,0)</f>
        <v>0</v>
      </c>
    </row>
    <row r="4" spans="1:9">
      <c r="A4" s="3459"/>
      <c r="B4" s="3460" t="s">
        <v>2482</v>
      </c>
      <c r="C4" s="3460"/>
      <c r="D4" s="2509"/>
      <c r="E4" s="2507"/>
      <c r="F4" s="2510"/>
      <c r="G4" s="2510"/>
      <c r="H4" s="2511"/>
      <c r="I4" s="2512">
        <f t="shared" ref="I4:I9" si="0">ROUND(D4*E4*F4*G4*H4/10000,0)</f>
        <v>0</v>
      </c>
    </row>
    <row r="5" spans="1:9">
      <c r="A5" s="3459"/>
      <c r="B5" s="3460" t="s">
        <v>2483</v>
      </c>
      <c r="C5" s="3460"/>
      <c r="D5" s="2509"/>
      <c r="E5" s="2507"/>
      <c r="F5" s="2510"/>
      <c r="G5" s="2510"/>
      <c r="H5" s="2511"/>
      <c r="I5" s="2512">
        <f t="shared" si="0"/>
        <v>0</v>
      </c>
    </row>
    <row r="6" spans="1:9">
      <c r="A6" s="3459"/>
      <c r="B6" s="3460" t="s">
        <v>2484</v>
      </c>
      <c r="C6" s="3460"/>
      <c r="D6" s="2509"/>
      <c r="E6" s="2507"/>
      <c r="F6" s="2510"/>
      <c r="G6" s="2510"/>
      <c r="H6" s="2511"/>
      <c r="I6" s="2512">
        <f t="shared" si="0"/>
        <v>0</v>
      </c>
    </row>
    <row r="7" spans="1:9">
      <c r="A7" s="3459"/>
      <c r="B7" s="3460" t="s">
        <v>2485</v>
      </c>
      <c r="C7" s="3460"/>
      <c r="D7" s="2509"/>
      <c r="E7" s="2507"/>
      <c r="F7" s="2510"/>
      <c r="G7" s="2510"/>
      <c r="H7" s="2511"/>
      <c r="I7" s="2512">
        <f t="shared" si="0"/>
        <v>0</v>
      </c>
    </row>
    <row r="8" spans="1:9">
      <c r="A8" s="3459"/>
      <c r="B8" s="3460" t="s">
        <v>2486</v>
      </c>
      <c r="C8" s="3460"/>
      <c r="D8" s="2509"/>
      <c r="E8" s="2507"/>
      <c r="F8" s="2510"/>
      <c r="G8" s="2510"/>
      <c r="H8" s="2511"/>
      <c r="I8" s="2512">
        <f t="shared" si="0"/>
        <v>0</v>
      </c>
    </row>
    <row r="9" spans="1:9">
      <c r="A9" s="3459"/>
      <c r="B9" s="3460" t="s">
        <v>2487</v>
      </c>
      <c r="C9" s="3460"/>
      <c r="D9" s="2509"/>
      <c r="E9" s="2507"/>
      <c r="F9" s="2510"/>
      <c r="G9" s="2510"/>
      <c r="H9" s="2511"/>
      <c r="I9" s="2512">
        <f t="shared" si="0"/>
        <v>0</v>
      </c>
    </row>
    <row r="10" spans="1:9">
      <c r="A10" s="3459"/>
      <c r="B10" s="3461" t="s">
        <v>2488</v>
      </c>
      <c r="C10" s="3461"/>
      <c r="D10" s="2513">
        <v>527</v>
      </c>
      <c r="E10" s="2513" t="e">
        <f>ROUND(D1*10000/D10/H9,0)</f>
        <v>#DIV/0!</v>
      </c>
      <c r="F10" s="2514"/>
      <c r="G10" s="2514"/>
      <c r="H10" s="2515"/>
      <c r="I10" s="2516">
        <f>SUM(I3:I9)</f>
        <v>0</v>
      </c>
    </row>
    <row r="11" spans="1:9" ht="14.25">
      <c r="A11" s="3459" t="s">
        <v>2489</v>
      </c>
      <c r="B11" s="3460" t="s">
        <v>2490</v>
      </c>
      <c r="C11" s="3460"/>
      <c r="D11" s="2509" t="s">
        <v>2491</v>
      </c>
      <c r="E11" s="2509" t="s">
        <v>2492</v>
      </c>
      <c r="F11" s="2510" t="s">
        <v>2493</v>
      </c>
      <c r="G11" s="2510" t="s">
        <v>2494</v>
      </c>
      <c r="H11" s="2517" t="s">
        <v>2495</v>
      </c>
      <c r="I11" s="2508" t="s">
        <v>2496</v>
      </c>
    </row>
    <row r="12" spans="1:9">
      <c r="A12" s="3459"/>
      <c r="B12" s="3460" t="s">
        <v>2497</v>
      </c>
      <c r="C12" s="3460"/>
      <c r="D12" s="2509"/>
      <c r="E12" s="2509"/>
      <c r="F12" s="2510"/>
      <c r="G12" s="2511"/>
      <c r="H12" s="2518"/>
      <c r="I12" s="2508">
        <f>ROUND(D12*E12*F12*G12/10000,0)</f>
        <v>0</v>
      </c>
    </row>
    <row r="13" spans="1:9">
      <c r="A13" s="3459"/>
      <c r="B13" s="3460" t="s">
        <v>2498</v>
      </c>
      <c r="C13" s="3460"/>
      <c r="D13" s="2509"/>
      <c r="E13" s="2509"/>
      <c r="F13" s="2510"/>
      <c r="G13" s="2511"/>
      <c r="H13" s="2518"/>
      <c r="I13" s="2508">
        <f>ROUND(D13*E13*F13*G13/10000,0)</f>
        <v>0</v>
      </c>
    </row>
    <row r="14" spans="1:9">
      <c r="A14" s="3459"/>
      <c r="B14" s="3460" t="s">
        <v>2499</v>
      </c>
      <c r="C14" s="3460"/>
      <c r="D14" s="2509"/>
      <c r="E14" s="2509"/>
      <c r="F14" s="2510"/>
      <c r="G14" s="2511"/>
      <c r="H14" s="2518"/>
      <c r="I14" s="2508">
        <f>ROUND(D14*E14*F14*G14/10000,0)</f>
        <v>0</v>
      </c>
    </row>
    <row r="15" spans="1:9">
      <c r="A15" s="3459"/>
      <c r="B15" s="3461" t="s">
        <v>2488</v>
      </c>
      <c r="C15" s="3461"/>
      <c r="D15" s="2513"/>
      <c r="E15" s="2513">
        <f>SUM(E12:E14)</f>
        <v>0</v>
      </c>
      <c r="F15" s="2514"/>
      <c r="G15" s="2511"/>
      <c r="H15" s="2518"/>
      <c r="I15" s="2519">
        <f>SUM(I12:I14)</f>
        <v>0</v>
      </c>
    </row>
    <row r="16" spans="1:9" ht="24">
      <c r="A16" s="3459" t="s">
        <v>2500</v>
      </c>
      <c r="B16" s="3460" t="s">
        <v>2501</v>
      </c>
      <c r="C16" s="3460"/>
      <c r="D16" s="2509" t="s">
        <v>2502</v>
      </c>
      <c r="E16" s="2520" t="s">
        <v>2503</v>
      </c>
      <c r="F16" s="2510" t="s">
        <v>2504</v>
      </c>
      <c r="G16" s="2511" t="s">
        <v>2494</v>
      </c>
      <c r="H16" s="2517" t="s">
        <v>2495</v>
      </c>
      <c r="I16" s="2508" t="s">
        <v>2496</v>
      </c>
    </row>
    <row r="17" spans="1:9" ht="14.25">
      <c r="A17" s="3459"/>
      <c r="B17" s="3460" t="s">
        <v>2505</v>
      </c>
      <c r="C17" s="3460"/>
      <c r="D17" s="2509"/>
      <c r="E17" s="2509"/>
      <c r="F17" s="2510"/>
      <c r="G17" s="2511"/>
      <c r="H17" s="2521"/>
      <c r="I17" s="2522">
        <f>ROUND(D17*E17*F17*G17/10000,0)</f>
        <v>0</v>
      </c>
    </row>
    <row r="18" spans="1:9" ht="14.25">
      <c r="A18" s="3459"/>
      <c r="B18" s="3460" t="s">
        <v>2506</v>
      </c>
      <c r="C18" s="3460"/>
      <c r="D18" s="2509"/>
      <c r="E18" s="2509"/>
      <c r="F18" s="2510"/>
      <c r="G18" s="2511"/>
      <c r="H18" s="2521"/>
      <c r="I18" s="2522">
        <f>ROUND(D18*E18*F18*G18/10000,0)</f>
        <v>0</v>
      </c>
    </row>
    <row r="19" spans="1:9" ht="14.25">
      <c r="A19" s="3459"/>
      <c r="B19" s="3460" t="s">
        <v>2507</v>
      </c>
      <c r="C19" s="3460"/>
      <c r="D19" s="2509"/>
      <c r="E19" s="2509"/>
      <c r="F19" s="2510"/>
      <c r="G19" s="2511"/>
      <c r="H19" s="2521"/>
      <c r="I19" s="2522">
        <f>ROUND(D19*E19*F19*G19/10000,0)</f>
        <v>0</v>
      </c>
    </row>
    <row r="20" spans="1:9">
      <c r="A20" s="3459"/>
      <c r="B20" s="3461" t="s">
        <v>2488</v>
      </c>
      <c r="C20" s="3461"/>
      <c r="D20" s="2513">
        <f>SUM(D17:D19)</f>
        <v>0</v>
      </c>
      <c r="E20" s="2513"/>
      <c r="F20" s="2514"/>
      <c r="G20" s="2511"/>
      <c r="H20" s="2518"/>
      <c r="I20" s="2519">
        <f>SUM(I17:I19)</f>
        <v>0</v>
      </c>
    </row>
    <row r="21" spans="1:9">
      <c r="A21" s="3459" t="s">
        <v>2508</v>
      </c>
      <c r="B21" s="3462"/>
      <c r="C21" s="3462"/>
      <c r="D21" s="3462"/>
      <c r="E21" s="3462"/>
      <c r="F21" s="3462"/>
      <c r="G21" s="3462"/>
      <c r="H21" s="2523">
        <v>0.1</v>
      </c>
      <c r="I21" s="2516">
        <f>ROUND(I10*H21,0)</f>
        <v>0</v>
      </c>
    </row>
    <row r="22" spans="1:9" ht="14.25">
      <c r="A22" s="3463" t="s">
        <v>2509</v>
      </c>
      <c r="B22" s="3464"/>
      <c r="C22" s="3465"/>
      <c r="D22" s="2524" t="s">
        <v>2510</v>
      </c>
      <c r="E22" s="2524" t="s">
        <v>2511</v>
      </c>
      <c r="F22" s="2525" t="s">
        <v>2512</v>
      </c>
      <c r="G22" s="2525" t="s">
        <v>2513</v>
      </c>
      <c r="H22" s="2517" t="s">
        <v>2514</v>
      </c>
      <c r="I22" s="2508" t="s">
        <v>2515</v>
      </c>
    </row>
    <row r="23" spans="1:9" ht="14.25" thickBot="1">
      <c r="A23" s="3466"/>
      <c r="B23" s="3467"/>
      <c r="C23" s="3468"/>
      <c r="D23" s="2526"/>
      <c r="E23" s="2526"/>
      <c r="F23" s="2526"/>
      <c r="G23" s="2527"/>
      <c r="H23" s="2528"/>
      <c r="I23" s="2529">
        <f>ROUND(E23*D23*F23*(1-G23)/10000,0)</f>
        <v>0</v>
      </c>
    </row>
    <row r="26" spans="1:9">
      <c r="A26" s="2530" t="s">
        <v>2516</v>
      </c>
      <c r="B26" s="2530"/>
      <c r="C26" s="2530"/>
      <c r="D26" s="2530"/>
      <c r="E26" s="3456">
        <f>C27-C30-C31-C32</f>
        <v>0</v>
      </c>
      <c r="F26" s="3456"/>
      <c r="G26" s="3456"/>
      <c r="H26" s="3043" t="s">
        <v>2844</v>
      </c>
    </row>
    <row r="27" spans="1:9">
      <c r="A27" s="2531">
        <v>1</v>
      </c>
      <c r="B27" s="2532" t="s">
        <v>2517</v>
      </c>
      <c r="C27" s="2532"/>
      <c r="D27" s="2532"/>
      <c r="E27" s="3457"/>
      <c r="F27" s="3457"/>
      <c r="G27" s="3457"/>
    </row>
    <row r="28" spans="1:9">
      <c r="A28" s="2533" t="s">
        <v>2518</v>
      </c>
      <c r="B28" s="2532" t="s">
        <v>2519</v>
      </c>
      <c r="C28" s="2532"/>
      <c r="D28" s="2532"/>
      <c r="E28" s="3457"/>
      <c r="F28" s="3457"/>
      <c r="G28" s="3457"/>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58"/>
      <c r="F32" s="3458"/>
      <c r="G32" s="3458"/>
    </row>
    <row r="33" spans="1:7" hidden="1">
      <c r="A33" s="3453" t="s">
        <v>2527</v>
      </c>
      <c r="B33" s="3454"/>
      <c r="C33" s="3454"/>
      <c r="D33" s="3455"/>
      <c r="E33" s="3456"/>
      <c r="F33" s="3456"/>
      <c r="G33" s="3456"/>
    </row>
    <row r="34" spans="1:7" hidden="1">
      <c r="A34" s="2535">
        <v>1</v>
      </c>
      <c r="B34" s="2532" t="s">
        <v>2528</v>
      </c>
      <c r="C34" s="2532"/>
      <c r="D34" s="2532"/>
      <c r="E34" s="3457"/>
      <c r="F34" s="3457"/>
      <c r="G34" s="3457"/>
    </row>
    <row r="35" spans="1:7" hidden="1">
      <c r="A35" s="2535">
        <v>2</v>
      </c>
      <c r="B35" s="2532" t="s">
        <v>2529</v>
      </c>
      <c r="C35" s="2532"/>
      <c r="D35" s="2532"/>
      <c r="E35" s="3457"/>
      <c r="F35" s="3457"/>
      <c r="G35" s="3457"/>
    </row>
    <row r="36" spans="1:7" hidden="1">
      <c r="A36" s="2535">
        <v>3</v>
      </c>
      <c r="B36" s="2532" t="s">
        <v>2530</v>
      </c>
      <c r="C36" s="2532"/>
      <c r="D36" s="2532"/>
      <c r="E36" s="3457"/>
      <c r="F36" s="3457"/>
      <c r="G36" s="3457"/>
    </row>
    <row r="37" spans="1:7" hidden="1">
      <c r="A37" s="2535">
        <v>4</v>
      </c>
      <c r="B37" s="2532" t="s">
        <v>2531</v>
      </c>
      <c r="C37" s="2532"/>
      <c r="D37" s="2532"/>
      <c r="E37" s="3457"/>
      <c r="F37" s="3457"/>
      <c r="G37" s="3457"/>
    </row>
    <row r="38" spans="1:7" hidden="1">
      <c r="A38" s="3453" t="s">
        <v>2532</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601</v>
      </c>
      <c r="B1" s="741"/>
      <c r="C1" s="2182"/>
      <c r="D1" s="2182"/>
      <c r="E1" s="2182"/>
      <c r="F1" s="2182"/>
      <c r="G1" s="2108"/>
    </row>
    <row r="2" spans="1:25" s="2059" customFormat="1" ht="18" customHeight="1">
      <c r="A2" s="422" t="s">
        <v>465</v>
      </c>
      <c r="B2" s="424">
        <f ca="1">C23</f>
        <v>0</v>
      </c>
      <c r="C2" s="2108"/>
      <c r="D2" s="2108"/>
      <c r="E2" s="2108"/>
      <c r="F2" s="2108"/>
      <c r="G2" s="2108"/>
    </row>
    <row r="3" spans="1:25" s="2059" customFormat="1" ht="18" customHeight="1">
      <c r="A3" s="1378" t="s">
        <v>1684</v>
      </c>
      <c r="B3" s="424">
        <f ca="1">ROUND(B2*10000/'数据-汇总表'!E3,0)</f>
        <v>0</v>
      </c>
      <c r="C3" s="2108"/>
      <c r="D3" s="2108"/>
      <c r="E3" s="2108"/>
      <c r="F3" s="2108"/>
      <c r="G3" s="2108"/>
    </row>
    <row r="4" spans="1:25" s="2059" customFormat="1" ht="18" customHeight="1">
      <c r="A4" s="425" t="s">
        <v>466</v>
      </c>
      <c r="B4" s="426">
        <f ca="1">ROUND(B2*10000/'数据-汇总表'!D3,0)</f>
        <v>0</v>
      </c>
      <c r="C4" s="2061"/>
      <c r="D4" s="2108"/>
      <c r="E4" s="2108"/>
      <c r="F4" s="2108"/>
      <c r="G4" s="2108"/>
    </row>
    <row r="5" spans="1:25" s="2059" customFormat="1" ht="18" customHeight="1" thickBot="1">
      <c r="A5" s="428"/>
      <c r="B5" s="429">
        <f ca="1">ROUND(B2/('数据-汇总表'!D3/666.67),0)</f>
        <v>0</v>
      </c>
      <c r="C5" s="430" t="s">
        <v>467</v>
      </c>
      <c r="D5" s="2108"/>
      <c r="E5" s="2108"/>
      <c r="F5" s="2108"/>
      <c r="G5" s="2108"/>
    </row>
    <row r="6" spans="1:25" s="2183" customFormat="1" ht="13.5" customHeight="1">
      <c r="A6" s="742"/>
      <c r="B6" s="743" t="s">
        <v>602</v>
      </c>
      <c r="C6" s="744" t="s">
        <v>603</v>
      </c>
      <c r="D6" s="744" t="s">
        <v>604</v>
      </c>
      <c r="E6" s="745" t="s">
        <v>605</v>
      </c>
      <c r="F6" s="745" t="s">
        <v>606</v>
      </c>
      <c r="G6" s="746"/>
    </row>
    <row r="7" spans="1:25" s="2183" customFormat="1" ht="13.5" customHeight="1">
      <c r="A7" s="2469">
        <v>1</v>
      </c>
      <c r="B7" s="747" t="s">
        <v>607</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611</v>
      </c>
      <c r="C10" s="748">
        <f>C11+C14+C15</f>
        <v>0</v>
      </c>
      <c r="D10" s="759">
        <f>'数据-汇总表'!E3</f>
        <v>117636.4</v>
      </c>
      <c r="E10" s="748">
        <f>'数据-取费表'!B31</f>
        <v>150</v>
      </c>
      <c r="F10" s="760"/>
      <c r="G10" s="758" t="s">
        <v>612</v>
      </c>
    </row>
    <row r="11" spans="1:25" s="2183" customFormat="1" ht="13.5" customHeight="1">
      <c r="A11" s="2469" t="s">
        <v>2441</v>
      </c>
      <c r="B11" s="751" t="s">
        <v>608</v>
      </c>
      <c r="C11" s="752">
        <f>'数据-取费表'!B29</f>
        <v>0</v>
      </c>
      <c r="D11" s="753"/>
      <c r="E11" s="752"/>
      <c r="F11" s="754"/>
      <c r="G11" s="2478" t="s">
        <v>2452</v>
      </c>
    </row>
    <row r="12" spans="1:25" s="2183" customFormat="1" ht="13.5" customHeight="1">
      <c r="A12" s="2476" t="s">
        <v>2449</v>
      </c>
      <c r="B12" s="755" t="s">
        <v>609</v>
      </c>
      <c r="C12" s="756">
        <f>ROUND(D12*E12/10000,0)</f>
        <v>687</v>
      </c>
      <c r="D12" s="757">
        <f>'数据-汇总表'!E5</f>
        <v>74623.399999999994</v>
      </c>
      <c r="E12" s="756">
        <f>'数据-取费表'!B27</f>
        <v>92</v>
      </c>
      <c r="F12" s="754"/>
      <c r="G12" s="758"/>
    </row>
    <row r="13" spans="1:25" s="2183" customFormat="1" ht="13.5" customHeight="1">
      <c r="A13" s="2476" t="s">
        <v>2448</v>
      </c>
      <c r="B13" s="755" t="s">
        <v>610</v>
      </c>
      <c r="C13" s="756">
        <f>ROUND(D13*E13/10000,0)</f>
        <v>396</v>
      </c>
      <c r="D13" s="757">
        <f>'数据-汇总表'!E6</f>
        <v>43013</v>
      </c>
      <c r="E13" s="756">
        <f>'数据-取费表'!B28</f>
        <v>92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613</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614</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615</v>
      </c>
      <c r="C18" s="748">
        <f>ROUND((C7+C10+C16)*F18,0)</f>
        <v>0</v>
      </c>
      <c r="D18" s="761"/>
      <c r="E18" s="762"/>
      <c r="F18" s="760">
        <f>'数据-取费表'!Q16</f>
        <v>0.1</v>
      </c>
      <c r="G18" s="764"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617</v>
      </c>
      <c r="C19" s="748">
        <f ca="1">C7+C10+C16+C17+C18</f>
        <v>0</v>
      </c>
      <c r="D19" s="759"/>
      <c r="E19" s="748"/>
      <c r="F19" s="760"/>
      <c r="G19" s="764"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619</v>
      </c>
      <c r="C20" s="748">
        <f ca="1">ROUND(C19*F20,0)</f>
        <v>0</v>
      </c>
      <c r="D20" s="759"/>
      <c r="E20" s="748"/>
      <c r="F20" s="1347"/>
      <c r="G20" s="764"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621</v>
      </c>
      <c r="C21" s="748">
        <f ca="1">C19+C20</f>
        <v>0</v>
      </c>
      <c r="D21" s="759"/>
      <c r="E21" s="748"/>
      <c r="F21" s="760"/>
      <c r="G21" s="764"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623</v>
      </c>
      <c r="C22" s="748">
        <f ca="1">ROUND(C21*F22,0)</f>
        <v>0</v>
      </c>
      <c r="D22" s="759"/>
      <c r="E22" s="748"/>
      <c r="F22" s="765">
        <f>'数据-取费表'!AP16</f>
        <v>0.95399999999999996</v>
      </c>
      <c r="G22" s="764"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625</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39" sqref="M38:M39"/>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2623" t="s">
        <v>717</v>
      </c>
      <c r="C1" s="2624" t="s">
        <v>718</v>
      </c>
      <c r="D1" s="2625" t="s">
        <v>2985</v>
      </c>
      <c r="E1" s="2626"/>
      <c r="F1" s="2807" t="s">
        <v>3117</v>
      </c>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465</v>
      </c>
      <c r="B2" s="2622">
        <f>ROUND(B3*D3/10000,0)</f>
        <v>79847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517</v>
      </c>
      <c r="B3" s="850">
        <f>C49</f>
        <v>10700</v>
      </c>
      <c r="C3" s="851" t="s">
        <v>720</v>
      </c>
      <c r="D3" s="850">
        <f>SUMIF('数据-汇总表'!$C19:$C33,D1,'数据-汇总表'!$E19:$E33)</f>
        <v>74623.399999999994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519</v>
      </c>
      <c r="B4" s="512"/>
      <c r="C4" s="3381" t="s">
        <v>520</v>
      </c>
      <c r="D4" s="3382"/>
      <c r="E4" s="3405" t="s">
        <v>521</v>
      </c>
      <c r="F4" s="3406"/>
      <c r="G4" s="3381" t="s">
        <v>522</v>
      </c>
      <c r="H4" s="3382"/>
      <c r="I4" s="3381" t="s">
        <v>523</v>
      </c>
      <c r="J4" s="3382"/>
      <c r="K4" s="852" t="s">
        <v>524</v>
      </c>
      <c r="L4" s="2133"/>
      <c r="M4" s="2134"/>
      <c r="N4" s="2134"/>
      <c r="O4" s="2134"/>
      <c r="P4" s="3383" t="s">
        <v>525</v>
      </c>
      <c r="Q4" s="3384"/>
      <c r="R4" s="3369" t="s">
        <v>521</v>
      </c>
      <c r="S4" s="3370"/>
      <c r="T4" s="3369" t="s">
        <v>522</v>
      </c>
      <c r="U4" s="3370"/>
      <c r="V4" s="3389" t="s">
        <v>523</v>
      </c>
      <c r="W4" s="3389"/>
      <c r="X4" s="1566"/>
      <c r="Y4" s="3369" t="s">
        <v>525</v>
      </c>
      <c r="Z4" s="3370"/>
      <c r="AA4" s="3364" t="s">
        <v>521</v>
      </c>
      <c r="AB4" s="3364" t="s">
        <v>522</v>
      </c>
      <c r="AC4" s="3364" t="s">
        <v>523</v>
      </c>
    </row>
    <row r="5" spans="1:29" ht="15">
      <c r="A5" s="514"/>
      <c r="B5" s="515"/>
      <c r="C5" s="3392" t="s">
        <v>2928</v>
      </c>
      <c r="D5" s="3393"/>
      <c r="E5" s="3474" t="s">
        <v>3118</v>
      </c>
      <c r="F5" s="3408"/>
      <c r="G5" s="3475" t="s">
        <v>3119</v>
      </c>
      <c r="H5" s="3393"/>
      <c r="I5" s="3475" t="s">
        <v>3120</v>
      </c>
      <c r="J5" s="3393"/>
      <c r="K5" s="853"/>
      <c r="L5" s="2133"/>
      <c r="M5" s="2134"/>
      <c r="N5" s="2134"/>
      <c r="O5" s="2134"/>
      <c r="P5" s="3385"/>
      <c r="Q5" s="3386"/>
      <c r="R5" s="3371"/>
      <c r="S5" s="3372"/>
      <c r="T5" s="3371"/>
      <c r="U5" s="3372"/>
      <c r="V5" s="3389"/>
      <c r="W5" s="3389"/>
      <c r="X5" s="1566"/>
      <c r="Y5" s="3371"/>
      <c r="Z5" s="3372"/>
      <c r="AA5" s="3365"/>
      <c r="AB5" s="3365"/>
      <c r="AC5" s="3365"/>
    </row>
    <row r="6" spans="1:29" ht="15.75" thickBot="1">
      <c r="A6" s="516"/>
      <c r="B6" s="517"/>
      <c r="C6" s="3390" t="s">
        <v>2932</v>
      </c>
      <c r="D6" s="3391"/>
      <c r="E6" s="3476" t="s">
        <v>3121</v>
      </c>
      <c r="F6" s="3410"/>
      <c r="G6" s="3477" t="s">
        <v>3122</v>
      </c>
      <c r="H6" s="3391"/>
      <c r="I6" s="3477" t="s">
        <v>3123</v>
      </c>
      <c r="J6" s="3391"/>
      <c r="K6" s="853" t="s">
        <v>526</v>
      </c>
      <c r="L6" s="2133"/>
      <c r="M6" s="2134"/>
      <c r="N6" s="2134"/>
      <c r="O6" s="2134"/>
      <c r="P6" s="3387"/>
      <c r="Q6" s="3388"/>
      <c r="R6" s="3371"/>
      <c r="S6" s="3372"/>
      <c r="T6" s="3373"/>
      <c r="U6" s="3374"/>
      <c r="V6" s="3389"/>
      <c r="W6" s="3389"/>
      <c r="X6" s="1566"/>
      <c r="Y6" s="3373"/>
      <c r="Z6" s="3374"/>
      <c r="AA6" s="3366"/>
      <c r="AB6" s="3366"/>
      <c r="AC6" s="3366"/>
    </row>
    <row r="7" spans="1:29" s="1218" customFormat="1" ht="15.75" thickBot="1">
      <c r="A7" s="2911"/>
      <c r="B7" s="2918" t="s">
        <v>527</v>
      </c>
      <c r="C7" s="518">
        <f>'数据-取费表'!B2</f>
        <v>43276</v>
      </c>
      <c r="D7" s="519">
        <v>100</v>
      </c>
      <c r="E7" s="520">
        <v>43276</v>
      </c>
      <c r="F7" s="521">
        <f>SUMIF(58:58,YEAR(E7)&amp;"-"&amp;MONTH(E7),59:59)</f>
        <v>100</v>
      </c>
      <c r="G7" s="520">
        <v>43276</v>
      </c>
      <c r="H7" s="519">
        <f>SUMIF(58:58,YEAR(G7)&amp;"-"&amp;MONTH(G7),59:59)</f>
        <v>100</v>
      </c>
      <c r="I7" s="520">
        <v>43276</v>
      </c>
      <c r="J7" s="519">
        <f>SUMIF(58:58,YEAR(I7)&amp;"-"&amp;MONTH(I7),59:59)</f>
        <v>100</v>
      </c>
      <c r="K7" s="854"/>
      <c r="L7" s="2135"/>
      <c r="M7" s="2136"/>
      <c r="N7" s="2136"/>
      <c r="O7" s="2136"/>
      <c r="P7" s="3367" t="s">
        <v>528</v>
      </c>
      <c r="Q7" s="3376"/>
      <c r="R7" s="1567" t="s">
        <v>13</v>
      </c>
      <c r="S7" s="1568">
        <f t="shared" ref="S7:S15" si="0">F7</f>
        <v>100</v>
      </c>
      <c r="T7" s="1567" t="s">
        <v>13</v>
      </c>
      <c r="U7" s="1568">
        <f t="shared" ref="U7:U15" si="1">H7</f>
        <v>100</v>
      </c>
      <c r="V7" s="1567" t="s">
        <v>13</v>
      </c>
      <c r="W7" s="1568">
        <f t="shared" ref="W7:W15" si="2">J7</f>
        <v>100</v>
      </c>
      <c r="X7" s="1569"/>
      <c r="Y7" s="3367" t="s">
        <v>528</v>
      </c>
      <c r="Z7" s="3368"/>
      <c r="AA7" s="1570">
        <f>D7/F7</f>
        <v>1</v>
      </c>
      <c r="AB7" s="1570">
        <f>D7/H7</f>
        <v>1</v>
      </c>
      <c r="AC7" s="1570">
        <f>D7/J7</f>
        <v>1</v>
      </c>
    </row>
    <row r="8" spans="1:29" s="1218" customFormat="1" ht="15.75" thickBot="1">
      <c r="A8" s="2912"/>
      <c r="B8" s="2919" t="s">
        <v>529</v>
      </c>
      <c r="C8" s="524" t="s">
        <v>574</v>
      </c>
      <c r="D8" s="519">
        <v>100</v>
      </c>
      <c r="E8" s="524" t="s">
        <v>574</v>
      </c>
      <c r="F8" s="521">
        <f>SUMIF(61:61,E8,62:62)-SUMIF(61:61,C8,62:62)+100</f>
        <v>100</v>
      </c>
      <c r="G8" s="524" t="s">
        <v>574</v>
      </c>
      <c r="H8" s="519">
        <f>SUMIF(61:61,G8,62:62)-SUMIF(61:61,C8,62:62)+100</f>
        <v>100</v>
      </c>
      <c r="I8" s="524" t="s">
        <v>574</v>
      </c>
      <c r="J8" s="519">
        <f>SUMIF(61:61,I8,62:62)-SUMIF(61:61,C8,62:62)+100</f>
        <v>100</v>
      </c>
      <c r="K8" s="854"/>
      <c r="L8" s="2135"/>
      <c r="M8" s="2136"/>
      <c r="N8" s="2136"/>
      <c r="O8" s="2136"/>
      <c r="P8" s="3367" t="s">
        <v>531</v>
      </c>
      <c r="Q8" s="3368"/>
      <c r="R8" s="1567" t="s">
        <v>13</v>
      </c>
      <c r="S8" s="1568">
        <f t="shared" si="0"/>
        <v>100</v>
      </c>
      <c r="T8" s="1567" t="s">
        <v>13</v>
      </c>
      <c r="U8" s="1568">
        <f t="shared" si="1"/>
        <v>100</v>
      </c>
      <c r="V8" s="1567" t="s">
        <v>13</v>
      </c>
      <c r="W8" s="1568">
        <f t="shared" si="2"/>
        <v>100</v>
      </c>
      <c r="X8" s="1569"/>
      <c r="Y8" s="3367" t="s">
        <v>531</v>
      </c>
      <c r="Z8" s="3368"/>
      <c r="AA8" s="1570">
        <f t="shared" ref="AA8:AA46" si="3">D8/F8</f>
        <v>1</v>
      </c>
      <c r="AB8" s="1570">
        <f t="shared" ref="AB8:AB46" si="4">D8/H8</f>
        <v>1</v>
      </c>
      <c r="AC8" s="1570">
        <f t="shared" ref="AC8:AC46" si="5">D8/J8</f>
        <v>1</v>
      </c>
    </row>
    <row r="9" spans="1:29" s="1218" customFormat="1" ht="15">
      <c r="A9" s="2913"/>
      <c r="B9" s="2920" t="s">
        <v>2757</v>
      </c>
      <c r="C9" s="3187" t="s">
        <v>3124</v>
      </c>
      <c r="D9" s="253">
        <v>100</v>
      </c>
      <c r="E9" s="3187" t="s">
        <v>3124</v>
      </c>
      <c r="F9" s="858">
        <f>SUMIF(63:63,E9,64:64)-SUMIF(63:63,C9,64:64)+100</f>
        <v>100</v>
      </c>
      <c r="G9" s="3187" t="s">
        <v>3124</v>
      </c>
      <c r="H9" s="253">
        <f>SUMIF(63:63,G9,64:64)-SUMIF(63:63,C9,64:64)+100</f>
        <v>100</v>
      </c>
      <c r="I9" s="3187" t="s">
        <v>3124</v>
      </c>
      <c r="J9" s="253">
        <f>SUMIF(63:63,I9,64:64)-SUMIF(63:63,C9,64:64)+100</f>
        <v>100</v>
      </c>
      <c r="K9" s="854"/>
      <c r="L9" s="2135"/>
      <c r="M9" s="2136"/>
      <c r="N9" s="2136"/>
      <c r="O9" s="2137"/>
      <c r="P9" s="3375" t="s">
        <v>533</v>
      </c>
      <c r="Q9" s="1149" t="str">
        <f t="shared" ref="Q9:Q15" si="6">B9</f>
        <v>用途</v>
      </c>
      <c r="R9" s="1567" t="s">
        <v>8</v>
      </c>
      <c r="S9" s="1568">
        <f t="shared" si="0"/>
        <v>100</v>
      </c>
      <c r="T9" s="1567" t="s">
        <v>8</v>
      </c>
      <c r="U9" s="1568">
        <f t="shared" si="1"/>
        <v>100</v>
      </c>
      <c r="V9" s="1567" t="s">
        <v>8</v>
      </c>
      <c r="W9" s="1568">
        <f t="shared" si="2"/>
        <v>100</v>
      </c>
      <c r="X9" s="1569"/>
      <c r="Y9" s="3332" t="s">
        <v>534</v>
      </c>
      <c r="Z9" s="1148" t="str">
        <f t="shared" ref="Z9:Z15" si="7">Q9</f>
        <v>用途</v>
      </c>
      <c r="AA9" s="1570">
        <f t="shared" si="3"/>
        <v>1</v>
      </c>
      <c r="AB9" s="1570">
        <f t="shared" si="4"/>
        <v>1</v>
      </c>
      <c r="AC9" s="1570">
        <f t="shared" si="5"/>
        <v>1</v>
      </c>
    </row>
    <row r="10" spans="1:29" s="1336" customFormat="1" ht="27">
      <c r="A10" s="2914"/>
      <c r="B10" s="2919" t="s">
        <v>2758</v>
      </c>
      <c r="C10" s="860" t="s">
        <v>3125</v>
      </c>
      <c r="D10" s="254">
        <v>100</v>
      </c>
      <c r="E10" s="861" t="s">
        <v>3125</v>
      </c>
      <c r="F10" s="862">
        <f>SUMIF(65:65,E10,66:66)-SUMIF(65:65,C10,66:66)+100</f>
        <v>100</v>
      </c>
      <c r="G10" s="860" t="s">
        <v>3125</v>
      </c>
      <c r="H10" s="254">
        <f>SUMIF(65:65,G10,66:66)-SUMIF(65:65,C10,66:66)+100</f>
        <v>100</v>
      </c>
      <c r="I10" s="860" t="s">
        <v>3125</v>
      </c>
      <c r="J10" s="254">
        <f>SUMIF(65:65,I10,66:66)-SUMIF(65:65,C10,66:66)+100</f>
        <v>100</v>
      </c>
      <c r="K10" s="863">
        <v>2</v>
      </c>
      <c r="L10" s="2138"/>
      <c r="M10" s="2178"/>
      <c r="N10" s="2178"/>
      <c r="O10" s="2139"/>
      <c r="P10" s="3375"/>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75" thickBot="1">
      <c r="A11" s="2915"/>
      <c r="B11" s="2919" t="s">
        <v>2759</v>
      </c>
      <c r="C11" s="532">
        <f>'比较法-住宅、综合'!C13</f>
        <v>1.8</v>
      </c>
      <c r="D11" s="254">
        <v>100</v>
      </c>
      <c r="E11" s="533">
        <v>2.2000000000000002</v>
      </c>
      <c r="F11" s="862">
        <f>LOOKUP(E11,68:68,69:69)-LOOKUP(C11,68:68,69:69)+100</f>
        <v>95</v>
      </c>
      <c r="G11" s="532">
        <v>2.2000000000000002</v>
      </c>
      <c r="H11" s="254">
        <f>LOOKUP(G11,68:68,69:69)-LOOKUP(C11,68:68,69:69)+100</f>
        <v>95</v>
      </c>
      <c r="I11" s="532">
        <v>2</v>
      </c>
      <c r="J11" s="254">
        <f>LOOKUP(I11,68:68,69:69)-LOOKUP(C11,68:68,69:69)+100</f>
        <v>95</v>
      </c>
      <c r="K11" s="863">
        <v>5</v>
      </c>
      <c r="L11" s="2140"/>
      <c r="M11" s="2134"/>
      <c r="N11" s="2134"/>
      <c r="O11" s="2141"/>
      <c r="P11" s="3375"/>
      <c r="Q11" s="1149" t="str">
        <f t="shared" si="6"/>
        <v>容积率</v>
      </c>
      <c r="R11" s="1567" t="s">
        <v>11</v>
      </c>
      <c r="S11" s="1568">
        <f t="shared" si="0"/>
        <v>95</v>
      </c>
      <c r="T11" s="1567" t="s">
        <v>11</v>
      </c>
      <c r="U11" s="1568">
        <f t="shared" si="1"/>
        <v>95</v>
      </c>
      <c r="V11" s="1567" t="s">
        <v>11</v>
      </c>
      <c r="W11" s="1568">
        <f t="shared" si="2"/>
        <v>95</v>
      </c>
      <c r="X11" s="1569"/>
      <c r="Y11" s="3332"/>
      <c r="Z11" s="1148" t="str">
        <f t="shared" si="7"/>
        <v>容积率</v>
      </c>
      <c r="AA11" s="1570">
        <f t="shared" si="3"/>
        <v>1.0526315789473684</v>
      </c>
      <c r="AB11" s="1570">
        <f t="shared" si="4"/>
        <v>1.0526315789473684</v>
      </c>
      <c r="AC11" s="1570">
        <f t="shared" si="5"/>
        <v>1.0526315789473684</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5"/>
      <c r="Q12" s="1149">
        <f t="shared" si="6"/>
        <v>111</v>
      </c>
      <c r="R12" s="1567" t="s">
        <v>11</v>
      </c>
      <c r="S12" s="1568">
        <f t="shared" si="0"/>
        <v>100</v>
      </c>
      <c r="T12" s="1567" t="s">
        <v>11</v>
      </c>
      <c r="U12" s="1568">
        <f t="shared" si="1"/>
        <v>100</v>
      </c>
      <c r="V12" s="1567" t="s">
        <v>11</v>
      </c>
      <c r="W12" s="1568">
        <f t="shared" si="2"/>
        <v>100</v>
      </c>
      <c r="X12" s="1569"/>
      <c r="Y12" s="3332"/>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5"/>
      <c r="Q13" s="1149">
        <f t="shared" si="6"/>
        <v>111</v>
      </c>
      <c r="R13" s="1567" t="s">
        <v>11</v>
      </c>
      <c r="S13" s="1568">
        <f t="shared" si="0"/>
        <v>100</v>
      </c>
      <c r="T13" s="1567" t="s">
        <v>11</v>
      </c>
      <c r="U13" s="1568">
        <f t="shared" si="1"/>
        <v>100</v>
      </c>
      <c r="V13" s="1567" t="s">
        <v>11</v>
      </c>
      <c r="W13" s="1568">
        <f t="shared" si="2"/>
        <v>100</v>
      </c>
      <c r="X13" s="1569"/>
      <c r="Y13" s="3332"/>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5"/>
      <c r="Q14" s="1149">
        <f t="shared" si="6"/>
        <v>111</v>
      </c>
      <c r="R14" s="1567" t="s">
        <v>11</v>
      </c>
      <c r="S14" s="1568">
        <f t="shared" si="0"/>
        <v>100</v>
      </c>
      <c r="T14" s="1567" t="s">
        <v>11</v>
      </c>
      <c r="U14" s="1568">
        <f t="shared" si="1"/>
        <v>100</v>
      </c>
      <c r="V14" s="1567" t="s">
        <v>11</v>
      </c>
      <c r="W14" s="1568">
        <f t="shared" si="2"/>
        <v>100</v>
      </c>
      <c r="X14" s="1569"/>
      <c r="Y14" s="3332"/>
      <c r="Z14" s="1148">
        <f t="shared" si="7"/>
        <v>111</v>
      </c>
      <c r="AA14" s="1570">
        <f t="shared" si="3"/>
        <v>1</v>
      </c>
      <c r="AB14" s="1570">
        <f t="shared" si="4"/>
        <v>1</v>
      </c>
      <c r="AC14" s="1570">
        <f t="shared" si="5"/>
        <v>1</v>
      </c>
    </row>
    <row r="15" spans="1:29" ht="15">
      <c r="A15" s="2909" t="s">
        <v>2755</v>
      </c>
      <c r="B15" s="165" t="s">
        <v>293</v>
      </c>
      <c r="C15" s="866" t="str">
        <f>估价对象房地状况!C3</f>
        <v>0</v>
      </c>
      <c r="D15" s="548">
        <v>100</v>
      </c>
      <c r="E15" s="549"/>
      <c r="F15" s="550">
        <f>SUMIF(76:76,E16,77:77)-SUMIF(76:76,C16,77:77)+100</f>
        <v>100</v>
      </c>
      <c r="G15" s="551"/>
      <c r="H15" s="548">
        <f>SUMIF(76:76,G16,77:77)-SUMIF(76:76,C16,77:77)+100</f>
        <v>100</v>
      </c>
      <c r="I15" s="549"/>
      <c r="J15" s="548">
        <f>SUMIF(76:76,I16,77:77)-SUMIF(76:76,C16,77:77)+100</f>
        <v>100</v>
      </c>
      <c r="K15" s="867">
        <v>2</v>
      </c>
      <c r="L15" s="2142"/>
      <c r="M15" s="2134"/>
      <c r="N15" s="2134"/>
      <c r="O15" s="2141"/>
      <c r="P15" s="3377" t="s">
        <v>538</v>
      </c>
      <c r="Q15" s="1571" t="str">
        <f t="shared" si="6"/>
        <v>居住社区成熟度</v>
      </c>
      <c r="R15" s="1572" t="s">
        <v>11</v>
      </c>
      <c r="S15" s="1573">
        <f t="shared" si="0"/>
        <v>100</v>
      </c>
      <c r="T15" s="1572" t="s">
        <v>11</v>
      </c>
      <c r="U15" s="1573">
        <f t="shared" si="1"/>
        <v>100</v>
      </c>
      <c r="V15" s="1572" t="s">
        <v>11</v>
      </c>
      <c r="W15" s="1573">
        <f t="shared" si="2"/>
        <v>100</v>
      </c>
      <c r="X15" s="1566"/>
      <c r="Y15" s="3377" t="s">
        <v>538</v>
      </c>
      <c r="Z15" s="1574" t="str">
        <f t="shared" si="7"/>
        <v>居住社区成熟度</v>
      </c>
      <c r="AA15" s="1575">
        <f t="shared" si="3"/>
        <v>1</v>
      </c>
      <c r="AB15" s="1575">
        <f t="shared" si="4"/>
        <v>1</v>
      </c>
      <c r="AC15" s="1575">
        <f t="shared" si="5"/>
        <v>1</v>
      </c>
    </row>
    <row r="16" spans="1:29" ht="15">
      <c r="A16" s="531"/>
      <c r="B16" s="868"/>
      <c r="C16" s="575" t="str">
        <f>'比较法-住宅、综合'!C18</f>
        <v>一般</v>
      </c>
      <c r="D16" s="554"/>
      <c r="E16" s="3192" t="str">
        <f>'比较法-住宅、综合'!E18</f>
        <v>一般</v>
      </c>
      <c r="F16" s="556"/>
      <c r="G16" s="575" t="str">
        <f>'比较法-住宅、综合'!G18</f>
        <v>一般</v>
      </c>
      <c r="H16" s="558"/>
      <c r="I16" s="575" t="str">
        <f>'比较法-住宅、综合'!I18</f>
        <v>一般</v>
      </c>
      <c r="J16" s="554"/>
      <c r="K16" s="869"/>
      <c r="L16" s="2142"/>
      <c r="M16" s="2134"/>
      <c r="N16" s="2134"/>
      <c r="O16" s="2141"/>
      <c r="P16" s="3378"/>
      <c r="Q16" s="1571"/>
      <c r="R16" s="1572"/>
      <c r="S16" s="1573"/>
      <c r="T16" s="1572"/>
      <c r="U16" s="1573"/>
      <c r="V16" s="1572"/>
      <c r="W16" s="1573"/>
      <c r="X16" s="1566"/>
      <c r="Y16" s="3378"/>
      <c r="Z16" s="1574"/>
      <c r="AA16" s="1575">
        <v>1</v>
      </c>
      <c r="AB16" s="1575">
        <v>1</v>
      </c>
      <c r="AC16" s="1575">
        <v>1</v>
      </c>
    </row>
    <row r="17" spans="1:29" ht="15">
      <c r="A17" s="531"/>
      <c r="B17" s="870" t="s">
        <v>294</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378"/>
      <c r="Q17" s="1571" t="str">
        <f>B17</f>
        <v>交通便捷度</v>
      </c>
      <c r="R17" s="1572" t="s">
        <v>11</v>
      </c>
      <c r="S17" s="1573">
        <f>F17</f>
        <v>100</v>
      </c>
      <c r="T17" s="1572" t="s">
        <v>11</v>
      </c>
      <c r="U17" s="1573">
        <f>H17</f>
        <v>100</v>
      </c>
      <c r="V17" s="1572" t="s">
        <v>11</v>
      </c>
      <c r="W17" s="1573">
        <f>J17</f>
        <v>100</v>
      </c>
      <c r="X17" s="1566"/>
      <c r="Y17" s="3378"/>
      <c r="Z17" s="1574" t="str">
        <f>Q17</f>
        <v>交通便捷度</v>
      </c>
      <c r="AA17" s="1575">
        <f t="shared" si="3"/>
        <v>1</v>
      </c>
      <c r="AB17" s="1575">
        <f t="shared" si="4"/>
        <v>1</v>
      </c>
      <c r="AC17" s="1575">
        <f t="shared" si="5"/>
        <v>1</v>
      </c>
    </row>
    <row r="18" spans="1:29" ht="15">
      <c r="A18" s="531"/>
      <c r="B18" s="594"/>
      <c r="C18" s="872" t="str">
        <f>'比较法-住宅、综合'!C24</f>
        <v>一般</v>
      </c>
      <c r="D18" s="558"/>
      <c r="E18" s="872" t="str">
        <f>'比较法-住宅、综合'!E24</f>
        <v>一般</v>
      </c>
      <c r="F18" s="562"/>
      <c r="G18" s="3191" t="s">
        <v>3134</v>
      </c>
      <c r="H18" s="554"/>
      <c r="I18" s="872" t="str">
        <f>'比较法-住宅、综合'!I24</f>
        <v>一般</v>
      </c>
      <c r="J18" s="554"/>
      <c r="K18" s="869"/>
      <c r="L18" s="2142"/>
      <c r="M18" s="2134"/>
      <c r="N18" s="2134"/>
      <c r="O18" s="2141"/>
      <c r="P18" s="3378"/>
      <c r="Q18" s="1571"/>
      <c r="R18" s="1572"/>
      <c r="S18" s="1573"/>
      <c r="T18" s="1572"/>
      <c r="U18" s="1573"/>
      <c r="V18" s="1572"/>
      <c r="W18" s="1573"/>
      <c r="X18" s="1566"/>
      <c r="Y18" s="3378"/>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v>2</v>
      </c>
      <c r="L19" s="2142"/>
      <c r="M19" s="2134"/>
      <c r="N19" s="2134"/>
      <c r="O19" s="2141"/>
      <c r="P19" s="3378"/>
      <c r="Q19" s="1571" t="str">
        <f>B19</f>
        <v>公共配套设施</v>
      </c>
      <c r="R19" s="1572" t="s">
        <v>11</v>
      </c>
      <c r="S19" s="1573">
        <f>F19</f>
        <v>100</v>
      </c>
      <c r="T19" s="1572" t="s">
        <v>11</v>
      </c>
      <c r="U19" s="1573">
        <f>H19</f>
        <v>100</v>
      </c>
      <c r="V19" s="1572" t="s">
        <v>11</v>
      </c>
      <c r="W19" s="1573">
        <f>J19</f>
        <v>100</v>
      </c>
      <c r="X19" s="1566"/>
      <c r="Y19" s="3378"/>
      <c r="Z19" s="1574" t="str">
        <f>Q19</f>
        <v>公共配套设施</v>
      </c>
      <c r="AA19" s="1575">
        <f t="shared" si="3"/>
        <v>1</v>
      </c>
      <c r="AB19" s="1575">
        <f t="shared" si="4"/>
        <v>1</v>
      </c>
      <c r="AC19" s="1575">
        <f t="shared" si="5"/>
        <v>1</v>
      </c>
    </row>
    <row r="20" spans="1:29" ht="15">
      <c r="A20" s="531"/>
      <c r="B20" s="594"/>
      <c r="C20" s="575" t="str">
        <f>'比较法-住宅、综合'!C30</f>
        <v>较差</v>
      </c>
      <c r="D20" s="554"/>
      <c r="E20" s="575" t="str">
        <f>'比较法-住宅、综合'!E30</f>
        <v>较差</v>
      </c>
      <c r="F20" s="556"/>
      <c r="G20" s="575" t="str">
        <f>'比较法-住宅、综合'!G30</f>
        <v>较差</v>
      </c>
      <c r="H20" s="554"/>
      <c r="I20" s="575" t="str">
        <f>'比较法-住宅、综合'!I30</f>
        <v>较差</v>
      </c>
      <c r="J20" s="554"/>
      <c r="K20" s="869"/>
      <c r="L20" s="2142"/>
      <c r="M20" s="2134"/>
      <c r="N20" s="2134"/>
      <c r="O20" s="2141"/>
      <c r="P20" s="3378"/>
      <c r="Q20" s="1571"/>
      <c r="R20" s="1572"/>
      <c r="S20" s="1573"/>
      <c r="T20" s="1572"/>
      <c r="U20" s="1573"/>
      <c r="V20" s="1572"/>
      <c r="W20" s="1573"/>
      <c r="X20" s="1566"/>
      <c r="Y20" s="3378"/>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378"/>
      <c r="Q21" s="2579" t="str">
        <f>B21</f>
        <v>基础设施水平</v>
      </c>
      <c r="R21" s="1572" t="s">
        <v>11</v>
      </c>
      <c r="S21" s="1573">
        <f>F21</f>
        <v>100</v>
      </c>
      <c r="T21" s="1572" t="s">
        <v>11</v>
      </c>
      <c r="U21" s="1573">
        <f>H21</f>
        <v>100</v>
      </c>
      <c r="V21" s="1572" t="s">
        <v>11</v>
      </c>
      <c r="W21" s="1573">
        <f>J21</f>
        <v>100</v>
      </c>
      <c r="X21" s="2581"/>
      <c r="Y21" s="3378"/>
      <c r="Z21" s="2580" t="str">
        <f>Q21</f>
        <v>基础设施水平</v>
      </c>
      <c r="AA21" s="1575">
        <f t="shared" ref="AA21" si="8">D21/F21</f>
        <v>1</v>
      </c>
      <c r="AB21" s="1575">
        <f t="shared" ref="AB21" si="9">D21/H21</f>
        <v>1</v>
      </c>
      <c r="AC21" s="1575">
        <f t="shared" ref="AC21" si="10">D21/J21</f>
        <v>1</v>
      </c>
    </row>
    <row r="22" spans="1:29" ht="15">
      <c r="A22" s="531"/>
      <c r="B22" s="920"/>
      <c r="C22" s="872" t="str">
        <f>'比较法-住宅、综合'!C32</f>
        <v>七通</v>
      </c>
      <c r="D22" s="554"/>
      <c r="E22" s="872" t="str">
        <f>'比较法-住宅、综合'!E32</f>
        <v>七通</v>
      </c>
      <c r="F22" s="556"/>
      <c r="G22" s="872" t="str">
        <f>'比较法-住宅、综合'!G32</f>
        <v>七通</v>
      </c>
      <c r="H22" s="554"/>
      <c r="I22" s="872" t="str">
        <f>'比较法-住宅、综合'!I32</f>
        <v>七通</v>
      </c>
      <c r="J22" s="554"/>
      <c r="K22" s="2599"/>
      <c r="L22" s="2142"/>
      <c r="M22" s="2134"/>
      <c r="N22" s="2134"/>
      <c r="O22" s="2141"/>
      <c r="P22" s="3378"/>
      <c r="Q22" s="2579"/>
      <c r="R22" s="1572"/>
      <c r="S22" s="1573"/>
      <c r="T22" s="1572"/>
      <c r="U22" s="1573"/>
      <c r="V22" s="1572"/>
      <c r="W22" s="1573"/>
      <c r="X22" s="2581"/>
      <c r="Y22" s="3378"/>
      <c r="Z22" s="2580"/>
      <c r="AA22" s="1575">
        <v>1</v>
      </c>
      <c r="AB22" s="1575">
        <v>1</v>
      </c>
      <c r="AC22" s="1575">
        <v>1</v>
      </c>
    </row>
    <row r="23" spans="1:29" ht="15">
      <c r="A23" s="531"/>
      <c r="B23" s="870" t="s">
        <v>295</v>
      </c>
      <c r="C23" s="871" t="str">
        <f>估价对象房地状况!C9</f>
        <v>0</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378"/>
      <c r="Q23" s="1571" t="str">
        <f>B23</f>
        <v>自然及人文环境</v>
      </c>
      <c r="R23" s="1572" t="s">
        <v>11</v>
      </c>
      <c r="S23" s="1573">
        <f>F23</f>
        <v>100</v>
      </c>
      <c r="T23" s="1572" t="s">
        <v>11</v>
      </c>
      <c r="U23" s="1573">
        <f>H23</f>
        <v>100</v>
      </c>
      <c r="V23" s="1572" t="s">
        <v>11</v>
      </c>
      <c r="W23" s="1573">
        <f>J23</f>
        <v>100</v>
      </c>
      <c r="X23" s="1566"/>
      <c r="Y23" s="3378"/>
      <c r="Z23" s="1574" t="str">
        <f>Q23</f>
        <v>自然及人文环境</v>
      </c>
      <c r="AA23" s="1575">
        <f t="shared" si="3"/>
        <v>1</v>
      </c>
      <c r="AB23" s="1575">
        <f t="shared" si="4"/>
        <v>1</v>
      </c>
      <c r="AC23" s="1575">
        <f t="shared" si="5"/>
        <v>1</v>
      </c>
    </row>
    <row r="24" spans="1:29" ht="15.75" thickBot="1">
      <c r="A24" s="531"/>
      <c r="B24" s="594"/>
      <c r="C24" s="575" t="str">
        <f>'比较法-住宅、综合'!C28</f>
        <v>一般</v>
      </c>
      <c r="D24" s="554"/>
      <c r="E24" s="575" t="str">
        <f>'比较法-住宅、综合'!E28</f>
        <v>一般</v>
      </c>
      <c r="F24" s="556"/>
      <c r="G24" s="575" t="str">
        <f>'比较法-住宅、综合'!G28</f>
        <v>一般</v>
      </c>
      <c r="H24" s="554"/>
      <c r="I24" s="575" t="str">
        <f>'比较法-住宅、综合'!I28</f>
        <v>一般</v>
      </c>
      <c r="J24" s="554"/>
      <c r="K24" s="869"/>
      <c r="L24" s="2142"/>
      <c r="M24" s="2134"/>
      <c r="N24" s="2134"/>
      <c r="O24" s="2141"/>
      <c r="P24" s="3378"/>
      <c r="Q24" s="1571"/>
      <c r="R24" s="1572"/>
      <c r="S24" s="1573"/>
      <c r="T24" s="1572"/>
      <c r="U24" s="1573"/>
      <c r="V24" s="1572"/>
      <c r="W24" s="1573"/>
      <c r="X24" s="1566"/>
      <c r="Y24" s="3378"/>
      <c r="Z24" s="1574"/>
      <c r="AA24" s="1575">
        <v>1</v>
      </c>
      <c r="AB24" s="1575">
        <v>1</v>
      </c>
      <c r="AC24" s="1575">
        <v>1</v>
      </c>
    </row>
    <row r="25" spans="1:29" ht="15" hidden="1">
      <c r="A25" s="531"/>
      <c r="B25" s="1895" t="s">
        <v>2257</v>
      </c>
      <c r="C25" s="573"/>
      <c r="D25" s="539">
        <v>100</v>
      </c>
      <c r="E25" s="573"/>
      <c r="F25" s="574">
        <f>SUMIF(86:86,E25,87:87)-SUMIF(86:86,C25,87:87)+100</f>
        <v>100</v>
      </c>
      <c r="G25" s="573"/>
      <c r="H25" s="539">
        <f>SUMIF(86:86,G25,87:87)-SUMIF(86:86,C25,87:87)+100</f>
        <v>100</v>
      </c>
      <c r="I25" s="573"/>
      <c r="J25" s="539">
        <f>SUMIF(86:86,I25,87:87)-SUMIF(86:86,C25,87:87)+100</f>
        <v>100</v>
      </c>
      <c r="K25" s="863"/>
      <c r="L25" s="2142"/>
      <c r="M25" s="2134"/>
      <c r="N25" s="2134"/>
      <c r="O25" s="2141"/>
      <c r="P25" s="3378"/>
      <c r="Q25" s="1571" t="str">
        <f t="shared" ref="Q25:Q46" si="11">B25</f>
        <v>楼层-1</v>
      </c>
      <c r="R25" s="1572" t="s">
        <v>11</v>
      </c>
      <c r="S25" s="1573">
        <f>F25</f>
        <v>100</v>
      </c>
      <c r="T25" s="1572" t="s">
        <v>11</v>
      </c>
      <c r="U25" s="1573">
        <f>H25</f>
        <v>100</v>
      </c>
      <c r="V25" s="1572" t="s">
        <v>11</v>
      </c>
      <c r="W25" s="1573">
        <f>J25</f>
        <v>100</v>
      </c>
      <c r="X25" s="1566"/>
      <c r="Y25" s="3378"/>
      <c r="Z25" s="1574" t="str">
        <f>Q25</f>
        <v>楼层-1</v>
      </c>
      <c r="AA25" s="1575">
        <f t="shared" si="3"/>
        <v>1</v>
      </c>
      <c r="AB25" s="1575">
        <f t="shared" si="4"/>
        <v>1</v>
      </c>
      <c r="AC25" s="1575">
        <f t="shared" si="5"/>
        <v>1</v>
      </c>
    </row>
    <row r="26" spans="1:29" ht="15" hidden="1">
      <c r="A26" s="531"/>
      <c r="B26" s="526" t="s">
        <v>721</v>
      </c>
      <c r="C26" s="573"/>
      <c r="D26" s="539">
        <v>100</v>
      </c>
      <c r="E26" s="573"/>
      <c r="F26" s="574">
        <f>SUMIF(88:88,E26,89:89)-SUMIF(88:88,C26,89:89)+100</f>
        <v>100</v>
      </c>
      <c r="G26" s="573"/>
      <c r="H26" s="539">
        <f>SUMIF(88:88,G26,89:89)-SUMIF(88:88,C26,89:89)+100</f>
        <v>100</v>
      </c>
      <c r="I26" s="573"/>
      <c r="J26" s="539">
        <f>SUMIF(88:88,I26,89:89)-SUMIF(88:88,C26,89:89)+100</f>
        <v>100</v>
      </c>
      <c r="K26" s="863"/>
      <c r="L26" s="2142"/>
      <c r="M26" s="2134"/>
      <c r="N26" s="2134"/>
      <c r="O26" s="2141"/>
      <c r="P26" s="3378"/>
      <c r="Q26" s="1571" t="str">
        <f t="shared" si="11"/>
        <v>朝向</v>
      </c>
      <c r="R26" s="1572" t="s">
        <v>11</v>
      </c>
      <c r="S26" s="1573">
        <f>F26</f>
        <v>100</v>
      </c>
      <c r="T26" s="1572" t="s">
        <v>11</v>
      </c>
      <c r="U26" s="1573">
        <f>H26</f>
        <v>100</v>
      </c>
      <c r="V26" s="1572" t="s">
        <v>11</v>
      </c>
      <c r="W26" s="1573">
        <f>J26</f>
        <v>100</v>
      </c>
      <c r="X26" s="1566"/>
      <c r="Y26" s="3378"/>
      <c r="Z26" s="1574" t="str">
        <f>Q26</f>
        <v>朝向</v>
      </c>
      <c r="AA26" s="1575">
        <f t="shared" si="3"/>
        <v>1</v>
      </c>
      <c r="AB26" s="1575">
        <f t="shared" si="4"/>
        <v>1</v>
      </c>
      <c r="AC26" s="1575">
        <f t="shared" si="5"/>
        <v>1</v>
      </c>
    </row>
    <row r="27" spans="1:29" s="1218" customFormat="1" ht="15" hidden="1">
      <c r="A27" s="535"/>
      <c r="B27" s="536" t="s">
        <v>722</v>
      </c>
      <c r="C27" s="527"/>
      <c r="D27" s="874">
        <v>100</v>
      </c>
      <c r="E27" s="527"/>
      <c r="F27" s="875">
        <f>SUMIF(90:90,E27,91:91)-SUMIF(90:90,C27,91:91)+100</f>
        <v>100</v>
      </c>
      <c r="G27" s="527"/>
      <c r="H27" s="874">
        <f>SUMIF(90:90,G27,91:91)-SUMIF(90:90,C27,91:91)+100</f>
        <v>100</v>
      </c>
      <c r="I27" s="527"/>
      <c r="J27" s="874">
        <f>SUMIF(90:90,I27,91:91)-SUMIF(90:90,C27,91:91)+100</f>
        <v>100</v>
      </c>
      <c r="K27" s="864"/>
      <c r="L27" s="2135"/>
      <c r="M27" s="2136"/>
      <c r="N27" s="2136"/>
      <c r="O27" s="2137"/>
      <c r="P27" s="3378"/>
      <c r="Q27" s="1149" t="str">
        <f t="shared" si="11"/>
        <v>道路级别</v>
      </c>
      <c r="R27" s="1567" t="s">
        <v>11</v>
      </c>
      <c r="S27" s="1568">
        <f>F27</f>
        <v>100</v>
      </c>
      <c r="T27" s="1567" t="s">
        <v>11</v>
      </c>
      <c r="U27" s="1568">
        <f>H27</f>
        <v>100</v>
      </c>
      <c r="V27" s="1567" t="s">
        <v>11</v>
      </c>
      <c r="W27" s="1568">
        <f>J27</f>
        <v>100</v>
      </c>
      <c r="X27" s="1569"/>
      <c r="Y27" s="3378"/>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78"/>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8"/>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78"/>
      <c r="Q29" s="1571">
        <f t="shared" si="11"/>
        <v>111</v>
      </c>
      <c r="R29" s="1572" t="s">
        <v>11</v>
      </c>
      <c r="S29" s="1573">
        <f t="shared" si="12"/>
        <v>100</v>
      </c>
      <c r="T29" s="1572" t="s">
        <v>11</v>
      </c>
      <c r="U29" s="1573">
        <f t="shared" si="13"/>
        <v>100</v>
      </c>
      <c r="V29" s="1572" t="s">
        <v>11</v>
      </c>
      <c r="W29" s="1573">
        <f t="shared" si="14"/>
        <v>100</v>
      </c>
      <c r="X29" s="1566"/>
      <c r="Y29" s="3378"/>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78"/>
      <c r="Q30" s="1571">
        <f t="shared" si="11"/>
        <v>111</v>
      </c>
      <c r="R30" s="1572" t="s">
        <v>11</v>
      </c>
      <c r="S30" s="1573">
        <f t="shared" si="12"/>
        <v>100</v>
      </c>
      <c r="T30" s="1572" t="s">
        <v>11</v>
      </c>
      <c r="U30" s="1573">
        <f t="shared" si="13"/>
        <v>100</v>
      </c>
      <c r="V30" s="1572" t="s">
        <v>11</v>
      </c>
      <c r="W30" s="1573">
        <f t="shared" si="14"/>
        <v>100</v>
      </c>
      <c r="X30" s="1566"/>
      <c r="Y30" s="3378"/>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78"/>
      <c r="Q31" s="1571">
        <f t="shared" si="11"/>
        <v>111</v>
      </c>
      <c r="R31" s="1572" t="s">
        <v>11</v>
      </c>
      <c r="S31" s="1573">
        <f t="shared" si="12"/>
        <v>100</v>
      </c>
      <c r="T31" s="1572" t="s">
        <v>11</v>
      </c>
      <c r="U31" s="1573">
        <f t="shared" si="13"/>
        <v>100</v>
      </c>
      <c r="V31" s="1572" t="s">
        <v>11</v>
      </c>
      <c r="W31" s="1573">
        <f t="shared" si="14"/>
        <v>100</v>
      </c>
      <c r="X31" s="1566"/>
      <c r="Y31" s="3378"/>
      <c r="Z31" s="1574">
        <f t="shared" si="15"/>
        <v>111</v>
      </c>
      <c r="AA31" s="1575">
        <f t="shared" si="3"/>
        <v>1</v>
      </c>
      <c r="AB31" s="1575">
        <f t="shared" si="4"/>
        <v>1</v>
      </c>
      <c r="AC31" s="1575">
        <f t="shared" si="5"/>
        <v>1</v>
      </c>
    </row>
    <row r="32" spans="1:29" ht="15">
      <c r="A32" s="2907" t="s">
        <v>2756</v>
      </c>
      <c r="B32" s="171" t="s">
        <v>723</v>
      </c>
      <c r="C32" s="3188" t="s">
        <v>3126</v>
      </c>
      <c r="D32" s="596">
        <v>100</v>
      </c>
      <c r="E32" s="3188" t="s">
        <v>3126</v>
      </c>
      <c r="F32" s="574">
        <f>SUMIF(100:100,E32,101:101)-SUMIF(100:100,C32,101:101)+100</f>
        <v>100</v>
      </c>
      <c r="G32" s="3188" t="s">
        <v>3126</v>
      </c>
      <c r="H32" s="596">
        <f>SUMIF(100:100,G32,101:101)-SUMIF(100:100,C32,101:101)+100</f>
        <v>100</v>
      </c>
      <c r="I32" s="3188" t="s">
        <v>3126</v>
      </c>
      <c r="J32" s="539">
        <f>SUMIF(100:100,I32,101:101)-SUMIF(100:100,C32,101:101)+100</f>
        <v>100</v>
      </c>
      <c r="K32" s="863">
        <v>2</v>
      </c>
      <c r="L32" s="2142"/>
      <c r="M32" s="2134"/>
      <c r="N32" s="2134"/>
      <c r="O32" s="2141"/>
      <c r="P32" s="3379" t="s">
        <v>548</v>
      </c>
      <c r="Q32" s="1571" t="str">
        <f t="shared" si="11"/>
        <v>建筑类型</v>
      </c>
      <c r="R32" s="1572" t="s">
        <v>11</v>
      </c>
      <c r="S32" s="1573">
        <f t="shared" si="12"/>
        <v>100</v>
      </c>
      <c r="T32" s="1572" t="s">
        <v>11</v>
      </c>
      <c r="U32" s="1573">
        <f t="shared" si="13"/>
        <v>100</v>
      </c>
      <c r="V32" s="1572" t="s">
        <v>11</v>
      </c>
      <c r="W32" s="1573">
        <f t="shared" si="14"/>
        <v>100</v>
      </c>
      <c r="X32" s="1566"/>
      <c r="Y32" s="3380" t="s">
        <v>548</v>
      </c>
      <c r="Z32" s="1574" t="str">
        <f t="shared" si="15"/>
        <v>建筑类型</v>
      </c>
      <c r="AA32" s="1575">
        <f t="shared" si="3"/>
        <v>1</v>
      </c>
      <c r="AB32" s="1575">
        <f t="shared" si="4"/>
        <v>1</v>
      </c>
      <c r="AC32" s="1575">
        <f t="shared" si="5"/>
        <v>1</v>
      </c>
    </row>
    <row r="33" spans="1:29" s="1337" customFormat="1" ht="15">
      <c r="A33" s="602"/>
      <c r="B33" s="526" t="s">
        <v>724</v>
      </c>
      <c r="C33" s="878">
        <v>75623</v>
      </c>
      <c r="D33" s="254">
        <v>100</v>
      </c>
      <c r="E33" s="878">
        <v>1150000</v>
      </c>
      <c r="F33" s="862">
        <f>LOOKUP(E33,103:103,104:104)-LOOKUP(C33,103:103,104:104)+100</f>
        <v>102</v>
      </c>
      <c r="G33" s="878">
        <v>200000</v>
      </c>
      <c r="H33" s="254">
        <f>LOOKUP(G33,103:103,104:104)-LOOKUP(C33,103:103,104:104)+100</f>
        <v>100</v>
      </c>
      <c r="I33" s="878">
        <v>280000</v>
      </c>
      <c r="J33" s="254">
        <f>LOOKUP(I33,103:103,104:104)-LOOKUP(C33,103:103,104:104)+100</f>
        <v>100</v>
      </c>
      <c r="K33" s="864"/>
      <c r="L33" s="2140"/>
      <c r="M33" s="2171"/>
      <c r="N33" s="2171"/>
      <c r="O33" s="2143"/>
      <c r="P33" s="3380"/>
      <c r="Q33" s="1604" t="str">
        <f t="shared" si="11"/>
        <v>项目建筑规模</v>
      </c>
      <c r="R33" s="1576" t="s">
        <v>11</v>
      </c>
      <c r="S33" s="1577">
        <f t="shared" si="12"/>
        <v>102</v>
      </c>
      <c r="T33" s="1576" t="s">
        <v>11</v>
      </c>
      <c r="U33" s="1577">
        <f t="shared" si="13"/>
        <v>100</v>
      </c>
      <c r="V33" s="1576" t="s">
        <v>11</v>
      </c>
      <c r="W33" s="1577">
        <f t="shared" si="14"/>
        <v>100</v>
      </c>
      <c r="X33" s="1578"/>
      <c r="Y33" s="3380"/>
      <c r="Z33" s="1579" t="str">
        <f t="shared" si="15"/>
        <v>项目建筑规模</v>
      </c>
      <c r="AA33" s="1575">
        <f t="shared" si="3"/>
        <v>0.98039215686274506</v>
      </c>
      <c r="AB33" s="1575">
        <f t="shared" si="4"/>
        <v>1</v>
      </c>
      <c r="AC33" s="1575">
        <f t="shared" si="5"/>
        <v>1</v>
      </c>
    </row>
    <row r="34" spans="1:29" ht="15">
      <c r="A34" s="593"/>
      <c r="B34" s="526" t="s">
        <v>725</v>
      </c>
      <c r="C34" s="3189" t="s">
        <v>3127</v>
      </c>
      <c r="D34" s="539">
        <v>100</v>
      </c>
      <c r="E34" s="3189" t="s">
        <v>3127</v>
      </c>
      <c r="F34" s="574">
        <f>SUMIF(105:105,E34,106:106)-SUMIF(105:105,C34,106:106)+100</f>
        <v>100</v>
      </c>
      <c r="G34" s="3189" t="s">
        <v>3127</v>
      </c>
      <c r="H34" s="539">
        <f>SUMIF(105:105,G34,106:106)-SUMIF(105:105,C34,106:106)+100</f>
        <v>100</v>
      </c>
      <c r="I34" s="3189" t="s">
        <v>3127</v>
      </c>
      <c r="J34" s="539">
        <f>SUMIF(105:105,I34,106:106)-SUMIF(105:105,C34,106:106)+100</f>
        <v>100</v>
      </c>
      <c r="K34" s="863">
        <v>2</v>
      </c>
      <c r="L34" s="2142"/>
      <c r="M34" s="2134"/>
      <c r="N34" s="2134"/>
      <c r="O34" s="2141"/>
      <c r="P34" s="3380"/>
      <c r="Q34" s="1571" t="str">
        <f t="shared" si="11"/>
        <v>建筑结构</v>
      </c>
      <c r="R34" s="1572" t="s">
        <v>11</v>
      </c>
      <c r="S34" s="1573">
        <f t="shared" si="12"/>
        <v>100</v>
      </c>
      <c r="T34" s="1572" t="s">
        <v>11</v>
      </c>
      <c r="U34" s="1573">
        <f t="shared" si="13"/>
        <v>100</v>
      </c>
      <c r="V34" s="1572" t="s">
        <v>11</v>
      </c>
      <c r="W34" s="1573">
        <f t="shared" si="14"/>
        <v>100</v>
      </c>
      <c r="X34" s="1566"/>
      <c r="Y34" s="3380"/>
      <c r="Z34" s="1574" t="str">
        <f t="shared" si="15"/>
        <v>建筑结构</v>
      </c>
      <c r="AA34" s="1575">
        <f t="shared" si="3"/>
        <v>1</v>
      </c>
      <c r="AB34" s="1575">
        <f t="shared" si="4"/>
        <v>1</v>
      </c>
      <c r="AC34" s="1575">
        <f t="shared" si="5"/>
        <v>1</v>
      </c>
    </row>
    <row r="35" spans="1:29" ht="15">
      <c r="A35" s="593"/>
      <c r="B35" s="526" t="s">
        <v>726</v>
      </c>
      <c r="C35" s="3183" t="s">
        <v>3128</v>
      </c>
      <c r="D35" s="539">
        <v>100</v>
      </c>
      <c r="E35" s="3183" t="s">
        <v>3128</v>
      </c>
      <c r="F35" s="574">
        <f>SUMIF(107:107,E35,108:108)-SUMIF(107:107,C35,108:108)+100</f>
        <v>100</v>
      </c>
      <c r="G35" s="3183" t="s">
        <v>3128</v>
      </c>
      <c r="H35" s="539">
        <f>SUMIF(107:107,G35,108:108)-SUMIF(107:107,C35,108:108)+100</f>
        <v>100</v>
      </c>
      <c r="I35" s="3183" t="s">
        <v>3128</v>
      </c>
      <c r="J35" s="539">
        <f>SUMIF(107:107,I35,108:108)-SUMIF(107:107,C35,108:108)+100</f>
        <v>100</v>
      </c>
      <c r="K35" s="863">
        <v>2</v>
      </c>
      <c r="L35" s="2142"/>
      <c r="M35" s="2134"/>
      <c r="N35" s="2134"/>
      <c r="O35" s="2141"/>
      <c r="P35" s="3380"/>
      <c r="Q35" s="1571" t="str">
        <f t="shared" si="11"/>
        <v>建筑品质</v>
      </c>
      <c r="R35" s="1572" t="s">
        <v>11</v>
      </c>
      <c r="S35" s="1573">
        <f t="shared" si="12"/>
        <v>100</v>
      </c>
      <c r="T35" s="1572" t="s">
        <v>11</v>
      </c>
      <c r="U35" s="1573">
        <f t="shared" si="13"/>
        <v>100</v>
      </c>
      <c r="V35" s="1572" t="s">
        <v>11</v>
      </c>
      <c r="W35" s="1573">
        <f t="shared" si="14"/>
        <v>100</v>
      </c>
      <c r="X35" s="1566"/>
      <c r="Y35" s="3380"/>
      <c r="Z35" s="1574" t="str">
        <f t="shared" si="15"/>
        <v>建筑品质</v>
      </c>
      <c r="AA35" s="1575">
        <f t="shared" si="3"/>
        <v>1</v>
      </c>
      <c r="AB35" s="1575">
        <f t="shared" si="4"/>
        <v>1</v>
      </c>
      <c r="AC35" s="1575">
        <f t="shared" si="5"/>
        <v>1</v>
      </c>
    </row>
    <row r="36" spans="1:29" ht="15">
      <c r="A36" s="593"/>
      <c r="B36" s="526" t="s">
        <v>727</v>
      </c>
      <c r="C36" s="3183" t="s">
        <v>3129</v>
      </c>
      <c r="D36" s="539">
        <v>100</v>
      </c>
      <c r="E36" s="3183" t="s">
        <v>3129</v>
      </c>
      <c r="F36" s="574">
        <f>SUMIF(109:109,E36,110:110)-SUMIF(109:109,C36,110:110)+100</f>
        <v>100</v>
      </c>
      <c r="G36" s="3183" t="s">
        <v>3129</v>
      </c>
      <c r="H36" s="539">
        <f>SUMIF(109:109,G36,110:110)-SUMIF(109:109,C36,110:110)+100</f>
        <v>100</v>
      </c>
      <c r="I36" s="3183" t="s">
        <v>3129</v>
      </c>
      <c r="J36" s="539">
        <f>SUMIF(109:109,I36,110:110)-SUMIF(109:109,C36,110:110)+100</f>
        <v>100</v>
      </c>
      <c r="K36" s="863">
        <v>2</v>
      </c>
      <c r="L36" s="2142"/>
      <c r="M36" s="2134"/>
      <c r="N36" s="2134"/>
      <c r="O36" s="2141"/>
      <c r="P36" s="3380"/>
      <c r="Q36" s="1571" t="str">
        <f t="shared" si="11"/>
        <v>公共部分装修</v>
      </c>
      <c r="R36" s="1572" t="s">
        <v>11</v>
      </c>
      <c r="S36" s="1573">
        <f t="shared" si="12"/>
        <v>100</v>
      </c>
      <c r="T36" s="1572" t="s">
        <v>11</v>
      </c>
      <c r="U36" s="1573">
        <f t="shared" si="13"/>
        <v>100</v>
      </c>
      <c r="V36" s="1572" t="s">
        <v>11</v>
      </c>
      <c r="W36" s="1573">
        <f t="shared" si="14"/>
        <v>100</v>
      </c>
      <c r="X36" s="1566"/>
      <c r="Y36" s="3380"/>
      <c r="Z36" s="1574" t="str">
        <f t="shared" si="15"/>
        <v>公共部分装修</v>
      </c>
      <c r="AA36" s="1575">
        <f t="shared" si="3"/>
        <v>1</v>
      </c>
      <c r="AB36" s="1575">
        <f t="shared" si="4"/>
        <v>1</v>
      </c>
      <c r="AC36" s="1575">
        <f t="shared" si="5"/>
        <v>1</v>
      </c>
    </row>
    <row r="37" spans="1:29" s="1218" customFormat="1" ht="15">
      <c r="A37" s="599"/>
      <c r="B37" s="526" t="s">
        <v>728</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5"/>
      <c r="M37" s="2136"/>
      <c r="N37" s="2136"/>
      <c r="O37" s="2137"/>
      <c r="P37" s="3380"/>
      <c r="Q37" s="1149" t="str">
        <f t="shared" si="11"/>
        <v>成新度</v>
      </c>
      <c r="R37" s="1567" t="s">
        <v>11</v>
      </c>
      <c r="S37" s="1568">
        <f t="shared" si="12"/>
        <v>100</v>
      </c>
      <c r="T37" s="1567" t="s">
        <v>11</v>
      </c>
      <c r="U37" s="1568">
        <f t="shared" si="13"/>
        <v>100</v>
      </c>
      <c r="V37" s="1567" t="s">
        <v>11</v>
      </c>
      <c r="W37" s="1568">
        <f t="shared" si="14"/>
        <v>100</v>
      </c>
      <c r="X37" s="1569"/>
      <c r="Y37" s="3380"/>
      <c r="Z37" s="1148" t="str">
        <f t="shared" si="15"/>
        <v>成新度</v>
      </c>
      <c r="AA37" s="1570">
        <f t="shared" si="3"/>
        <v>1</v>
      </c>
      <c r="AB37" s="1570">
        <f t="shared" si="4"/>
        <v>1</v>
      </c>
      <c r="AC37" s="1570">
        <f t="shared" si="5"/>
        <v>1</v>
      </c>
    </row>
    <row r="38" spans="1:29" ht="15">
      <c r="A38" s="593"/>
      <c r="B38" s="526" t="s">
        <v>729</v>
      </c>
      <c r="C38" s="3183" t="s">
        <v>3130</v>
      </c>
      <c r="D38" s="539">
        <v>100</v>
      </c>
      <c r="E38" s="3183" t="s">
        <v>3130</v>
      </c>
      <c r="F38" s="574">
        <f>SUMIF(114:114,E38,115:115)-SUMIF(114:114,C38,115:115)+100</f>
        <v>100</v>
      </c>
      <c r="G38" s="3183" t="s">
        <v>3130</v>
      </c>
      <c r="H38" s="539">
        <f>SUMIF(114:114,G38,115:115)-SUMIF(114:114,C38,115:115)+100</f>
        <v>100</v>
      </c>
      <c r="I38" s="3183" t="s">
        <v>3130</v>
      </c>
      <c r="J38" s="539">
        <f>SUMIF(114:114,I38,115:115)-SUMIF(114:114,C38,115:115)+100</f>
        <v>100</v>
      </c>
      <c r="K38" s="863">
        <v>1</v>
      </c>
      <c r="L38" s="2142"/>
      <c r="M38" s="2134"/>
      <c r="N38" s="2134"/>
      <c r="O38" s="2141"/>
      <c r="P38" s="3380" t="s">
        <v>548</v>
      </c>
      <c r="Q38" s="1571" t="str">
        <f t="shared" si="11"/>
        <v>物业管理</v>
      </c>
      <c r="R38" s="1572" t="s">
        <v>11</v>
      </c>
      <c r="S38" s="1573">
        <f t="shared" si="12"/>
        <v>100</v>
      </c>
      <c r="T38" s="1572" t="s">
        <v>11</v>
      </c>
      <c r="U38" s="1573">
        <f t="shared" si="13"/>
        <v>100</v>
      </c>
      <c r="V38" s="1572" t="s">
        <v>11</v>
      </c>
      <c r="W38" s="1573">
        <f t="shared" si="14"/>
        <v>100</v>
      </c>
      <c r="X38" s="1566"/>
      <c r="Y38" s="3380" t="s">
        <v>548</v>
      </c>
      <c r="Z38" s="1574" t="str">
        <f t="shared" si="15"/>
        <v>物业管理</v>
      </c>
      <c r="AA38" s="1575">
        <f t="shared" si="3"/>
        <v>1</v>
      </c>
      <c r="AB38" s="1575">
        <f t="shared" si="4"/>
        <v>1</v>
      </c>
      <c r="AC38" s="1575">
        <f t="shared" si="5"/>
        <v>1</v>
      </c>
    </row>
    <row r="39" spans="1:29" ht="15">
      <c r="A39" s="593"/>
      <c r="B39" s="1895" t="s">
        <v>2565</v>
      </c>
      <c r="C39" s="3183" t="s">
        <v>3131</v>
      </c>
      <c r="D39" s="539">
        <v>100</v>
      </c>
      <c r="E39" s="3183" t="s">
        <v>3131</v>
      </c>
      <c r="F39" s="574">
        <f>SUMIF(116:116,E39,117:117)-SUMIF(116:116,C39,117:117)+100</f>
        <v>100</v>
      </c>
      <c r="G39" s="3183" t="s">
        <v>3131</v>
      </c>
      <c r="H39" s="539">
        <f>SUMIF(116:116,G39,117:117)-SUMIF(116:116,C39,117:117)+100</f>
        <v>100</v>
      </c>
      <c r="I39" s="3183" t="s">
        <v>3131</v>
      </c>
      <c r="J39" s="539">
        <f>SUMIF(116:116,I39,117:117)-SUMIF(116:116,C39,117:117)+100</f>
        <v>100</v>
      </c>
      <c r="K39" s="863">
        <v>1</v>
      </c>
      <c r="L39" s="2142"/>
      <c r="M39" s="2134"/>
      <c r="N39" s="2134"/>
      <c r="O39" s="2141"/>
      <c r="P39" s="3380"/>
      <c r="Q39" s="1571" t="str">
        <f t="shared" si="11"/>
        <v>市政基础设施</v>
      </c>
      <c r="R39" s="1572" t="s">
        <v>11</v>
      </c>
      <c r="S39" s="1573">
        <f t="shared" si="12"/>
        <v>100</v>
      </c>
      <c r="T39" s="1572" t="s">
        <v>11</v>
      </c>
      <c r="U39" s="1573">
        <f t="shared" si="13"/>
        <v>100</v>
      </c>
      <c r="V39" s="1572" t="s">
        <v>11</v>
      </c>
      <c r="W39" s="1573">
        <f t="shared" si="14"/>
        <v>100</v>
      </c>
      <c r="X39" s="1566"/>
      <c r="Y39" s="3380"/>
      <c r="Z39" s="1574" t="str">
        <f t="shared" si="15"/>
        <v>市政基础设施</v>
      </c>
      <c r="AA39" s="1575">
        <f t="shared" si="3"/>
        <v>1</v>
      </c>
      <c r="AB39" s="1575">
        <f t="shared" si="4"/>
        <v>1</v>
      </c>
      <c r="AC39" s="1575">
        <f t="shared" si="5"/>
        <v>1</v>
      </c>
    </row>
    <row r="40" spans="1:29" ht="15" hidden="1">
      <c r="A40" s="593"/>
      <c r="B40" s="526" t="s">
        <v>730</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80"/>
      <c r="Q40" s="1571" t="str">
        <f t="shared" si="11"/>
        <v>房型</v>
      </c>
      <c r="R40" s="1572" t="s">
        <v>11</v>
      </c>
      <c r="S40" s="1573">
        <f t="shared" si="12"/>
        <v>100</v>
      </c>
      <c r="T40" s="1572" t="s">
        <v>11</v>
      </c>
      <c r="U40" s="1573">
        <f t="shared" si="13"/>
        <v>100</v>
      </c>
      <c r="V40" s="1572" t="s">
        <v>11</v>
      </c>
      <c r="W40" s="1573">
        <f t="shared" si="14"/>
        <v>100</v>
      </c>
      <c r="X40" s="1566"/>
      <c r="Y40" s="3380"/>
      <c r="Z40" s="1574" t="str">
        <f t="shared" si="15"/>
        <v>房型</v>
      </c>
      <c r="AA40" s="1575">
        <f t="shared" si="3"/>
        <v>1</v>
      </c>
      <c r="AB40" s="1575">
        <f t="shared" si="4"/>
        <v>1</v>
      </c>
      <c r="AC40" s="1575">
        <f t="shared" si="5"/>
        <v>1</v>
      </c>
    </row>
    <row r="41" spans="1:29" s="1337" customFormat="1" ht="28.5" hidden="1">
      <c r="A41" s="602"/>
      <c r="B41" s="526" t="s">
        <v>731</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80"/>
      <c r="Q41" s="1604" t="str">
        <f t="shared" si="11"/>
        <v>单套/主力户型建筑面积</v>
      </c>
      <c r="R41" s="1576" t="s">
        <v>11</v>
      </c>
      <c r="S41" s="1577">
        <f t="shared" si="12"/>
        <v>100</v>
      </c>
      <c r="T41" s="1576" t="s">
        <v>11</v>
      </c>
      <c r="U41" s="1577">
        <f t="shared" si="13"/>
        <v>100</v>
      </c>
      <c r="V41" s="1576" t="s">
        <v>11</v>
      </c>
      <c r="W41" s="1577">
        <f t="shared" si="14"/>
        <v>100</v>
      </c>
      <c r="X41" s="1578"/>
      <c r="Y41" s="3380"/>
      <c r="Z41" s="1579" t="str">
        <f t="shared" si="15"/>
        <v>单套/主力户型建筑面积</v>
      </c>
      <c r="AA41" s="1575">
        <f t="shared" si="3"/>
        <v>1</v>
      </c>
      <c r="AB41" s="1575">
        <f t="shared" si="4"/>
        <v>1</v>
      </c>
      <c r="AC41" s="1575">
        <f t="shared" si="5"/>
        <v>1</v>
      </c>
    </row>
    <row r="42" spans="1:29" ht="15">
      <c r="A42" s="593"/>
      <c r="B42" s="526" t="s">
        <v>732</v>
      </c>
      <c r="C42" s="3183" t="s">
        <v>3132</v>
      </c>
      <c r="D42" s="539">
        <v>100</v>
      </c>
      <c r="E42" s="3190" t="s">
        <v>3133</v>
      </c>
      <c r="F42" s="574">
        <f>SUMIF(122:122,E42,123:123)-SUMIF(122:122,C42,123:123)+100</f>
        <v>110</v>
      </c>
      <c r="G42" s="3183" t="s">
        <v>3132</v>
      </c>
      <c r="H42" s="539">
        <f>SUMIF(122:122,G42,123:123)-SUMIF(122:122,C42,123:123)+100</f>
        <v>100</v>
      </c>
      <c r="I42" s="3183" t="s">
        <v>3132</v>
      </c>
      <c r="J42" s="539">
        <f>SUMIF(122:122,I42,123:123)-SUMIF(122:122,C42,123:123)+100</f>
        <v>100</v>
      </c>
      <c r="K42" s="863">
        <v>5</v>
      </c>
      <c r="L42" s="2142"/>
      <c r="M42" s="2134"/>
      <c r="N42" s="2134"/>
      <c r="O42" s="2141"/>
      <c r="P42" s="3380"/>
      <c r="Q42" s="1571" t="str">
        <f t="shared" si="11"/>
        <v>内部装修</v>
      </c>
      <c r="R42" s="1572" t="s">
        <v>11</v>
      </c>
      <c r="S42" s="1573">
        <f t="shared" si="12"/>
        <v>110</v>
      </c>
      <c r="T42" s="1572" t="s">
        <v>11</v>
      </c>
      <c r="U42" s="1573">
        <f t="shared" si="13"/>
        <v>100</v>
      </c>
      <c r="V42" s="1572" t="s">
        <v>11</v>
      </c>
      <c r="W42" s="1573">
        <f t="shared" si="14"/>
        <v>100</v>
      </c>
      <c r="X42" s="1566"/>
      <c r="Y42" s="3380"/>
      <c r="Z42" s="1574" t="str">
        <f t="shared" si="15"/>
        <v>内部装修</v>
      </c>
      <c r="AA42" s="1575">
        <f t="shared" si="3"/>
        <v>0.90909090909090906</v>
      </c>
      <c r="AB42" s="1575">
        <f t="shared" si="4"/>
        <v>1</v>
      </c>
      <c r="AC42" s="1575">
        <f t="shared" si="5"/>
        <v>1</v>
      </c>
    </row>
    <row r="43" spans="1:29" ht="27.75" thickBot="1">
      <c r="A43" s="593"/>
      <c r="B43" s="526" t="s">
        <v>733</v>
      </c>
      <c r="C43" s="3183" t="s">
        <v>3128</v>
      </c>
      <c r="D43" s="539">
        <v>100</v>
      </c>
      <c r="E43" s="3183" t="s">
        <v>3128</v>
      </c>
      <c r="F43" s="574">
        <f>SUMIF(124:124,E43,125:125)-SUMIF(124:124,C43,125:125)+100</f>
        <v>100</v>
      </c>
      <c r="G43" s="3183" t="s">
        <v>3128</v>
      </c>
      <c r="H43" s="539">
        <f>SUMIF(124:124,G43,125:125)-SUMIF(124:124,C43,125:125)+100</f>
        <v>100</v>
      </c>
      <c r="I43" s="3183" t="s">
        <v>3128</v>
      </c>
      <c r="J43" s="539">
        <f>SUMIF(124:124,I43,125:125)-SUMIF(124:124,C43,125:125)+100</f>
        <v>100</v>
      </c>
      <c r="K43" s="863">
        <v>2</v>
      </c>
      <c r="L43" s="2142"/>
      <c r="M43" s="2134"/>
      <c r="N43" s="2134"/>
      <c r="O43" s="2141"/>
      <c r="P43" s="3380"/>
      <c r="Q43" s="1571" t="str">
        <f t="shared" si="11"/>
        <v>内部装修维护情况</v>
      </c>
      <c r="R43" s="1572" t="s">
        <v>11</v>
      </c>
      <c r="S43" s="1573">
        <f t="shared" si="12"/>
        <v>100</v>
      </c>
      <c r="T43" s="1572" t="s">
        <v>11</v>
      </c>
      <c r="U43" s="1573">
        <f t="shared" si="13"/>
        <v>100</v>
      </c>
      <c r="V43" s="1572" t="s">
        <v>11</v>
      </c>
      <c r="W43" s="1573">
        <f t="shared" si="14"/>
        <v>100</v>
      </c>
      <c r="X43" s="1566"/>
      <c r="Y43" s="3380"/>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380"/>
      <c r="Q44" s="1149">
        <f t="shared" si="11"/>
        <v>111</v>
      </c>
      <c r="R44" s="1567" t="s">
        <v>11</v>
      </c>
      <c r="S44" s="1568">
        <f t="shared" si="12"/>
        <v>100</v>
      </c>
      <c r="T44" s="1567" t="s">
        <v>11</v>
      </c>
      <c r="U44" s="1568">
        <f t="shared" si="13"/>
        <v>100</v>
      </c>
      <c r="V44" s="1567" t="s">
        <v>11</v>
      </c>
      <c r="W44" s="1568">
        <f t="shared" si="14"/>
        <v>100</v>
      </c>
      <c r="X44" s="1569"/>
      <c r="Y44" s="3380"/>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80"/>
      <c r="Q45" s="1571">
        <f t="shared" si="11"/>
        <v>111</v>
      </c>
      <c r="R45" s="1572" t="s">
        <v>11</v>
      </c>
      <c r="S45" s="1573">
        <f t="shared" si="12"/>
        <v>100</v>
      </c>
      <c r="T45" s="1572" t="s">
        <v>11</v>
      </c>
      <c r="U45" s="1573">
        <f t="shared" si="13"/>
        <v>100</v>
      </c>
      <c r="V45" s="1572" t="s">
        <v>11</v>
      </c>
      <c r="W45" s="1573">
        <f t="shared" si="14"/>
        <v>100</v>
      </c>
      <c r="X45" s="1566"/>
      <c r="Y45" s="3380"/>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0"/>
      <c r="Q46" s="1571">
        <f t="shared" si="11"/>
        <v>111</v>
      </c>
      <c r="R46" s="1572" t="s">
        <v>10</v>
      </c>
      <c r="S46" s="1573">
        <f t="shared" si="12"/>
        <v>100</v>
      </c>
      <c r="T46" s="1572" t="s">
        <v>10</v>
      </c>
      <c r="U46" s="1573">
        <f t="shared" si="13"/>
        <v>100</v>
      </c>
      <c r="V46" s="1572" t="s">
        <v>10</v>
      </c>
      <c r="W46" s="1573">
        <f t="shared" si="14"/>
        <v>100</v>
      </c>
      <c r="X46" s="1566"/>
      <c r="Y46" s="3480"/>
      <c r="Z46" s="1574">
        <f t="shared" si="15"/>
        <v>111</v>
      </c>
      <c r="AA46" s="1575">
        <f t="shared" si="3"/>
        <v>1</v>
      </c>
      <c r="AB46" s="1575">
        <f t="shared" si="4"/>
        <v>1</v>
      </c>
      <c r="AC46" s="1575">
        <f t="shared" si="5"/>
        <v>1</v>
      </c>
    </row>
    <row r="47" spans="1:29" ht="15">
      <c r="A47" s="606" t="s">
        <v>734</v>
      </c>
      <c r="B47" s="885"/>
      <c r="C47" s="2627" t="s">
        <v>9</v>
      </c>
      <c r="D47" s="2628"/>
      <c r="E47" s="2629">
        <f>ROUND(12000*1,0)</f>
        <v>12000</v>
      </c>
      <c r="F47" s="2630"/>
      <c r="G47" s="2631">
        <f>ROUND(9800*1,0)</f>
        <v>9800</v>
      </c>
      <c r="H47" s="2632"/>
      <c r="I47" s="2629">
        <f>ROUND(10000*1,0)</f>
        <v>10000</v>
      </c>
      <c r="J47" s="2632"/>
      <c r="K47" s="1605"/>
      <c r="L47" s="2144"/>
      <c r="M47" s="2145"/>
      <c r="N47" s="2134"/>
      <c r="O47" s="2145"/>
      <c r="P47" s="3375" t="str">
        <f>A47</f>
        <v>成交单价（元/平方米）</v>
      </c>
      <c r="Q47" s="3375"/>
      <c r="R47" s="3479">
        <f>E47</f>
        <v>12000</v>
      </c>
      <c r="S47" s="3479"/>
      <c r="T47" s="3479">
        <f>G47</f>
        <v>9800</v>
      </c>
      <c r="U47" s="3479"/>
      <c r="V47" s="3479">
        <f>I47</f>
        <v>10000</v>
      </c>
      <c r="W47" s="3479"/>
      <c r="X47" s="1558"/>
      <c r="Y47" s="1580"/>
      <c r="Z47" s="1558"/>
      <c r="AA47" s="1558"/>
      <c r="AB47" s="1558"/>
      <c r="AC47" s="1558"/>
    </row>
    <row r="48" spans="1:29" ht="15.75" thickBot="1">
      <c r="A48" s="614" t="s">
        <v>2761</v>
      </c>
      <c r="B48" s="886"/>
      <c r="C48" s="2633">
        <f>R49</f>
        <v>10700</v>
      </c>
      <c r="D48" s="2634"/>
      <c r="E48" s="2635">
        <f>R48</f>
        <v>11258</v>
      </c>
      <c r="F48" s="2635"/>
      <c r="G48" s="2633">
        <f>T48</f>
        <v>10316</v>
      </c>
      <c r="H48" s="2634"/>
      <c r="I48" s="2635">
        <f>V48</f>
        <v>10526</v>
      </c>
      <c r="J48" s="2634"/>
      <c r="K48" s="1606"/>
      <c r="L48" s="2144"/>
      <c r="M48" s="2145"/>
      <c r="N48" s="2145"/>
      <c r="O48" s="2145"/>
      <c r="P48" s="3375" t="str">
        <f>A48</f>
        <v>比较价格（元/平方米）</v>
      </c>
      <c r="Q48" s="3375"/>
      <c r="R48" s="3479">
        <f>IF(F1="售价",ROUND(PRODUCT(R47,AA7:AA46),0),ROUND(PRODUCT(R47,AA7:AA46),1))</f>
        <v>11258</v>
      </c>
      <c r="S48" s="3479"/>
      <c r="T48" s="3479">
        <f>IF(F1="售价",ROUND(PRODUCT(T47,AB7:AB46),0),ROUND(PRODUCT(T47,AB7:AB46),1))</f>
        <v>10316</v>
      </c>
      <c r="U48" s="3479"/>
      <c r="V48" s="3479">
        <f>IF(F1="售价",ROUND(PRODUCT(V47,AC7:AC46),0),ROUND(PRODUCT(V47,AC7:AC46),1))</f>
        <v>10526</v>
      </c>
      <c r="W48" s="3479"/>
      <c r="X48" s="1558"/>
      <c r="Y48" s="1558"/>
      <c r="Z48" s="1558"/>
      <c r="AA48" s="1558"/>
      <c r="AB48" s="1558"/>
      <c r="AC48" s="1558"/>
    </row>
    <row r="49" spans="1:29" ht="15.75" thickBot="1">
      <c r="A49" s="620" t="s">
        <v>2934</v>
      </c>
      <c r="B49" s="621"/>
      <c r="C49" s="2636">
        <f>R49</f>
        <v>10700</v>
      </c>
      <c r="D49" s="2636"/>
      <c r="E49" s="2636"/>
      <c r="F49" s="2636"/>
      <c r="G49" s="2636"/>
      <c r="H49" s="2636"/>
      <c r="I49" s="2636"/>
      <c r="J49" s="2636"/>
      <c r="K49" s="1607"/>
      <c r="L49" s="2144"/>
      <c r="M49" s="2145"/>
      <c r="N49" s="2145"/>
      <c r="O49" s="2145"/>
      <c r="P49" s="3396" t="str">
        <f>A49</f>
        <v>估价对象XX用房的比较价格（楼面单价，元/平方米）</v>
      </c>
      <c r="Q49" s="3397"/>
      <c r="R49" s="3478">
        <f>IF(F1="售价",ROUND(AVERAGE(R48:V48),0),ROUND(AVERAGE(R48:V48),1))</f>
        <v>10700</v>
      </c>
      <c r="S49" s="3478"/>
      <c r="T49" s="3478"/>
      <c r="U49" s="3478"/>
      <c r="V49" s="3478"/>
      <c r="W49" s="347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555</v>
      </c>
      <c r="D52" s="624"/>
      <c r="E52" s="625">
        <f>IF(E47&lt;E48,E48/E47-1,E47/E48-1)</f>
        <v>6.5908687155800338E-2</v>
      </c>
      <c r="F52" s="626" t="str">
        <f>IF(OR(E52&gt;=0.3,E52&lt;=-0.3),"超过30%","")</f>
        <v/>
      </c>
      <c r="G52" s="625">
        <f>IF(G47&lt;G48,G48/G47-1,G47/G48-1)</f>
        <v>5.2653061224489761E-2</v>
      </c>
      <c r="H52" s="626" t="str">
        <f>IF(OR(G52&gt;=0.3,G52&lt;=-0.3),"超过30%","")</f>
        <v/>
      </c>
      <c r="I52" s="625">
        <f>IF(I47&lt;I48,I48/I47-1,I47/I48-1)</f>
        <v>5.259999999999998E-2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556</v>
      </c>
      <c r="D53" s="627"/>
      <c r="E53" s="625">
        <f>IF(E48&lt;G48,G48/E48-1,E48/G48-1)</f>
        <v>9.1314462970143451E-2</v>
      </c>
      <c r="F53" s="626" t="str">
        <f>IF(OR(E53&gt;=0.2,E53&lt;=-0.2),"超过20%","")</f>
        <v/>
      </c>
      <c r="G53" s="625">
        <f>IF(G48&lt;I48,I48/G48-1,G48/I48-1)</f>
        <v>2.0356727413726183E-2</v>
      </c>
      <c r="H53" s="626" t="str">
        <f>IF(OR(G53&gt;=0.2,G53&lt;=-0.2),"超过20%","")</f>
        <v/>
      </c>
      <c r="I53" s="625">
        <f>IF(I48&lt;E48,E48/I48-1,I48/E48-1)</f>
        <v>6.9542086262587954E-2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557</v>
      </c>
      <c r="D54" s="627"/>
      <c r="E54" s="625">
        <f>IF(E47&lt;G47,G47/E47-1,E47/G47-1)</f>
        <v>0.22448979591836737</v>
      </c>
      <c r="F54" s="626" t="str">
        <f>IF(OR(E54&gt;=0.3,E54&lt;=-0.3),"超过30%","")</f>
        <v/>
      </c>
      <c r="G54" s="625">
        <f>IF(G47&lt;I47,I47/G47-1,G47/I47-1)</f>
        <v>2.0408163265306145E-2</v>
      </c>
      <c r="H54" s="626" t="str">
        <f>IF(OR(G54&gt;=0.3,G54&lt;=-0.3),"超过30%","")</f>
        <v/>
      </c>
      <c r="I54" s="625">
        <f>IF(I47&lt;E47,E47/I47-1,I47/E47-1)</f>
        <v>0.19999999999999996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572</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527</v>
      </c>
      <c r="B58" s="645"/>
      <c r="C58" s="2804"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573</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529</v>
      </c>
      <c r="B61" s="647"/>
      <c r="C61" s="659" t="s">
        <v>574</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575</v>
      </c>
      <c r="B63" s="664" t="s">
        <v>532</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536</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537</v>
      </c>
      <c r="B76" s="664" t="s">
        <v>576</v>
      </c>
      <c r="C76" s="702" t="s">
        <v>577</v>
      </c>
      <c r="D76" s="702" t="s">
        <v>578</v>
      </c>
      <c r="E76" s="702" t="s">
        <v>579</v>
      </c>
      <c r="F76" s="702" t="s">
        <v>580</v>
      </c>
      <c r="G76" s="702" t="s">
        <v>581</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584</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577</v>
      </c>
      <c r="D80" s="707" t="s">
        <v>578</v>
      </c>
      <c r="E80" s="707" t="s">
        <v>579</v>
      </c>
      <c r="F80" s="707" t="s">
        <v>580</v>
      </c>
      <c r="G80" s="707" t="s">
        <v>581</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742</v>
      </c>
      <c r="C84" s="707" t="s">
        <v>577</v>
      </c>
      <c r="D84" s="707" t="s">
        <v>578</v>
      </c>
      <c r="E84" s="707" t="s">
        <v>579</v>
      </c>
      <c r="F84" s="707" t="s">
        <v>580</v>
      </c>
      <c r="G84" s="707" t="s">
        <v>581</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2258</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744</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549</v>
      </c>
      <c r="B100" s="664" t="s">
        <v>745</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746</v>
      </c>
      <c r="C102" s="707" t="str">
        <f>C103&amp;"(含)"&amp;"-"&amp;D103</f>
        <v>0(含)-500000</v>
      </c>
      <c r="D102" s="707" t="str">
        <f t="shared" ref="D102:L102" si="23">D103&amp;"(含)"&amp;"-"&amp;E103</f>
        <v>500000(含)-1000000</v>
      </c>
      <c r="E102" s="707" t="str">
        <f t="shared" si="23"/>
        <v>1000000(含)-1500000</v>
      </c>
      <c r="F102" s="707" t="str">
        <f t="shared" si="23"/>
        <v>1500000(含)-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500000</v>
      </c>
      <c r="E103" s="729">
        <v>1000000</v>
      </c>
      <c r="F103" s="729">
        <v>1500000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747</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748</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749</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751</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752</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731</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753</v>
      </c>
      <c r="C122" s="3186" t="s">
        <v>3133</v>
      </c>
      <c r="D122" s="3186" t="s">
        <v>3135</v>
      </c>
      <c r="E122" s="3186" t="s">
        <v>3132</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755</v>
      </c>
      <c r="C1" s="503" t="s">
        <v>718</v>
      </c>
      <c r="D1" s="2370"/>
      <c r="E1" s="505"/>
      <c r="F1" s="2807"/>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465</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517</v>
      </c>
      <c r="B3" s="509" t="e">
        <f>C49</f>
        <v>#DIV/0!</v>
      </c>
      <c r="C3" s="851" t="s">
        <v>720</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519</v>
      </c>
      <c r="B4" s="512"/>
      <c r="C4" s="3381" t="s">
        <v>520</v>
      </c>
      <c r="D4" s="3382"/>
      <c r="E4" s="3405" t="s">
        <v>521</v>
      </c>
      <c r="F4" s="3406"/>
      <c r="G4" s="3381" t="s">
        <v>522</v>
      </c>
      <c r="H4" s="3382"/>
      <c r="I4" s="3381" t="s">
        <v>523</v>
      </c>
      <c r="J4" s="3382"/>
      <c r="K4" s="513" t="s">
        <v>524</v>
      </c>
      <c r="L4" s="2133"/>
      <c r="M4" s="2134"/>
      <c r="N4" s="2134"/>
      <c r="O4" s="2134"/>
      <c r="P4" s="3383" t="s">
        <v>525</v>
      </c>
      <c r="Q4" s="3384"/>
      <c r="R4" s="3369" t="s">
        <v>521</v>
      </c>
      <c r="S4" s="3370"/>
      <c r="T4" s="3369" t="s">
        <v>522</v>
      </c>
      <c r="U4" s="3370"/>
      <c r="V4" s="3389" t="s">
        <v>523</v>
      </c>
      <c r="W4" s="3389"/>
      <c r="X4" s="1566"/>
      <c r="Y4" s="3369" t="s">
        <v>525</v>
      </c>
      <c r="Z4" s="3370"/>
      <c r="AA4" s="3364" t="s">
        <v>521</v>
      </c>
      <c r="AB4" s="3389" t="s">
        <v>522</v>
      </c>
      <c r="AC4" s="3364" t="s">
        <v>523</v>
      </c>
    </row>
    <row r="5" spans="1:29" ht="15">
      <c r="A5" s="514"/>
      <c r="B5" s="515"/>
      <c r="C5" s="3392" t="s">
        <v>2928</v>
      </c>
      <c r="D5" s="3393"/>
      <c r="E5" s="3407" t="s">
        <v>2929</v>
      </c>
      <c r="F5" s="3408"/>
      <c r="G5" s="3392" t="s">
        <v>2930</v>
      </c>
      <c r="H5" s="3393"/>
      <c r="I5" s="3392" t="s">
        <v>2931</v>
      </c>
      <c r="J5" s="3393"/>
      <c r="K5" s="513"/>
      <c r="L5" s="2133"/>
      <c r="M5" s="2134"/>
      <c r="N5" s="2134"/>
      <c r="O5" s="2134"/>
      <c r="P5" s="3385"/>
      <c r="Q5" s="3386"/>
      <c r="R5" s="3371"/>
      <c r="S5" s="3372"/>
      <c r="T5" s="3371"/>
      <c r="U5" s="3372"/>
      <c r="V5" s="3389"/>
      <c r="W5" s="3389"/>
      <c r="X5" s="1566"/>
      <c r="Y5" s="3371"/>
      <c r="Z5" s="3372"/>
      <c r="AA5" s="3365"/>
      <c r="AB5" s="3389"/>
      <c r="AC5" s="3365"/>
    </row>
    <row r="6" spans="1:29" ht="15.75" thickBot="1">
      <c r="A6" s="516"/>
      <c r="B6" s="517"/>
      <c r="C6" s="3390" t="s">
        <v>2932</v>
      </c>
      <c r="D6" s="3391"/>
      <c r="E6" s="3409" t="s">
        <v>2932</v>
      </c>
      <c r="F6" s="3410"/>
      <c r="G6" s="3390" t="s">
        <v>2932</v>
      </c>
      <c r="H6" s="3391"/>
      <c r="I6" s="3390" t="s">
        <v>2932</v>
      </c>
      <c r="J6" s="3391"/>
      <c r="K6" s="513" t="s">
        <v>526</v>
      </c>
      <c r="L6" s="2133"/>
      <c r="M6" s="2134"/>
      <c r="N6" s="2134"/>
      <c r="O6" s="2134"/>
      <c r="P6" s="3387"/>
      <c r="Q6" s="3388"/>
      <c r="R6" s="3371"/>
      <c r="S6" s="3372"/>
      <c r="T6" s="3373"/>
      <c r="U6" s="3374"/>
      <c r="V6" s="3389"/>
      <c r="W6" s="3389"/>
      <c r="X6" s="1566"/>
      <c r="Y6" s="3373"/>
      <c r="Z6" s="3374"/>
      <c r="AA6" s="3366"/>
      <c r="AB6" s="3389"/>
      <c r="AC6" s="3366"/>
    </row>
    <row r="7" spans="1:29" s="1218" customFormat="1" ht="15.75" thickBot="1">
      <c r="A7" s="2911"/>
      <c r="B7" s="2918" t="s">
        <v>527</v>
      </c>
      <c r="C7" s="518">
        <f>'数据-取费表'!B2</f>
        <v>43276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67" t="s">
        <v>528</v>
      </c>
      <c r="Q7" s="3376"/>
      <c r="R7" s="1567" t="s">
        <v>8</v>
      </c>
      <c r="S7" s="1568">
        <f t="shared" ref="S7:S15" si="0">F7</f>
        <v>0</v>
      </c>
      <c r="T7" s="1567" t="s">
        <v>8</v>
      </c>
      <c r="U7" s="1568">
        <f t="shared" ref="U7:U15" si="1">H7</f>
        <v>0</v>
      </c>
      <c r="V7" s="1567" t="s">
        <v>8</v>
      </c>
      <c r="W7" s="1568">
        <f t="shared" ref="W7:W15" si="2">J7</f>
        <v>0</v>
      </c>
      <c r="X7" s="1569"/>
      <c r="Y7" s="3367" t="s">
        <v>528</v>
      </c>
      <c r="Z7" s="3368"/>
      <c r="AA7" s="1570" t="e">
        <f>D7/F7</f>
        <v>#DIV/0!</v>
      </c>
      <c r="AB7" s="1570" t="e">
        <f>D7/H7</f>
        <v>#DIV/0!</v>
      </c>
      <c r="AC7" s="1570" t="e">
        <f>D7/J7</f>
        <v>#DIV/0!</v>
      </c>
    </row>
    <row r="8" spans="1:29" s="1218" customFormat="1" ht="15.75" thickBot="1">
      <c r="A8" s="2912"/>
      <c r="B8" s="2919" t="s">
        <v>529</v>
      </c>
      <c r="C8" s="524" t="s">
        <v>574</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67" t="s">
        <v>531</v>
      </c>
      <c r="Q8" s="3368"/>
      <c r="R8" s="1567" t="s">
        <v>8</v>
      </c>
      <c r="S8" s="1568">
        <f t="shared" si="0"/>
        <v>0</v>
      </c>
      <c r="T8" s="1567" t="s">
        <v>8</v>
      </c>
      <c r="U8" s="1568">
        <f t="shared" si="1"/>
        <v>0</v>
      </c>
      <c r="V8" s="1567" t="s">
        <v>8</v>
      </c>
      <c r="W8" s="1568">
        <f t="shared" si="2"/>
        <v>0</v>
      </c>
      <c r="X8" s="1569"/>
      <c r="Y8" s="3367" t="s">
        <v>531</v>
      </c>
      <c r="Z8" s="3368"/>
      <c r="AA8" s="1570" t="e">
        <f t="shared" ref="AA8:AA46" si="3">D8/F8</f>
        <v>#DIV/0!</v>
      </c>
      <c r="AB8" s="1570" t="e">
        <f t="shared" ref="AB8:AB46" si="4">D8/H8</f>
        <v>#DIV/0!</v>
      </c>
      <c r="AC8" s="1570"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5" t="s">
        <v>533</v>
      </c>
      <c r="Q9" s="1149" t="str">
        <f t="shared" ref="Q9:Q15" si="6">B9</f>
        <v>用途</v>
      </c>
      <c r="R9" s="1567" t="s">
        <v>8</v>
      </c>
      <c r="S9" s="1568">
        <f t="shared" si="0"/>
        <v>100</v>
      </c>
      <c r="T9" s="1567" t="s">
        <v>8</v>
      </c>
      <c r="U9" s="1568">
        <f t="shared" si="1"/>
        <v>100</v>
      </c>
      <c r="V9" s="1567" t="s">
        <v>8</v>
      </c>
      <c r="W9" s="1568">
        <f t="shared" si="2"/>
        <v>100</v>
      </c>
      <c r="X9" s="1569"/>
      <c r="Y9" s="3332"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5"/>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5"/>
      <c r="Q11" s="1149" t="str">
        <f t="shared" si="6"/>
        <v>容积率</v>
      </c>
      <c r="R11" s="1567" t="s">
        <v>8</v>
      </c>
      <c r="S11" s="1568" t="e">
        <f t="shared" si="0"/>
        <v>#N/A</v>
      </c>
      <c r="T11" s="1567" t="s">
        <v>8</v>
      </c>
      <c r="U11" s="1568" t="e">
        <f t="shared" si="1"/>
        <v>#N/A</v>
      </c>
      <c r="V11" s="1567" t="s">
        <v>8</v>
      </c>
      <c r="W11" s="1568" t="e">
        <f t="shared" si="2"/>
        <v>#N/A</v>
      </c>
      <c r="X11" s="1569"/>
      <c r="Y11" s="3332"/>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75"/>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75"/>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75"/>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 t="shared" si="3"/>
        <v>1</v>
      </c>
      <c r="AB14" s="1570">
        <f t="shared" si="4"/>
        <v>1</v>
      </c>
      <c r="AC14" s="1570">
        <f t="shared" si="5"/>
        <v>1</v>
      </c>
    </row>
    <row r="15" spans="1:29" ht="15">
      <c r="A15" s="2909" t="s">
        <v>2755</v>
      </c>
      <c r="B15" s="165" t="s">
        <v>539</v>
      </c>
      <c r="C15" s="866" t="str">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377" t="s">
        <v>538</v>
      </c>
      <c r="Q15" s="1571" t="str">
        <f t="shared" si="6"/>
        <v>商业繁华度</v>
      </c>
      <c r="R15" s="1572" t="s">
        <v>8</v>
      </c>
      <c r="S15" s="1573">
        <f t="shared" si="0"/>
        <v>100</v>
      </c>
      <c r="T15" s="1572" t="s">
        <v>8</v>
      </c>
      <c r="U15" s="1573">
        <f t="shared" si="1"/>
        <v>100</v>
      </c>
      <c r="V15" s="1572" t="s">
        <v>8</v>
      </c>
      <c r="W15" s="1573">
        <f t="shared" si="2"/>
        <v>100</v>
      </c>
      <c r="X15" s="1566"/>
      <c r="Y15" s="3377" t="s">
        <v>538</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378"/>
      <c r="Q16" s="1571"/>
      <c r="R16" s="1572"/>
      <c r="S16" s="1573"/>
      <c r="T16" s="1572"/>
      <c r="U16" s="1573"/>
      <c r="V16" s="1572"/>
      <c r="W16" s="1573"/>
      <c r="X16" s="1566"/>
      <c r="Y16" s="3378"/>
      <c r="Z16" s="1574"/>
      <c r="AA16" s="1575">
        <v>1</v>
      </c>
      <c r="AB16" s="1575">
        <v>1</v>
      </c>
      <c r="AC16" s="1575">
        <v>1</v>
      </c>
    </row>
    <row r="17" spans="1:29" ht="15">
      <c r="A17" s="531"/>
      <c r="B17" s="870" t="s">
        <v>294</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378"/>
      <c r="Q17" s="1571" t="str">
        <f>B17</f>
        <v>交通便捷度</v>
      </c>
      <c r="R17" s="1572" t="s">
        <v>8</v>
      </c>
      <c r="S17" s="1573">
        <f>F17</f>
        <v>100</v>
      </c>
      <c r="T17" s="1572" t="s">
        <v>8</v>
      </c>
      <c r="U17" s="1573">
        <f>H17</f>
        <v>100</v>
      </c>
      <c r="V17" s="1572" t="s">
        <v>8</v>
      </c>
      <c r="W17" s="1573">
        <f>J17</f>
        <v>100</v>
      </c>
      <c r="X17" s="1566"/>
      <c r="Y17" s="337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378"/>
      <c r="Q18" s="1571"/>
      <c r="R18" s="1572"/>
      <c r="S18" s="1573"/>
      <c r="T18" s="1572"/>
      <c r="U18" s="1573"/>
      <c r="V18" s="1572"/>
      <c r="W18" s="1573"/>
      <c r="X18" s="1566"/>
      <c r="Y18" s="3378"/>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378"/>
      <c r="Q19" s="1571" t="str">
        <f>B19</f>
        <v>公共配套设施</v>
      </c>
      <c r="R19" s="1572" t="s">
        <v>8</v>
      </c>
      <c r="S19" s="1573">
        <f>F19</f>
        <v>100</v>
      </c>
      <c r="T19" s="1572" t="s">
        <v>8</v>
      </c>
      <c r="U19" s="1573">
        <f>H19</f>
        <v>100</v>
      </c>
      <c r="V19" s="1572" t="s">
        <v>8</v>
      </c>
      <c r="W19" s="1573">
        <f>J19</f>
        <v>100</v>
      </c>
      <c r="X19" s="1566"/>
      <c r="Y19" s="3378"/>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378"/>
      <c r="Q20" s="1571"/>
      <c r="R20" s="1572"/>
      <c r="S20" s="1573"/>
      <c r="T20" s="1572"/>
      <c r="U20" s="1573"/>
      <c r="V20" s="1572"/>
      <c r="W20" s="1573"/>
      <c r="X20" s="1566"/>
      <c r="Y20" s="3378"/>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378"/>
      <c r="Q21" s="2579" t="str">
        <f>B21</f>
        <v>基础设施水平</v>
      </c>
      <c r="R21" s="1572" t="s">
        <v>8</v>
      </c>
      <c r="S21" s="1573">
        <f>F21</f>
        <v>100</v>
      </c>
      <c r="T21" s="1572" t="s">
        <v>8</v>
      </c>
      <c r="U21" s="1573">
        <f>H21</f>
        <v>100</v>
      </c>
      <c r="V21" s="1572" t="s">
        <v>8</v>
      </c>
      <c r="W21" s="1573">
        <f>J21</f>
        <v>100</v>
      </c>
      <c r="X21" s="2581"/>
      <c r="Y21" s="3378"/>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378"/>
      <c r="Q22" s="2579"/>
      <c r="R22" s="1572"/>
      <c r="S22" s="1573"/>
      <c r="T22" s="1572"/>
      <c r="U22" s="1573"/>
      <c r="V22" s="1572"/>
      <c r="W22" s="1573"/>
      <c r="X22" s="2581"/>
      <c r="Y22" s="3378"/>
      <c r="Z22" s="2580"/>
      <c r="AA22" s="1575">
        <v>1</v>
      </c>
      <c r="AB22" s="1575">
        <v>1</v>
      </c>
      <c r="AC22" s="1575">
        <v>1</v>
      </c>
    </row>
    <row r="23" spans="1:29" ht="15">
      <c r="A23" s="531"/>
      <c r="B23" s="870" t="s">
        <v>295</v>
      </c>
      <c r="C23" s="898" t="str">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378"/>
      <c r="Q23" s="1571" t="str">
        <f>B23</f>
        <v>自然及人文环境</v>
      </c>
      <c r="R23" s="1572" t="s">
        <v>8</v>
      </c>
      <c r="S23" s="1573">
        <f>F23</f>
        <v>100</v>
      </c>
      <c r="T23" s="1572" t="s">
        <v>8</v>
      </c>
      <c r="U23" s="1573">
        <f>H23</f>
        <v>100</v>
      </c>
      <c r="V23" s="1572" t="s">
        <v>8</v>
      </c>
      <c r="W23" s="1573">
        <f>J23</f>
        <v>100</v>
      </c>
      <c r="X23" s="1566"/>
      <c r="Y23" s="3378"/>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378"/>
      <c r="Q24" s="1571"/>
      <c r="R24" s="1572"/>
      <c r="S24" s="1573"/>
      <c r="T24" s="1572"/>
      <c r="U24" s="1573"/>
      <c r="V24" s="1572"/>
      <c r="W24" s="1573"/>
      <c r="X24" s="1566"/>
      <c r="Y24" s="3378"/>
      <c r="Z24" s="1574"/>
      <c r="AA24" s="1575">
        <v>1</v>
      </c>
      <c r="AB24" s="1575">
        <v>1</v>
      </c>
      <c r="AC24" s="1575">
        <v>1</v>
      </c>
    </row>
    <row r="25" spans="1:29" ht="15">
      <c r="A25" s="531"/>
      <c r="B25" s="526" t="s">
        <v>545</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78"/>
      <c r="Q25" s="1571" t="str">
        <f t="shared" ref="Q25:Q46" si="11">B25</f>
        <v>临街状况</v>
      </c>
      <c r="R25" s="1572" t="s">
        <v>8</v>
      </c>
      <c r="S25" s="1573">
        <f>F25</f>
        <v>100</v>
      </c>
      <c r="T25" s="1572" t="s">
        <v>8</v>
      </c>
      <c r="U25" s="1573">
        <f>H25</f>
        <v>100</v>
      </c>
      <c r="V25" s="1572" t="s">
        <v>8</v>
      </c>
      <c r="W25" s="1573">
        <f>J25</f>
        <v>100</v>
      </c>
      <c r="X25" s="1566"/>
      <c r="Y25" s="3378"/>
      <c r="Z25" s="1574" t="str">
        <f>Q25</f>
        <v>临街状况</v>
      </c>
      <c r="AA25" s="1575">
        <f t="shared" si="3"/>
        <v>1</v>
      </c>
      <c r="AB25" s="1575">
        <f t="shared" si="4"/>
        <v>1</v>
      </c>
      <c r="AC25" s="1575">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78"/>
      <c r="Q26" s="1571" t="str">
        <f t="shared" si="11"/>
        <v>平面位置/可视性</v>
      </c>
      <c r="R26" s="1572" t="s">
        <v>8</v>
      </c>
      <c r="S26" s="1573">
        <f>F26</f>
        <v>100</v>
      </c>
      <c r="T26" s="1572" t="s">
        <v>8</v>
      </c>
      <c r="U26" s="1573">
        <f>H26</f>
        <v>100</v>
      </c>
      <c r="V26" s="1572" t="s">
        <v>8</v>
      </c>
      <c r="W26" s="1573">
        <f>J26</f>
        <v>100</v>
      </c>
      <c r="X26" s="1566"/>
      <c r="Y26" s="3378"/>
      <c r="Z26" s="1574" t="str">
        <f>Q26</f>
        <v>平面位置/可视性</v>
      </c>
      <c r="AA26" s="1575">
        <f t="shared" si="3"/>
        <v>1</v>
      </c>
      <c r="AB26" s="1575">
        <f t="shared" si="4"/>
        <v>1</v>
      </c>
      <c r="AC26" s="1575">
        <f t="shared" si="5"/>
        <v>1</v>
      </c>
    </row>
    <row r="27" spans="1:29" s="1218" customFormat="1" ht="15">
      <c r="A27" s="535"/>
      <c r="B27" s="870" t="s">
        <v>757</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378"/>
      <c r="Q27" s="1149" t="str">
        <f t="shared" si="11"/>
        <v>人流量</v>
      </c>
      <c r="R27" s="1567" t="s">
        <v>8</v>
      </c>
      <c r="S27" s="1568">
        <f>F27</f>
        <v>100</v>
      </c>
      <c r="T27" s="1567" t="s">
        <v>8</v>
      </c>
      <c r="U27" s="1568">
        <f>H27</f>
        <v>100</v>
      </c>
      <c r="V27" s="1567" t="s">
        <v>8</v>
      </c>
      <c r="W27" s="1568">
        <f>J27</f>
        <v>100</v>
      </c>
      <c r="X27" s="1569"/>
      <c r="Y27" s="3378"/>
      <c r="Z27" s="1148" t="str">
        <f>Q27</f>
        <v>人流量</v>
      </c>
      <c r="AA27" s="1575">
        <f>D27/F27</f>
        <v>1</v>
      </c>
      <c r="AB27" s="1575">
        <f>D27/H27</f>
        <v>1</v>
      </c>
      <c r="AC27" s="1575">
        <f>D27/J27</f>
        <v>1</v>
      </c>
    </row>
    <row r="28" spans="1:29" ht="15">
      <c r="A28" s="531"/>
      <c r="B28" s="526" t="s">
        <v>759</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7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8"/>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78"/>
      <c r="Q29" s="1571">
        <f t="shared" si="11"/>
        <v>111</v>
      </c>
      <c r="R29" s="1572" t="s">
        <v>8</v>
      </c>
      <c r="S29" s="1573">
        <f t="shared" si="12"/>
        <v>100</v>
      </c>
      <c r="T29" s="1572" t="s">
        <v>8</v>
      </c>
      <c r="U29" s="1573">
        <f t="shared" si="13"/>
        <v>100</v>
      </c>
      <c r="V29" s="1572" t="s">
        <v>8</v>
      </c>
      <c r="W29" s="1573">
        <f t="shared" si="14"/>
        <v>100</v>
      </c>
      <c r="X29" s="1566"/>
      <c r="Y29" s="3378"/>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78"/>
      <c r="Q30" s="1571">
        <f t="shared" si="11"/>
        <v>111</v>
      </c>
      <c r="R30" s="1572" t="s">
        <v>8</v>
      </c>
      <c r="S30" s="1573">
        <f t="shared" si="12"/>
        <v>100</v>
      </c>
      <c r="T30" s="1572" t="s">
        <v>8</v>
      </c>
      <c r="U30" s="1573">
        <f t="shared" si="13"/>
        <v>100</v>
      </c>
      <c r="V30" s="1572" t="s">
        <v>8</v>
      </c>
      <c r="W30" s="1573">
        <f t="shared" si="14"/>
        <v>100</v>
      </c>
      <c r="X30" s="1566"/>
      <c r="Y30" s="3378"/>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78"/>
      <c r="Q31" s="1571">
        <f t="shared" si="11"/>
        <v>111</v>
      </c>
      <c r="R31" s="1572" t="s">
        <v>8</v>
      </c>
      <c r="S31" s="1573">
        <f t="shared" si="12"/>
        <v>100</v>
      </c>
      <c r="T31" s="1572" t="s">
        <v>8</v>
      </c>
      <c r="U31" s="1573">
        <f t="shared" si="13"/>
        <v>100</v>
      </c>
      <c r="V31" s="1572" t="s">
        <v>8</v>
      </c>
      <c r="W31" s="1573">
        <f t="shared" si="14"/>
        <v>100</v>
      </c>
      <c r="X31" s="1566"/>
      <c r="Y31" s="3378"/>
      <c r="Z31" s="1574">
        <f t="shared" si="15"/>
        <v>111</v>
      </c>
      <c r="AA31" s="1575">
        <f t="shared" si="3"/>
        <v>1</v>
      </c>
      <c r="AB31" s="1575">
        <f t="shared" si="4"/>
        <v>1</v>
      </c>
      <c r="AC31" s="1575">
        <f t="shared" si="5"/>
        <v>1</v>
      </c>
    </row>
    <row r="32" spans="1:29" ht="15">
      <c r="A32" s="2907" t="s">
        <v>2756</v>
      </c>
      <c r="B32" s="171"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79" t="s">
        <v>548</v>
      </c>
      <c r="Q32" s="1571" t="str">
        <f t="shared" si="11"/>
        <v>商业类型</v>
      </c>
      <c r="R32" s="1572" t="s">
        <v>8</v>
      </c>
      <c r="S32" s="1573">
        <f t="shared" si="12"/>
        <v>100</v>
      </c>
      <c r="T32" s="1572" t="s">
        <v>8</v>
      </c>
      <c r="U32" s="1573">
        <f t="shared" si="13"/>
        <v>100</v>
      </c>
      <c r="V32" s="1572" t="s">
        <v>8</v>
      </c>
      <c r="W32" s="1573">
        <f t="shared" si="14"/>
        <v>100</v>
      </c>
      <c r="X32" s="1566"/>
      <c r="Y32" s="3380" t="s">
        <v>548</v>
      </c>
      <c r="Z32" s="1574" t="str">
        <f t="shared" si="15"/>
        <v>商业类型</v>
      </c>
      <c r="AA32" s="1575">
        <f t="shared" si="3"/>
        <v>1</v>
      </c>
      <c r="AB32" s="1575">
        <f t="shared" si="4"/>
        <v>1</v>
      </c>
      <c r="AC32" s="1575">
        <f t="shared" si="5"/>
        <v>1</v>
      </c>
    </row>
    <row r="33" spans="1:29" s="1337" customFormat="1" ht="15">
      <c r="A33" s="602"/>
      <c r="B33" s="526" t="s">
        <v>724</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80"/>
      <c r="Q33" s="1604" t="str">
        <f t="shared" si="11"/>
        <v>项目建筑规模</v>
      </c>
      <c r="R33" s="1576" t="s">
        <v>8</v>
      </c>
      <c r="S33" s="1577" t="e">
        <f t="shared" si="12"/>
        <v>#N/A</v>
      </c>
      <c r="T33" s="1576" t="s">
        <v>8</v>
      </c>
      <c r="U33" s="1577" t="e">
        <f t="shared" si="13"/>
        <v>#N/A</v>
      </c>
      <c r="V33" s="1576" t="s">
        <v>8</v>
      </c>
      <c r="W33" s="1577" t="e">
        <f t="shared" si="14"/>
        <v>#N/A</v>
      </c>
      <c r="X33" s="1578"/>
      <c r="Y33" s="3380"/>
      <c r="Z33" s="1579" t="str">
        <f t="shared" si="15"/>
        <v>项目建筑规模</v>
      </c>
      <c r="AA33" s="1575" t="e">
        <f t="shared" si="3"/>
        <v>#N/A</v>
      </c>
      <c r="AB33" s="1575" t="e">
        <f t="shared" si="4"/>
        <v>#N/A</v>
      </c>
      <c r="AC33" s="1575" t="e">
        <f t="shared" si="5"/>
        <v>#N/A</v>
      </c>
    </row>
    <row r="34" spans="1:29" ht="15">
      <c r="A34" s="593"/>
      <c r="B34" s="526" t="s">
        <v>725</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380"/>
      <c r="Q34" s="1571" t="str">
        <f t="shared" si="11"/>
        <v>建筑结构</v>
      </c>
      <c r="R34" s="1572" t="s">
        <v>8</v>
      </c>
      <c r="S34" s="1573">
        <f t="shared" si="12"/>
        <v>100</v>
      </c>
      <c r="T34" s="1572" t="s">
        <v>8</v>
      </c>
      <c r="U34" s="1573">
        <f t="shared" si="13"/>
        <v>100</v>
      </c>
      <c r="V34" s="1572" t="s">
        <v>8</v>
      </c>
      <c r="W34" s="1573">
        <f t="shared" si="14"/>
        <v>100</v>
      </c>
      <c r="X34" s="1566"/>
      <c r="Y34" s="3380"/>
      <c r="Z34" s="1574" t="str">
        <f t="shared" si="15"/>
        <v>建筑结构</v>
      </c>
      <c r="AA34" s="1575">
        <f t="shared" si="3"/>
        <v>1</v>
      </c>
      <c r="AB34" s="1575">
        <f t="shared" si="4"/>
        <v>1</v>
      </c>
      <c r="AC34" s="1575">
        <f t="shared" si="5"/>
        <v>1</v>
      </c>
    </row>
    <row r="35" spans="1:29" ht="15">
      <c r="A35" s="593"/>
      <c r="B35" s="526"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80"/>
      <c r="Q35" s="1571" t="str">
        <f t="shared" si="11"/>
        <v>公共部分装修</v>
      </c>
      <c r="R35" s="1572" t="s">
        <v>8</v>
      </c>
      <c r="S35" s="1573">
        <f t="shared" si="12"/>
        <v>100</v>
      </c>
      <c r="T35" s="1572" t="s">
        <v>8</v>
      </c>
      <c r="U35" s="1573">
        <f t="shared" si="13"/>
        <v>100</v>
      </c>
      <c r="V35" s="1572" t="s">
        <v>8</v>
      </c>
      <c r="W35" s="1573">
        <f t="shared" si="14"/>
        <v>100</v>
      </c>
      <c r="X35" s="1566"/>
      <c r="Y35" s="3380"/>
      <c r="Z35" s="1574" t="str">
        <f t="shared" si="15"/>
        <v>公共部分装修</v>
      </c>
      <c r="AA35" s="1575">
        <f t="shared" si="3"/>
        <v>1</v>
      </c>
      <c r="AB35" s="1575">
        <f t="shared" si="4"/>
        <v>1</v>
      </c>
      <c r="AC35" s="1575">
        <f t="shared" si="5"/>
        <v>1</v>
      </c>
    </row>
    <row r="36" spans="1:29" ht="15">
      <c r="A36" s="593"/>
      <c r="B36" s="526" t="s">
        <v>762</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380"/>
      <c r="Q36" s="1571" t="str">
        <f t="shared" si="11"/>
        <v>成新度</v>
      </c>
      <c r="R36" s="1572" t="s">
        <v>8</v>
      </c>
      <c r="S36" s="1573" t="e">
        <f t="shared" si="12"/>
        <v>#N/A</v>
      </c>
      <c r="T36" s="1572" t="s">
        <v>8</v>
      </c>
      <c r="U36" s="1573" t="e">
        <f t="shared" si="13"/>
        <v>#N/A</v>
      </c>
      <c r="V36" s="1572" t="s">
        <v>8</v>
      </c>
      <c r="W36" s="1573" t="e">
        <f t="shared" si="14"/>
        <v>#N/A</v>
      </c>
      <c r="X36" s="1566"/>
      <c r="Y36" s="3380"/>
      <c r="Z36" s="1574" t="str">
        <f t="shared" si="15"/>
        <v>成新度</v>
      </c>
      <c r="AA36" s="1575" t="e">
        <f t="shared" si="3"/>
        <v>#N/A</v>
      </c>
      <c r="AB36" s="1575" t="e">
        <f t="shared" si="4"/>
        <v>#N/A</v>
      </c>
      <c r="AC36" s="1575" t="e">
        <f t="shared" si="5"/>
        <v>#N/A</v>
      </c>
    </row>
    <row r="37" spans="1:29" s="1218"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80"/>
      <c r="Q37" s="1149" t="str">
        <f t="shared" si="11"/>
        <v>市政基础设施</v>
      </c>
      <c r="R37" s="1567" t="s">
        <v>8</v>
      </c>
      <c r="S37" s="1568">
        <f t="shared" si="12"/>
        <v>100</v>
      </c>
      <c r="T37" s="1567" t="s">
        <v>8</v>
      </c>
      <c r="U37" s="1568">
        <f t="shared" si="13"/>
        <v>100</v>
      </c>
      <c r="V37" s="1567" t="s">
        <v>8</v>
      </c>
      <c r="W37" s="1568">
        <f t="shared" si="14"/>
        <v>100</v>
      </c>
      <c r="X37" s="1569"/>
      <c r="Y37" s="3380"/>
      <c r="Z37" s="1148" t="str">
        <f t="shared" si="15"/>
        <v>市政基础设施</v>
      </c>
      <c r="AA37" s="1570">
        <f t="shared" si="3"/>
        <v>1</v>
      </c>
      <c r="AB37" s="1570">
        <f t="shared" si="4"/>
        <v>1</v>
      </c>
      <c r="AC37" s="1570">
        <f t="shared" si="5"/>
        <v>1</v>
      </c>
    </row>
    <row r="38" spans="1:29" ht="15">
      <c r="A38" s="593"/>
      <c r="B38" s="526"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80" t="s">
        <v>764</v>
      </c>
      <c r="Q38" s="1571" t="str">
        <f t="shared" si="11"/>
        <v>业态</v>
      </c>
      <c r="R38" s="1572" t="s">
        <v>8</v>
      </c>
      <c r="S38" s="1573">
        <f t="shared" si="12"/>
        <v>100</v>
      </c>
      <c r="T38" s="1572" t="s">
        <v>8</v>
      </c>
      <c r="U38" s="1573">
        <f t="shared" si="13"/>
        <v>100</v>
      </c>
      <c r="V38" s="1572" t="s">
        <v>8</v>
      </c>
      <c r="W38" s="1573">
        <f t="shared" si="14"/>
        <v>100</v>
      </c>
      <c r="X38" s="1566"/>
      <c r="Y38" s="3380" t="s">
        <v>764</v>
      </c>
      <c r="Z38" s="1574" t="str">
        <f t="shared" si="15"/>
        <v>业态</v>
      </c>
      <c r="AA38" s="1575">
        <f t="shared" si="3"/>
        <v>1</v>
      </c>
      <c r="AB38" s="1575">
        <f t="shared" si="4"/>
        <v>1</v>
      </c>
      <c r="AC38" s="1575">
        <f t="shared" si="5"/>
        <v>1</v>
      </c>
    </row>
    <row r="39" spans="1:29" ht="15">
      <c r="A39" s="593"/>
      <c r="B39" s="526"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0"/>
      <c r="Q39" s="1571" t="str">
        <f t="shared" si="11"/>
        <v>层高</v>
      </c>
      <c r="R39" s="1572" t="s">
        <v>8</v>
      </c>
      <c r="S39" s="1573">
        <f t="shared" si="12"/>
        <v>100</v>
      </c>
      <c r="T39" s="1572" t="s">
        <v>8</v>
      </c>
      <c r="U39" s="1573">
        <f t="shared" si="13"/>
        <v>100</v>
      </c>
      <c r="V39" s="1572" t="s">
        <v>8</v>
      </c>
      <c r="W39" s="1573">
        <f t="shared" si="14"/>
        <v>100</v>
      </c>
      <c r="X39" s="1566"/>
      <c r="Y39" s="3380"/>
      <c r="Z39" s="1574" t="str">
        <f t="shared" si="15"/>
        <v>层高</v>
      </c>
      <c r="AA39" s="1575">
        <f t="shared" si="3"/>
        <v>1</v>
      </c>
      <c r="AB39" s="1575">
        <f t="shared" si="4"/>
        <v>1</v>
      </c>
      <c r="AC39" s="1575">
        <f t="shared" si="5"/>
        <v>1</v>
      </c>
    </row>
    <row r="40" spans="1:29" ht="15">
      <c r="A40" s="593"/>
      <c r="B40" s="526" t="s">
        <v>766</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380"/>
      <c r="Q40" s="1571" t="str">
        <f t="shared" si="11"/>
        <v>单套建筑面积</v>
      </c>
      <c r="R40" s="1572" t="s">
        <v>8</v>
      </c>
      <c r="S40" s="1573">
        <f t="shared" si="12"/>
        <v>100</v>
      </c>
      <c r="T40" s="1572" t="s">
        <v>8</v>
      </c>
      <c r="U40" s="1573">
        <f t="shared" si="13"/>
        <v>100</v>
      </c>
      <c r="V40" s="1572" t="s">
        <v>8</v>
      </c>
      <c r="W40" s="1573">
        <f t="shared" si="14"/>
        <v>100</v>
      </c>
      <c r="X40" s="1566"/>
      <c r="Y40" s="3380"/>
      <c r="Z40" s="1574" t="str">
        <f t="shared" si="15"/>
        <v>单套建筑面积</v>
      </c>
      <c r="AA40" s="1575">
        <f t="shared" si="3"/>
        <v>1</v>
      </c>
      <c r="AB40" s="1575">
        <f t="shared" si="4"/>
        <v>1</v>
      </c>
      <c r="AC40" s="1575">
        <f t="shared" si="5"/>
        <v>1</v>
      </c>
    </row>
    <row r="41" spans="1:29" s="1337" customFormat="1" ht="15">
      <c r="A41" s="602"/>
      <c r="B41" s="902"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80"/>
      <c r="Q41" s="1604" t="str">
        <f t="shared" si="11"/>
        <v>进深比</v>
      </c>
      <c r="R41" s="1576" t="s">
        <v>8</v>
      </c>
      <c r="S41" s="1577">
        <f t="shared" si="12"/>
        <v>100</v>
      </c>
      <c r="T41" s="1576" t="s">
        <v>8</v>
      </c>
      <c r="U41" s="1577">
        <f t="shared" si="13"/>
        <v>100</v>
      </c>
      <c r="V41" s="1576" t="s">
        <v>8</v>
      </c>
      <c r="W41" s="1577">
        <f t="shared" si="14"/>
        <v>100</v>
      </c>
      <c r="X41" s="1578"/>
      <c r="Y41" s="3380"/>
      <c r="Z41" s="1579" t="str">
        <f t="shared" si="15"/>
        <v>进深比</v>
      </c>
      <c r="AA41" s="1575">
        <f t="shared" si="3"/>
        <v>1</v>
      </c>
      <c r="AB41" s="1575">
        <f t="shared" si="4"/>
        <v>1</v>
      </c>
      <c r="AC41" s="1575">
        <f t="shared" si="5"/>
        <v>1</v>
      </c>
    </row>
    <row r="42" spans="1:29" ht="15">
      <c r="A42" s="593"/>
      <c r="B42" s="526"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80"/>
      <c r="Q42" s="1571" t="str">
        <f t="shared" si="11"/>
        <v>内部装修</v>
      </c>
      <c r="R42" s="1572" t="s">
        <v>8</v>
      </c>
      <c r="S42" s="1573">
        <f t="shared" si="12"/>
        <v>100</v>
      </c>
      <c r="T42" s="1572" t="s">
        <v>8</v>
      </c>
      <c r="U42" s="1573">
        <f t="shared" si="13"/>
        <v>100</v>
      </c>
      <c r="V42" s="1572" t="s">
        <v>8</v>
      </c>
      <c r="W42" s="1573">
        <f t="shared" si="14"/>
        <v>100</v>
      </c>
      <c r="X42" s="1566"/>
      <c r="Y42" s="3380"/>
      <c r="Z42" s="1574" t="str">
        <f t="shared" si="15"/>
        <v>内部装修</v>
      </c>
      <c r="AA42" s="1575">
        <f t="shared" si="3"/>
        <v>1</v>
      </c>
      <c r="AB42" s="1575">
        <f t="shared" si="4"/>
        <v>1</v>
      </c>
      <c r="AC42" s="1575">
        <f t="shared" si="5"/>
        <v>1</v>
      </c>
    </row>
    <row r="43" spans="1:29" ht="27">
      <c r="A43" s="593"/>
      <c r="B43" s="526"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80"/>
      <c r="Q43" s="1571" t="str">
        <f t="shared" si="11"/>
        <v>内部装修维护情况</v>
      </c>
      <c r="R43" s="1572" t="s">
        <v>8</v>
      </c>
      <c r="S43" s="1573">
        <f t="shared" si="12"/>
        <v>100</v>
      </c>
      <c r="T43" s="1572" t="s">
        <v>8</v>
      </c>
      <c r="U43" s="1573">
        <f t="shared" si="13"/>
        <v>100</v>
      </c>
      <c r="V43" s="1572" t="s">
        <v>8</v>
      </c>
      <c r="W43" s="1573">
        <f t="shared" si="14"/>
        <v>100</v>
      </c>
      <c r="X43" s="1566"/>
      <c r="Y43" s="3380"/>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80"/>
      <c r="Q44" s="1149">
        <f t="shared" si="11"/>
        <v>111</v>
      </c>
      <c r="R44" s="1567" t="s">
        <v>8</v>
      </c>
      <c r="S44" s="1568">
        <f t="shared" si="12"/>
        <v>100</v>
      </c>
      <c r="T44" s="1567" t="s">
        <v>8</v>
      </c>
      <c r="U44" s="1568">
        <f t="shared" si="13"/>
        <v>100</v>
      </c>
      <c r="V44" s="1567" t="s">
        <v>8</v>
      </c>
      <c r="W44" s="1568">
        <f t="shared" si="14"/>
        <v>100</v>
      </c>
      <c r="X44" s="1569"/>
      <c r="Y44" s="3380"/>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80"/>
      <c r="Q45" s="1571">
        <f t="shared" si="11"/>
        <v>111</v>
      </c>
      <c r="R45" s="1572" t="s">
        <v>8</v>
      </c>
      <c r="S45" s="1573">
        <f t="shared" si="12"/>
        <v>100</v>
      </c>
      <c r="T45" s="1572" t="s">
        <v>8</v>
      </c>
      <c r="U45" s="1573">
        <f t="shared" si="13"/>
        <v>100</v>
      </c>
      <c r="V45" s="1572" t="s">
        <v>8</v>
      </c>
      <c r="W45" s="1573">
        <f t="shared" si="14"/>
        <v>100</v>
      </c>
      <c r="X45" s="1566"/>
      <c r="Y45" s="3380"/>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0"/>
      <c r="Q46" s="1571">
        <f t="shared" si="11"/>
        <v>111</v>
      </c>
      <c r="R46" s="1572" t="s">
        <v>8</v>
      </c>
      <c r="S46" s="1573">
        <f t="shared" si="12"/>
        <v>100</v>
      </c>
      <c r="T46" s="1572" t="s">
        <v>8</v>
      </c>
      <c r="U46" s="1573">
        <f t="shared" si="13"/>
        <v>100</v>
      </c>
      <c r="V46" s="1572" t="s">
        <v>8</v>
      </c>
      <c r="W46" s="1573">
        <f t="shared" si="14"/>
        <v>100</v>
      </c>
      <c r="X46" s="1566"/>
      <c r="Y46" s="3480"/>
      <c r="Z46" s="1574">
        <f t="shared" si="15"/>
        <v>111</v>
      </c>
      <c r="AA46" s="1575">
        <f t="shared" si="3"/>
        <v>1</v>
      </c>
      <c r="AB46" s="1575">
        <f t="shared" si="4"/>
        <v>1</v>
      </c>
      <c r="AC46" s="1575">
        <f t="shared" si="5"/>
        <v>1</v>
      </c>
    </row>
    <row r="47" spans="1:29" ht="15">
      <c r="A47" s="606" t="s">
        <v>734</v>
      </c>
      <c r="B47" s="885"/>
      <c r="C47" s="2627" t="s">
        <v>1</v>
      </c>
      <c r="D47" s="2628"/>
      <c r="E47" s="2629"/>
      <c r="F47" s="2630"/>
      <c r="G47" s="2631"/>
      <c r="H47" s="2632"/>
      <c r="I47" s="2629"/>
      <c r="J47" s="2632"/>
      <c r="K47" s="1610"/>
      <c r="L47" s="2144"/>
      <c r="M47" s="2145"/>
      <c r="N47" s="2134"/>
      <c r="O47" s="2145"/>
      <c r="P47" s="3375" t="str">
        <f>A47</f>
        <v>成交单价（元/平方米）</v>
      </c>
      <c r="Q47" s="3375"/>
      <c r="R47" s="3479">
        <f>E47</f>
        <v>0</v>
      </c>
      <c r="S47" s="3479"/>
      <c r="T47" s="3479">
        <f>G47</f>
        <v>0</v>
      </c>
      <c r="U47" s="3479"/>
      <c r="V47" s="3479">
        <f>I47</f>
        <v>0</v>
      </c>
      <c r="W47" s="3479"/>
      <c r="X47" s="1558"/>
      <c r="Y47" s="1580"/>
      <c r="Z47" s="1558"/>
      <c r="AA47" s="1558"/>
      <c r="AB47" s="1558"/>
      <c r="AC47" s="1558"/>
    </row>
    <row r="48" spans="1:29" ht="15.75" thickBot="1">
      <c r="A48" s="614" t="s">
        <v>2761</v>
      </c>
      <c r="B48" s="886"/>
      <c r="C48" s="2633" t="e">
        <f>R49</f>
        <v>#DIV/0!</v>
      </c>
      <c r="D48" s="2634"/>
      <c r="E48" s="2635" t="e">
        <f>R48</f>
        <v>#DIV/0!</v>
      </c>
      <c r="F48" s="2635"/>
      <c r="G48" s="2633" t="e">
        <f>T48</f>
        <v>#DIV/0!</v>
      </c>
      <c r="H48" s="2634"/>
      <c r="I48" s="2635" t="e">
        <f>V48</f>
        <v>#DIV/0!</v>
      </c>
      <c r="J48" s="2634"/>
      <c r="K48" s="1611"/>
      <c r="L48" s="2144"/>
      <c r="M48" s="2145"/>
      <c r="N48" s="2134"/>
      <c r="O48" s="2145"/>
      <c r="P48" s="3375" t="str">
        <f>A48</f>
        <v>比较价格（元/平方米）</v>
      </c>
      <c r="Q48" s="337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396" t="str">
        <f>A49</f>
        <v>估价对象XX用房的比较价格（楼面单价，元/平方米）</v>
      </c>
      <c r="Q49" s="3397"/>
      <c r="R49" s="3478" t="e">
        <f>IF(F1="售价",ROUND(AVERAGE(R48:V48),0),ROUND(AVERAGE(R48:V48),1))</f>
        <v>#DIV/0!</v>
      </c>
      <c r="S49" s="3478"/>
      <c r="T49" s="3478"/>
      <c r="U49" s="3478"/>
      <c r="V49" s="3478"/>
      <c r="W49" s="347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555</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556</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557</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572</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527</v>
      </c>
      <c r="B58" s="645"/>
      <c r="C58" s="2802"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573</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529</v>
      </c>
      <c r="B61" s="647"/>
      <c r="C61" s="659" t="s">
        <v>574</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575</v>
      </c>
      <c r="B63" s="664" t="s">
        <v>532</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536</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537</v>
      </c>
      <c r="B76" s="664" t="s">
        <v>576</v>
      </c>
      <c r="C76" s="702" t="s">
        <v>577</v>
      </c>
      <c r="D76" s="702" t="s">
        <v>578</v>
      </c>
      <c r="E76" s="702" t="s">
        <v>579</v>
      </c>
      <c r="F76" s="702" t="s">
        <v>580</v>
      </c>
      <c r="G76" s="702" t="s">
        <v>581</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584</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577</v>
      </c>
      <c r="D80" s="707" t="s">
        <v>578</v>
      </c>
      <c r="E80" s="707" t="s">
        <v>579</v>
      </c>
      <c r="F80" s="707" t="s">
        <v>580</v>
      </c>
      <c r="G80" s="707" t="s">
        <v>581</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742</v>
      </c>
      <c r="C84" s="707" t="s">
        <v>577</v>
      </c>
      <c r="D84" s="707" t="s">
        <v>578</v>
      </c>
      <c r="E84" s="707" t="s">
        <v>579</v>
      </c>
      <c r="F84" s="707" t="s">
        <v>580</v>
      </c>
      <c r="G84" s="707" t="s">
        <v>581</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769</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549</v>
      </c>
      <c r="B100" s="664" t="s">
        <v>770</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747</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771</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772</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773</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774</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753</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775</v>
      </c>
      <c r="C1" s="503" t="s">
        <v>718</v>
      </c>
      <c r="D1" s="848"/>
      <c r="E1" s="505"/>
      <c r="F1" s="2807"/>
      <c r="G1" s="1600" t="s">
        <v>719</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465</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517</v>
      </c>
      <c r="B3" s="509" t="e">
        <f>C50</f>
        <v>#DIV/0!</v>
      </c>
      <c r="C3" s="851" t="s">
        <v>720</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519</v>
      </c>
      <c r="B4" s="512"/>
      <c r="C4" s="3381" t="s">
        <v>520</v>
      </c>
      <c r="D4" s="3382"/>
      <c r="E4" s="3405" t="s">
        <v>521</v>
      </c>
      <c r="F4" s="3406"/>
      <c r="G4" s="3381" t="s">
        <v>522</v>
      </c>
      <c r="H4" s="3382"/>
      <c r="I4" s="3381" t="s">
        <v>523</v>
      </c>
      <c r="J4" s="3382"/>
      <c r="K4" s="513" t="s">
        <v>524</v>
      </c>
      <c r="L4" s="2133"/>
      <c r="M4" s="2134"/>
      <c r="N4" s="2134"/>
      <c r="O4" s="2134"/>
      <c r="P4" s="3481" t="s">
        <v>525</v>
      </c>
      <c r="Q4" s="3384"/>
      <c r="R4" s="3369" t="s">
        <v>521</v>
      </c>
      <c r="S4" s="3370"/>
      <c r="T4" s="3369" t="s">
        <v>522</v>
      </c>
      <c r="U4" s="3370"/>
      <c r="V4" s="3389" t="s">
        <v>523</v>
      </c>
      <c r="W4" s="3389"/>
      <c r="X4" s="1566"/>
      <c r="Y4" s="3369" t="s">
        <v>525</v>
      </c>
      <c r="Z4" s="3370"/>
      <c r="AA4" s="3364" t="s">
        <v>521</v>
      </c>
      <c r="AB4" s="3364" t="s">
        <v>522</v>
      </c>
      <c r="AC4" s="3364" t="s">
        <v>523</v>
      </c>
    </row>
    <row r="5" spans="1:29" ht="15">
      <c r="A5" s="514"/>
      <c r="B5" s="515"/>
      <c r="C5" s="3392" t="s">
        <v>2928</v>
      </c>
      <c r="D5" s="3393"/>
      <c r="E5" s="3407" t="s">
        <v>2929</v>
      </c>
      <c r="F5" s="3408"/>
      <c r="G5" s="3392" t="s">
        <v>2930</v>
      </c>
      <c r="H5" s="3393"/>
      <c r="I5" s="3392" t="s">
        <v>2931</v>
      </c>
      <c r="J5" s="3393"/>
      <c r="K5" s="513"/>
      <c r="L5" s="2133"/>
      <c r="M5" s="2134"/>
      <c r="N5" s="2134"/>
      <c r="O5" s="2134"/>
      <c r="P5" s="3482"/>
      <c r="Q5" s="3386"/>
      <c r="R5" s="3371"/>
      <c r="S5" s="3372"/>
      <c r="T5" s="3371"/>
      <c r="U5" s="3372"/>
      <c r="V5" s="3389"/>
      <c r="W5" s="3389"/>
      <c r="X5" s="1566"/>
      <c r="Y5" s="3371"/>
      <c r="Z5" s="3372"/>
      <c r="AA5" s="3365"/>
      <c r="AB5" s="3365"/>
      <c r="AC5" s="3365"/>
    </row>
    <row r="6" spans="1:29" ht="15.75" thickBot="1">
      <c r="A6" s="516"/>
      <c r="B6" s="517"/>
      <c r="C6" s="3390" t="s">
        <v>2932</v>
      </c>
      <c r="D6" s="3391"/>
      <c r="E6" s="3409" t="s">
        <v>2932</v>
      </c>
      <c r="F6" s="3410"/>
      <c r="G6" s="3390" t="s">
        <v>2932</v>
      </c>
      <c r="H6" s="3391"/>
      <c r="I6" s="3390" t="s">
        <v>2932</v>
      </c>
      <c r="J6" s="3391"/>
      <c r="K6" s="513" t="s">
        <v>526</v>
      </c>
      <c r="L6" s="2133"/>
      <c r="M6" s="2134"/>
      <c r="N6" s="2134"/>
      <c r="O6" s="2134"/>
      <c r="P6" s="3483"/>
      <c r="Q6" s="3388"/>
      <c r="R6" s="3371"/>
      <c r="S6" s="3372"/>
      <c r="T6" s="3373"/>
      <c r="U6" s="3374"/>
      <c r="V6" s="3389"/>
      <c r="W6" s="3389"/>
      <c r="X6" s="1566"/>
      <c r="Y6" s="3373"/>
      <c r="Z6" s="3374"/>
      <c r="AA6" s="3366"/>
      <c r="AB6" s="3366"/>
      <c r="AC6" s="3366"/>
    </row>
    <row r="7" spans="1:29" s="1218" customFormat="1" ht="15.75" thickBot="1">
      <c r="A7" s="2911"/>
      <c r="B7" s="2918" t="s">
        <v>527</v>
      </c>
      <c r="C7" s="518">
        <f>'数据-取费表'!B2</f>
        <v>43276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6" t="s">
        <v>528</v>
      </c>
      <c r="Q7" s="3376"/>
      <c r="R7" s="1567" t="s">
        <v>8</v>
      </c>
      <c r="S7" s="1568">
        <f t="shared" ref="S7:S15" si="0">F7</f>
        <v>0</v>
      </c>
      <c r="T7" s="1567" t="s">
        <v>8</v>
      </c>
      <c r="U7" s="1568">
        <f t="shared" ref="U7:U15" si="1">H7</f>
        <v>0</v>
      </c>
      <c r="V7" s="1567" t="s">
        <v>8</v>
      </c>
      <c r="W7" s="1568">
        <f t="shared" ref="W7:W15" si="2">J7</f>
        <v>0</v>
      </c>
      <c r="X7" s="1569"/>
      <c r="Y7" s="3367" t="s">
        <v>528</v>
      </c>
      <c r="Z7" s="3368"/>
      <c r="AA7" s="1570" t="e">
        <f>D7/F7</f>
        <v>#DIV/0!</v>
      </c>
      <c r="AB7" s="1570" t="e">
        <f>D7/H7</f>
        <v>#DIV/0!</v>
      </c>
      <c r="AC7" s="1570" t="e">
        <f>D7/J7</f>
        <v>#DIV/0!</v>
      </c>
    </row>
    <row r="8" spans="1:29" s="1218" customFormat="1" ht="15.75" thickBot="1">
      <c r="A8" s="2912"/>
      <c r="B8" s="2919" t="s">
        <v>529</v>
      </c>
      <c r="C8" s="524" t="s">
        <v>574</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6" t="s">
        <v>531</v>
      </c>
      <c r="Q8" s="3368"/>
      <c r="R8" s="1567" t="s">
        <v>8</v>
      </c>
      <c r="S8" s="1568">
        <f t="shared" si="0"/>
        <v>0</v>
      </c>
      <c r="T8" s="1567" t="s">
        <v>8</v>
      </c>
      <c r="U8" s="1568">
        <f t="shared" si="1"/>
        <v>0</v>
      </c>
      <c r="V8" s="1567" t="s">
        <v>8</v>
      </c>
      <c r="W8" s="1568">
        <f t="shared" si="2"/>
        <v>0</v>
      </c>
      <c r="X8" s="1569"/>
      <c r="Y8" s="3367" t="s">
        <v>531</v>
      </c>
      <c r="Z8" s="3368"/>
      <c r="AA8" s="1570" t="e">
        <f t="shared" ref="AA8:AA47" si="3">D8/F8</f>
        <v>#DIV/0!</v>
      </c>
      <c r="AB8" s="1570" t="e">
        <f t="shared" ref="AB8:AB47" si="4">D8/H8</f>
        <v>#DIV/0!</v>
      </c>
      <c r="AC8" s="1570"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5" t="s">
        <v>533</v>
      </c>
      <c r="Q9" s="1149" t="str">
        <f t="shared" ref="Q9:Q15" si="6">B9</f>
        <v>用途</v>
      </c>
      <c r="R9" s="1567" t="s">
        <v>8</v>
      </c>
      <c r="S9" s="1568">
        <f t="shared" si="0"/>
        <v>100</v>
      </c>
      <c r="T9" s="1567" t="s">
        <v>8</v>
      </c>
      <c r="U9" s="1568">
        <f t="shared" si="1"/>
        <v>100</v>
      </c>
      <c r="V9" s="1567" t="s">
        <v>8</v>
      </c>
      <c r="W9" s="1568">
        <f t="shared" si="2"/>
        <v>100</v>
      </c>
      <c r="X9" s="1569"/>
      <c r="Y9" s="3332"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5"/>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5"/>
      <c r="Q11" s="1149" t="str">
        <f t="shared" si="6"/>
        <v>容积率</v>
      </c>
      <c r="R11" s="1567" t="s">
        <v>8</v>
      </c>
      <c r="S11" s="1568" t="e">
        <f t="shared" si="0"/>
        <v>#N/A</v>
      </c>
      <c r="T11" s="1567" t="s">
        <v>8</v>
      </c>
      <c r="U11" s="1568" t="e">
        <f t="shared" si="1"/>
        <v>#N/A</v>
      </c>
      <c r="V11" s="1567" t="s">
        <v>8</v>
      </c>
      <c r="W11" s="1568" t="e">
        <f t="shared" si="2"/>
        <v>#N/A</v>
      </c>
      <c r="X11" s="1569"/>
      <c r="Y11" s="3332"/>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75"/>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75"/>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75"/>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 t="shared" si="3"/>
        <v>1</v>
      </c>
      <c r="AB14" s="1570">
        <f t="shared" si="4"/>
        <v>1</v>
      </c>
      <c r="AC14" s="1570">
        <f t="shared" si="5"/>
        <v>1</v>
      </c>
    </row>
    <row r="15" spans="1:29" ht="15">
      <c r="A15" s="2909" t="s">
        <v>2755</v>
      </c>
      <c r="B15" s="546" t="s">
        <v>540</v>
      </c>
      <c r="C15" s="547" t="str">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377" t="s">
        <v>538</v>
      </c>
      <c r="Q15" s="1571" t="str">
        <f t="shared" si="6"/>
        <v>办公集聚程度</v>
      </c>
      <c r="R15" s="1572" t="s">
        <v>8</v>
      </c>
      <c r="S15" s="1573">
        <f t="shared" si="0"/>
        <v>100</v>
      </c>
      <c r="T15" s="1572" t="s">
        <v>8</v>
      </c>
      <c r="U15" s="1573">
        <f t="shared" si="1"/>
        <v>100</v>
      </c>
      <c r="V15" s="1572" t="s">
        <v>8</v>
      </c>
      <c r="W15" s="1573">
        <f t="shared" si="2"/>
        <v>100</v>
      </c>
      <c r="X15" s="1566"/>
      <c r="Y15" s="3377" t="s">
        <v>538</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378"/>
      <c r="Q16" s="1571"/>
      <c r="R16" s="1572"/>
      <c r="S16" s="1573"/>
      <c r="T16" s="1572"/>
      <c r="U16" s="1573"/>
      <c r="V16" s="1572"/>
      <c r="W16" s="1573"/>
      <c r="X16" s="1566"/>
      <c r="Y16" s="3378"/>
      <c r="Z16" s="1574"/>
      <c r="AA16" s="1575">
        <v>1</v>
      </c>
      <c r="AB16" s="1575">
        <v>1</v>
      </c>
      <c r="AC16" s="1575">
        <v>1</v>
      </c>
    </row>
    <row r="17" spans="1:29" ht="15">
      <c r="A17" s="531"/>
      <c r="B17" s="559" t="s">
        <v>294</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378"/>
      <c r="Q17" s="1571" t="str">
        <f>B17</f>
        <v>交通便捷度</v>
      </c>
      <c r="R17" s="1572" t="s">
        <v>8</v>
      </c>
      <c r="S17" s="1573">
        <f>F17</f>
        <v>100</v>
      </c>
      <c r="T17" s="1572" t="s">
        <v>8</v>
      </c>
      <c r="U17" s="1573">
        <f>H17</f>
        <v>100</v>
      </c>
      <c r="V17" s="1572" t="s">
        <v>8</v>
      </c>
      <c r="W17" s="1573">
        <f>J17</f>
        <v>100</v>
      </c>
      <c r="X17" s="1566"/>
      <c r="Y17" s="3378"/>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378"/>
      <c r="Q18" s="1571"/>
      <c r="R18" s="1572"/>
      <c r="S18" s="1573"/>
      <c r="T18" s="1572"/>
      <c r="U18" s="1573"/>
      <c r="V18" s="1572"/>
      <c r="W18" s="1573"/>
      <c r="X18" s="1566"/>
      <c r="Y18" s="3378"/>
      <c r="Z18" s="1574"/>
      <c r="AA18" s="1575">
        <v>1</v>
      </c>
      <c r="AB18" s="1575">
        <v>1</v>
      </c>
      <c r="AC18" s="1575">
        <v>1</v>
      </c>
    </row>
    <row r="19" spans="1:29" ht="15">
      <c r="A19" s="531"/>
      <c r="B19" s="2603"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378"/>
      <c r="Q19" s="1571" t="str">
        <f>B19</f>
        <v>公共配套设施</v>
      </c>
      <c r="R19" s="1572" t="s">
        <v>8</v>
      </c>
      <c r="S19" s="1573">
        <f>F19</f>
        <v>100</v>
      </c>
      <c r="T19" s="1572" t="s">
        <v>8</v>
      </c>
      <c r="U19" s="1573">
        <f>H19</f>
        <v>100</v>
      </c>
      <c r="V19" s="1572" t="s">
        <v>8</v>
      </c>
      <c r="W19" s="1573">
        <f>J19</f>
        <v>100</v>
      </c>
      <c r="X19" s="1566"/>
      <c r="Y19" s="3378"/>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378"/>
      <c r="Q20" s="1571"/>
      <c r="R20" s="1572"/>
      <c r="S20" s="1573"/>
      <c r="T20" s="1572"/>
      <c r="U20" s="1573"/>
      <c r="V20" s="1572"/>
      <c r="W20" s="1573"/>
      <c r="X20" s="1566"/>
      <c r="Y20" s="3378"/>
      <c r="Z20" s="1574"/>
      <c r="AA20" s="1575">
        <v>1</v>
      </c>
      <c r="AB20" s="1575">
        <v>1</v>
      </c>
      <c r="AC20" s="1575">
        <v>1</v>
      </c>
    </row>
    <row r="21" spans="1:29" ht="15">
      <c r="A21" s="531"/>
      <c r="B21" s="2591"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378"/>
      <c r="Q21" s="2579" t="str">
        <f>B21</f>
        <v>基础设施水平</v>
      </c>
      <c r="R21" s="1572" t="s">
        <v>8</v>
      </c>
      <c r="S21" s="1573">
        <f>F21</f>
        <v>100</v>
      </c>
      <c r="T21" s="1572" t="s">
        <v>8</v>
      </c>
      <c r="U21" s="1573">
        <f>H21</f>
        <v>100</v>
      </c>
      <c r="V21" s="1572" t="s">
        <v>8</v>
      </c>
      <c r="W21" s="1573">
        <f>J21</f>
        <v>100</v>
      </c>
      <c r="X21" s="2581"/>
      <c r="Y21" s="3378"/>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78"/>
      <c r="Q22" s="2579"/>
      <c r="R22" s="1572"/>
      <c r="S22" s="1573"/>
      <c r="T22" s="1572"/>
      <c r="U22" s="1573"/>
      <c r="V22" s="1572"/>
      <c r="W22" s="1573"/>
      <c r="X22" s="2581"/>
      <c r="Y22" s="3378"/>
      <c r="Z22" s="2580"/>
      <c r="AA22" s="1575">
        <v>1</v>
      </c>
      <c r="AB22" s="1575">
        <v>1</v>
      </c>
      <c r="AC22" s="1575">
        <v>1</v>
      </c>
    </row>
    <row r="23" spans="1:29" ht="15">
      <c r="A23" s="531"/>
      <c r="B23" s="559" t="s">
        <v>776</v>
      </c>
      <c r="C23" s="572" t="str">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378"/>
      <c r="Q23" s="1571" t="str">
        <f>B23</f>
        <v>环境质量</v>
      </c>
      <c r="R23" s="1572" t="s">
        <v>8</v>
      </c>
      <c r="S23" s="1573">
        <f>F23</f>
        <v>100</v>
      </c>
      <c r="T23" s="1572" t="s">
        <v>8</v>
      </c>
      <c r="U23" s="1573">
        <f>H23</f>
        <v>100</v>
      </c>
      <c r="V23" s="1572" t="s">
        <v>8</v>
      </c>
      <c r="W23" s="1573">
        <f>J23</f>
        <v>100</v>
      </c>
      <c r="X23" s="1566"/>
      <c r="Y23" s="3378"/>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378"/>
      <c r="Q24" s="1571"/>
      <c r="R24" s="1572"/>
      <c r="S24" s="1573"/>
      <c r="T24" s="1572"/>
      <c r="U24" s="1573"/>
      <c r="V24" s="1572"/>
      <c r="W24" s="1573"/>
      <c r="X24" s="1566"/>
      <c r="Y24" s="3378"/>
      <c r="Z24" s="1574"/>
      <c r="AA24" s="1575">
        <v>1</v>
      </c>
      <c r="AB24" s="1575">
        <v>1</v>
      </c>
      <c r="AC24" s="1575">
        <v>1</v>
      </c>
    </row>
    <row r="25" spans="1:29" ht="27">
      <c r="A25" s="514"/>
      <c r="B25" s="559" t="s">
        <v>546</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378"/>
      <c r="Q25" s="1571" t="str">
        <f>B25</f>
        <v>毗邻道路的类型与等级</v>
      </c>
      <c r="R25" s="1572" t="s">
        <v>8</v>
      </c>
      <c r="S25" s="1573">
        <f>F25</f>
        <v>100</v>
      </c>
      <c r="T25" s="1572" t="s">
        <v>8</v>
      </c>
      <c r="U25" s="1573">
        <f>H25</f>
        <v>100</v>
      </c>
      <c r="V25" s="1572" t="s">
        <v>8</v>
      </c>
      <c r="W25" s="1573">
        <f>J25</f>
        <v>100</v>
      </c>
      <c r="X25" s="1566"/>
      <c r="Y25" s="3378"/>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378"/>
      <c r="Q26" s="1571"/>
      <c r="R26" s="1572"/>
      <c r="S26" s="1573"/>
      <c r="T26" s="1572"/>
      <c r="U26" s="1573"/>
      <c r="V26" s="1572"/>
      <c r="W26" s="1573"/>
      <c r="X26" s="1566"/>
      <c r="Y26" s="3378"/>
      <c r="Z26" s="1574"/>
      <c r="AA26" s="1575">
        <v>1</v>
      </c>
      <c r="AB26" s="1575">
        <v>1</v>
      </c>
      <c r="AC26" s="1575">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78"/>
      <c r="Q27" s="1571" t="str">
        <f t="shared" ref="Q27:Q47" si="11">B27</f>
        <v>楼层</v>
      </c>
      <c r="R27" s="1572" t="s">
        <v>8</v>
      </c>
      <c r="S27" s="1573">
        <f>F27</f>
        <v>100</v>
      </c>
      <c r="T27" s="1572" t="s">
        <v>8</v>
      </c>
      <c r="U27" s="1573">
        <f>H27</f>
        <v>100</v>
      </c>
      <c r="V27" s="1572" t="s">
        <v>8</v>
      </c>
      <c r="W27" s="1573">
        <f>J27</f>
        <v>100</v>
      </c>
      <c r="X27" s="1566"/>
      <c r="Y27" s="3378"/>
      <c r="Z27" s="1574" t="str">
        <f>Q27</f>
        <v>楼层</v>
      </c>
      <c r="AA27" s="1575">
        <f t="shared" si="3"/>
        <v>1</v>
      </c>
      <c r="AB27" s="1575">
        <f t="shared" si="4"/>
        <v>1</v>
      </c>
      <c r="AC27" s="1575">
        <f t="shared" si="5"/>
        <v>1</v>
      </c>
    </row>
    <row r="28" spans="1:29" s="1218" customFormat="1" ht="15">
      <c r="A28" s="535"/>
      <c r="B28" s="559" t="s">
        <v>777</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378"/>
      <c r="Q28" s="1149" t="str">
        <f t="shared" si="11"/>
        <v>朝向</v>
      </c>
      <c r="R28" s="1567" t="s">
        <v>8</v>
      </c>
      <c r="S28" s="1568">
        <f>F28</f>
        <v>100</v>
      </c>
      <c r="T28" s="1567" t="s">
        <v>8</v>
      </c>
      <c r="U28" s="1568">
        <f>H28</f>
        <v>100</v>
      </c>
      <c r="V28" s="1567" t="s">
        <v>8</v>
      </c>
      <c r="W28" s="1568">
        <f>J28</f>
        <v>100</v>
      </c>
      <c r="X28" s="1569"/>
      <c r="Y28" s="3378"/>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378"/>
      <c r="Q29" s="1571">
        <f t="shared" si="11"/>
        <v>111</v>
      </c>
      <c r="R29" s="1572" t="s">
        <v>8</v>
      </c>
      <c r="S29" s="1573">
        <f t="shared" ref="S29:S47" si="12">F29</f>
        <v>100</v>
      </c>
      <c r="T29" s="1572" t="s">
        <v>8</v>
      </c>
      <c r="U29" s="1573">
        <f t="shared" ref="U29:U47" si="13">H29</f>
        <v>100</v>
      </c>
      <c r="V29" s="1572" t="s">
        <v>8</v>
      </c>
      <c r="W29" s="1573">
        <f t="shared" ref="W29:W47" si="14">J29</f>
        <v>100</v>
      </c>
      <c r="X29" s="1566"/>
      <c r="Y29" s="3378"/>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378"/>
      <c r="Q30" s="1571">
        <f t="shared" si="11"/>
        <v>111</v>
      </c>
      <c r="R30" s="1572" t="s">
        <v>8</v>
      </c>
      <c r="S30" s="1573">
        <f t="shared" si="12"/>
        <v>100</v>
      </c>
      <c r="T30" s="1572" t="s">
        <v>8</v>
      </c>
      <c r="U30" s="1573">
        <f t="shared" si="13"/>
        <v>100</v>
      </c>
      <c r="V30" s="1572" t="s">
        <v>8</v>
      </c>
      <c r="W30" s="1573">
        <f t="shared" si="14"/>
        <v>100</v>
      </c>
      <c r="X30" s="1566"/>
      <c r="Y30" s="3378"/>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378"/>
      <c r="Q31" s="1571">
        <f t="shared" si="11"/>
        <v>111</v>
      </c>
      <c r="R31" s="1572" t="s">
        <v>8</v>
      </c>
      <c r="S31" s="1573">
        <f t="shared" si="12"/>
        <v>100</v>
      </c>
      <c r="T31" s="1572" t="s">
        <v>8</v>
      </c>
      <c r="U31" s="1573">
        <f t="shared" si="13"/>
        <v>100</v>
      </c>
      <c r="V31" s="1572" t="s">
        <v>8</v>
      </c>
      <c r="W31" s="1573">
        <f t="shared" si="14"/>
        <v>100</v>
      </c>
      <c r="X31" s="1566"/>
      <c r="Y31" s="3378"/>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378"/>
      <c r="Q32" s="1571">
        <f t="shared" si="11"/>
        <v>111</v>
      </c>
      <c r="R32" s="1572" t="s">
        <v>8</v>
      </c>
      <c r="S32" s="1573">
        <f t="shared" si="12"/>
        <v>100</v>
      </c>
      <c r="T32" s="1572" t="s">
        <v>8</v>
      </c>
      <c r="U32" s="1573">
        <f t="shared" si="13"/>
        <v>100</v>
      </c>
      <c r="V32" s="1572" t="s">
        <v>8</v>
      </c>
      <c r="W32" s="1573">
        <f t="shared" si="14"/>
        <v>100</v>
      </c>
      <c r="X32" s="1566"/>
      <c r="Y32" s="3378"/>
      <c r="Z32" s="1574">
        <f t="shared" si="15"/>
        <v>111</v>
      </c>
      <c r="AA32" s="1575">
        <f t="shared" si="3"/>
        <v>1</v>
      </c>
      <c r="AB32" s="1575">
        <f t="shared" si="4"/>
        <v>1</v>
      </c>
      <c r="AC32" s="1575">
        <f t="shared" si="5"/>
        <v>1</v>
      </c>
    </row>
    <row r="33" spans="1:29" ht="15">
      <c r="A33" s="2907" t="s">
        <v>2756</v>
      </c>
      <c r="B33" s="171" t="s">
        <v>778</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379" t="s">
        <v>548</v>
      </c>
      <c r="Q33" s="1571" t="str">
        <f t="shared" si="11"/>
        <v>建筑类型</v>
      </c>
      <c r="R33" s="1572" t="s">
        <v>8</v>
      </c>
      <c r="S33" s="1573">
        <f t="shared" si="12"/>
        <v>100</v>
      </c>
      <c r="T33" s="1572" t="s">
        <v>8</v>
      </c>
      <c r="U33" s="1573">
        <f t="shared" si="13"/>
        <v>100</v>
      </c>
      <c r="V33" s="1572" t="s">
        <v>8</v>
      </c>
      <c r="W33" s="1573">
        <f t="shared" si="14"/>
        <v>100</v>
      </c>
      <c r="X33" s="1566"/>
      <c r="Y33" s="3380" t="s">
        <v>548</v>
      </c>
      <c r="Z33" s="1574" t="str">
        <f t="shared" si="15"/>
        <v>建筑类型</v>
      </c>
      <c r="AA33" s="1575">
        <f t="shared" si="3"/>
        <v>1</v>
      </c>
      <c r="AB33" s="1575">
        <f t="shared" si="4"/>
        <v>1</v>
      </c>
      <c r="AC33" s="1575">
        <f t="shared" si="5"/>
        <v>1</v>
      </c>
    </row>
    <row r="34" spans="1:29" s="1337" customFormat="1" ht="15">
      <c r="A34" s="602"/>
      <c r="B34" s="526" t="s">
        <v>724</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80"/>
      <c r="Q34" s="1604" t="str">
        <f t="shared" si="11"/>
        <v>项目建筑规模</v>
      </c>
      <c r="R34" s="1576" t="s">
        <v>8</v>
      </c>
      <c r="S34" s="1577" t="e">
        <f t="shared" si="12"/>
        <v>#N/A</v>
      </c>
      <c r="T34" s="1576" t="s">
        <v>8</v>
      </c>
      <c r="U34" s="1577" t="e">
        <f t="shared" si="13"/>
        <v>#N/A</v>
      </c>
      <c r="V34" s="1576" t="s">
        <v>8</v>
      </c>
      <c r="W34" s="1577" t="e">
        <f t="shared" si="14"/>
        <v>#N/A</v>
      </c>
      <c r="X34" s="1578"/>
      <c r="Y34" s="3380"/>
      <c r="Z34" s="1579" t="str">
        <f t="shared" si="15"/>
        <v>项目建筑规模</v>
      </c>
      <c r="AA34" s="1575" t="e">
        <f t="shared" si="3"/>
        <v>#N/A</v>
      </c>
      <c r="AB34" s="1575" t="e">
        <f t="shared" si="4"/>
        <v>#N/A</v>
      </c>
      <c r="AC34" s="1575" t="e">
        <f t="shared" si="5"/>
        <v>#N/A</v>
      </c>
    </row>
    <row r="35" spans="1:29" ht="15">
      <c r="A35" s="593"/>
      <c r="B35" s="526"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80"/>
      <c r="Q35" s="1571" t="str">
        <f t="shared" si="11"/>
        <v>建筑结构</v>
      </c>
      <c r="R35" s="1572" t="s">
        <v>8</v>
      </c>
      <c r="S35" s="1573">
        <f t="shared" si="12"/>
        <v>100</v>
      </c>
      <c r="T35" s="1572" t="s">
        <v>8</v>
      </c>
      <c r="U35" s="1573">
        <f t="shared" si="13"/>
        <v>100</v>
      </c>
      <c r="V35" s="1572" t="s">
        <v>8</v>
      </c>
      <c r="W35" s="1573">
        <f t="shared" si="14"/>
        <v>100</v>
      </c>
      <c r="X35" s="1566"/>
      <c r="Y35" s="3380"/>
      <c r="Z35" s="1574" t="str">
        <f t="shared" si="15"/>
        <v>建筑结构</v>
      </c>
      <c r="AA35" s="1575">
        <f t="shared" si="3"/>
        <v>1</v>
      </c>
      <c r="AB35" s="1575">
        <f t="shared" si="4"/>
        <v>1</v>
      </c>
      <c r="AC35" s="1575">
        <f t="shared" si="5"/>
        <v>1</v>
      </c>
    </row>
    <row r="36" spans="1:29" ht="15">
      <c r="A36" s="593"/>
      <c r="B36" s="526"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80"/>
      <c r="Q36" s="1571" t="str">
        <f t="shared" si="11"/>
        <v>公共部分装修</v>
      </c>
      <c r="R36" s="1572" t="s">
        <v>8</v>
      </c>
      <c r="S36" s="1573">
        <f t="shared" si="12"/>
        <v>100</v>
      </c>
      <c r="T36" s="1572" t="s">
        <v>8</v>
      </c>
      <c r="U36" s="1573">
        <f t="shared" si="13"/>
        <v>100</v>
      </c>
      <c r="V36" s="1572" t="s">
        <v>8</v>
      </c>
      <c r="W36" s="1573">
        <f t="shared" si="14"/>
        <v>100</v>
      </c>
      <c r="X36" s="1566"/>
      <c r="Y36" s="3380"/>
      <c r="Z36" s="1574" t="str">
        <f t="shared" si="15"/>
        <v>公共部分装修</v>
      </c>
      <c r="AA36" s="1575">
        <f t="shared" si="3"/>
        <v>1</v>
      </c>
      <c r="AB36" s="1575">
        <f t="shared" si="4"/>
        <v>1</v>
      </c>
      <c r="AC36" s="1575">
        <f t="shared" si="5"/>
        <v>1</v>
      </c>
    </row>
    <row r="37" spans="1:29" ht="15">
      <c r="A37" s="593"/>
      <c r="B37" s="526" t="s">
        <v>762</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380"/>
      <c r="Q37" s="1571" t="str">
        <f t="shared" si="11"/>
        <v>成新度</v>
      </c>
      <c r="R37" s="1572" t="s">
        <v>8</v>
      </c>
      <c r="S37" s="1573" t="e">
        <f t="shared" si="12"/>
        <v>#N/A</v>
      </c>
      <c r="T37" s="1572" t="s">
        <v>8</v>
      </c>
      <c r="U37" s="1573" t="e">
        <f t="shared" si="13"/>
        <v>#N/A</v>
      </c>
      <c r="V37" s="1572" t="s">
        <v>8</v>
      </c>
      <c r="W37" s="1573" t="e">
        <f t="shared" si="14"/>
        <v>#N/A</v>
      </c>
      <c r="X37" s="1566"/>
      <c r="Y37" s="3380"/>
      <c r="Z37" s="1574" t="str">
        <f t="shared" si="15"/>
        <v>成新度</v>
      </c>
      <c r="AA37" s="1575" t="e">
        <f t="shared" si="3"/>
        <v>#N/A</v>
      </c>
      <c r="AB37" s="1575" t="e">
        <f t="shared" si="4"/>
        <v>#N/A</v>
      </c>
      <c r="AC37" s="1575" t="e">
        <f t="shared" si="5"/>
        <v>#N/A</v>
      </c>
    </row>
    <row r="38" spans="1:29" s="1218" customFormat="1" ht="15">
      <c r="A38" s="599"/>
      <c r="B38" s="526" t="s">
        <v>779</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80"/>
      <c r="Q38" s="1149" t="str">
        <f t="shared" si="11"/>
        <v>写字楼等级</v>
      </c>
      <c r="R38" s="1567" t="s">
        <v>8</v>
      </c>
      <c r="S38" s="1568">
        <f t="shared" si="12"/>
        <v>100</v>
      </c>
      <c r="T38" s="1567" t="s">
        <v>8</v>
      </c>
      <c r="U38" s="1568">
        <f t="shared" si="13"/>
        <v>100</v>
      </c>
      <c r="V38" s="1567" t="s">
        <v>8</v>
      </c>
      <c r="W38" s="1568">
        <f t="shared" si="14"/>
        <v>100</v>
      </c>
      <c r="X38" s="1569"/>
      <c r="Y38" s="3380"/>
      <c r="Z38" s="1148" t="str">
        <f t="shared" si="15"/>
        <v>写字楼等级</v>
      </c>
      <c r="AA38" s="1570">
        <f t="shared" si="3"/>
        <v>1</v>
      </c>
      <c r="AB38" s="1570">
        <f t="shared" si="4"/>
        <v>1</v>
      </c>
      <c r="AC38" s="1570">
        <f t="shared" si="5"/>
        <v>1</v>
      </c>
    </row>
    <row r="39" spans="1:29" ht="15">
      <c r="A39" s="593"/>
      <c r="B39" s="526"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80" t="s">
        <v>548</v>
      </c>
      <c r="Q39" s="1571" t="str">
        <f t="shared" si="11"/>
        <v>物业管理</v>
      </c>
      <c r="R39" s="1572" t="s">
        <v>8</v>
      </c>
      <c r="S39" s="1573">
        <f t="shared" si="12"/>
        <v>100</v>
      </c>
      <c r="T39" s="1572" t="s">
        <v>8</v>
      </c>
      <c r="U39" s="1573">
        <f t="shared" si="13"/>
        <v>100</v>
      </c>
      <c r="V39" s="1572" t="s">
        <v>8</v>
      </c>
      <c r="W39" s="1573">
        <f t="shared" si="14"/>
        <v>100</v>
      </c>
      <c r="X39" s="1566"/>
      <c r="Y39" s="3380" t="s">
        <v>548</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80"/>
      <c r="Q40" s="1571" t="str">
        <f t="shared" si="11"/>
        <v>市政基础设施</v>
      </c>
      <c r="R40" s="1572" t="s">
        <v>8</v>
      </c>
      <c r="S40" s="1573">
        <f t="shared" si="12"/>
        <v>100</v>
      </c>
      <c r="T40" s="1572" t="s">
        <v>8</v>
      </c>
      <c r="U40" s="1573">
        <f t="shared" si="13"/>
        <v>100</v>
      </c>
      <c r="V40" s="1572" t="s">
        <v>8</v>
      </c>
      <c r="W40" s="1573">
        <f t="shared" si="14"/>
        <v>100</v>
      </c>
      <c r="X40" s="1566"/>
      <c r="Y40" s="3380"/>
      <c r="Z40" s="1574" t="str">
        <f t="shared" si="15"/>
        <v>市政基础设施</v>
      </c>
      <c r="AA40" s="1575">
        <f t="shared" si="3"/>
        <v>1</v>
      </c>
      <c r="AB40" s="1575">
        <f t="shared" si="4"/>
        <v>1</v>
      </c>
      <c r="AC40" s="1575">
        <f t="shared" si="5"/>
        <v>1</v>
      </c>
    </row>
    <row r="41" spans="1:29" ht="15">
      <c r="A41" s="593"/>
      <c r="B41" s="526"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80"/>
      <c r="Q41" s="1571" t="str">
        <f t="shared" si="11"/>
        <v>层高</v>
      </c>
      <c r="R41" s="1572" t="s">
        <v>8</v>
      </c>
      <c r="S41" s="1573">
        <f t="shared" si="12"/>
        <v>100</v>
      </c>
      <c r="T41" s="1572" t="s">
        <v>8</v>
      </c>
      <c r="U41" s="1573">
        <f t="shared" si="13"/>
        <v>100</v>
      </c>
      <c r="V41" s="1572" t="s">
        <v>8</v>
      </c>
      <c r="W41" s="1573">
        <f t="shared" si="14"/>
        <v>100</v>
      </c>
      <c r="X41" s="1566"/>
      <c r="Y41" s="3380"/>
      <c r="Z41" s="1574" t="str">
        <f t="shared" si="15"/>
        <v>层高</v>
      </c>
      <c r="AA41" s="1575">
        <f t="shared" si="3"/>
        <v>1</v>
      </c>
      <c r="AB41" s="1575">
        <f t="shared" si="4"/>
        <v>1</v>
      </c>
      <c r="AC41" s="1575">
        <f t="shared" si="5"/>
        <v>1</v>
      </c>
    </row>
    <row r="42" spans="1:29" s="1337" customFormat="1" ht="15">
      <c r="A42" s="602"/>
      <c r="B42" s="902"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80"/>
      <c r="Q42" s="1604" t="str">
        <f t="shared" si="11"/>
        <v>单套建筑面积</v>
      </c>
      <c r="R42" s="1576" t="s">
        <v>8</v>
      </c>
      <c r="S42" s="1577">
        <f t="shared" si="12"/>
        <v>100</v>
      </c>
      <c r="T42" s="1576" t="s">
        <v>8</v>
      </c>
      <c r="U42" s="1577">
        <f t="shared" si="13"/>
        <v>100</v>
      </c>
      <c r="V42" s="1576" t="s">
        <v>8</v>
      </c>
      <c r="W42" s="1577">
        <f t="shared" si="14"/>
        <v>100</v>
      </c>
      <c r="X42" s="1578"/>
      <c r="Y42" s="3380"/>
      <c r="Z42" s="1579" t="str">
        <f t="shared" si="15"/>
        <v>单套建筑面积</v>
      </c>
      <c r="AA42" s="1575">
        <f t="shared" si="3"/>
        <v>1</v>
      </c>
      <c r="AB42" s="1575">
        <f t="shared" si="4"/>
        <v>1</v>
      </c>
      <c r="AC42" s="1575">
        <f t="shared" si="5"/>
        <v>1</v>
      </c>
    </row>
    <row r="43" spans="1:29" ht="15">
      <c r="A43" s="593"/>
      <c r="B43" s="526"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80"/>
      <c r="Q43" s="1571" t="str">
        <f t="shared" si="11"/>
        <v>内部装修</v>
      </c>
      <c r="R43" s="1572" t="s">
        <v>8</v>
      </c>
      <c r="S43" s="1573">
        <f t="shared" si="12"/>
        <v>100</v>
      </c>
      <c r="T43" s="1572" t="s">
        <v>8</v>
      </c>
      <c r="U43" s="1573">
        <f t="shared" si="13"/>
        <v>100</v>
      </c>
      <c r="V43" s="1572" t="s">
        <v>8</v>
      </c>
      <c r="W43" s="1573">
        <f t="shared" si="14"/>
        <v>100</v>
      </c>
      <c r="X43" s="1566"/>
      <c r="Y43" s="3380"/>
      <c r="Z43" s="1574" t="str">
        <f t="shared" si="15"/>
        <v>内部装修</v>
      </c>
      <c r="AA43" s="1575">
        <f t="shared" si="3"/>
        <v>1</v>
      </c>
      <c r="AB43" s="1575">
        <f t="shared" si="4"/>
        <v>1</v>
      </c>
      <c r="AC43" s="1575">
        <f t="shared" si="5"/>
        <v>1</v>
      </c>
    </row>
    <row r="44" spans="1:29" ht="27">
      <c r="A44" s="593"/>
      <c r="B44" s="526"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80"/>
      <c r="Q44" s="1571" t="str">
        <f t="shared" si="11"/>
        <v>内部装修维护情况</v>
      </c>
      <c r="R44" s="1572" t="s">
        <v>8</v>
      </c>
      <c r="S44" s="1573">
        <f t="shared" si="12"/>
        <v>100</v>
      </c>
      <c r="T44" s="1572" t="s">
        <v>8</v>
      </c>
      <c r="U44" s="1573">
        <f t="shared" si="13"/>
        <v>100</v>
      </c>
      <c r="V44" s="1572" t="s">
        <v>8</v>
      </c>
      <c r="W44" s="1573">
        <f t="shared" si="14"/>
        <v>100</v>
      </c>
      <c r="X44" s="1566"/>
      <c r="Y44" s="3380"/>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80"/>
      <c r="Q45" s="1149">
        <f t="shared" si="11"/>
        <v>111</v>
      </c>
      <c r="R45" s="1567" t="s">
        <v>8</v>
      </c>
      <c r="S45" s="1568">
        <f t="shared" si="12"/>
        <v>100</v>
      </c>
      <c r="T45" s="1567" t="s">
        <v>8</v>
      </c>
      <c r="U45" s="1568">
        <f t="shared" si="13"/>
        <v>100</v>
      </c>
      <c r="V45" s="1567" t="s">
        <v>8</v>
      </c>
      <c r="W45" s="1568">
        <f t="shared" si="14"/>
        <v>100</v>
      </c>
      <c r="X45" s="1569"/>
      <c r="Y45" s="3380"/>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80"/>
      <c r="Q46" s="1571">
        <f t="shared" si="11"/>
        <v>111</v>
      </c>
      <c r="R46" s="1572" t="s">
        <v>8</v>
      </c>
      <c r="S46" s="1573">
        <f t="shared" si="12"/>
        <v>100</v>
      </c>
      <c r="T46" s="1572" t="s">
        <v>8</v>
      </c>
      <c r="U46" s="1573">
        <f t="shared" si="13"/>
        <v>100</v>
      </c>
      <c r="V46" s="1572" t="s">
        <v>8</v>
      </c>
      <c r="W46" s="1573">
        <f t="shared" si="14"/>
        <v>100</v>
      </c>
      <c r="X46" s="1566"/>
      <c r="Y46" s="3380"/>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0"/>
      <c r="Q47" s="1571">
        <f t="shared" si="11"/>
        <v>111</v>
      </c>
      <c r="R47" s="1572" t="s">
        <v>8</v>
      </c>
      <c r="S47" s="1573">
        <f t="shared" si="12"/>
        <v>100</v>
      </c>
      <c r="T47" s="1572" t="s">
        <v>8</v>
      </c>
      <c r="U47" s="1573">
        <f t="shared" si="13"/>
        <v>100</v>
      </c>
      <c r="V47" s="1572" t="s">
        <v>8</v>
      </c>
      <c r="W47" s="1573">
        <f t="shared" si="14"/>
        <v>100</v>
      </c>
      <c r="X47" s="1566"/>
      <c r="Y47" s="3480"/>
      <c r="Z47" s="1574">
        <f t="shared" si="15"/>
        <v>111</v>
      </c>
      <c r="AA47" s="1575">
        <f t="shared" si="3"/>
        <v>1</v>
      </c>
      <c r="AB47" s="1575">
        <f t="shared" si="4"/>
        <v>1</v>
      </c>
      <c r="AC47" s="1575">
        <f t="shared" si="5"/>
        <v>1</v>
      </c>
    </row>
    <row r="48" spans="1:29" ht="15">
      <c r="A48" s="606" t="s">
        <v>734</v>
      </c>
      <c r="B48" s="885"/>
      <c r="C48" s="2627" t="s">
        <v>1</v>
      </c>
      <c r="D48" s="2628"/>
      <c r="E48" s="2629"/>
      <c r="F48" s="2630"/>
      <c r="G48" s="2631"/>
      <c r="H48" s="2632"/>
      <c r="I48" s="2629"/>
      <c r="J48" s="2632"/>
      <c r="K48" s="1610"/>
      <c r="L48" s="2144"/>
      <c r="M48" s="2134"/>
      <c r="N48" s="2134"/>
      <c r="O48" s="2134"/>
      <c r="P48" s="3397" t="str">
        <f>A48</f>
        <v>成交单价（元/平方米）</v>
      </c>
      <c r="Q48" s="3375"/>
      <c r="R48" s="3479">
        <f>E48</f>
        <v>0</v>
      </c>
      <c r="S48" s="3479"/>
      <c r="T48" s="3479">
        <f>G48</f>
        <v>0</v>
      </c>
      <c r="U48" s="3479"/>
      <c r="V48" s="3479">
        <f>I48</f>
        <v>0</v>
      </c>
      <c r="W48" s="3479"/>
      <c r="X48" s="1558"/>
      <c r="Y48" s="1580"/>
      <c r="Z48" s="1558"/>
      <c r="AA48" s="1558"/>
      <c r="AB48" s="1558"/>
      <c r="AC48" s="1558"/>
    </row>
    <row r="49" spans="1:29" ht="15.75" thickBot="1">
      <c r="A49" s="614" t="s">
        <v>2761</v>
      </c>
      <c r="B49" s="886"/>
      <c r="C49" s="2633" t="e">
        <f>R50</f>
        <v>#DIV/0!</v>
      </c>
      <c r="D49" s="2634"/>
      <c r="E49" s="2635" t="e">
        <f>R49</f>
        <v>#DIV/0!</v>
      </c>
      <c r="F49" s="2635"/>
      <c r="G49" s="2633" t="e">
        <f>T49</f>
        <v>#DIV/0!</v>
      </c>
      <c r="H49" s="2634"/>
      <c r="I49" s="2635" t="e">
        <f>V49</f>
        <v>#DIV/0!</v>
      </c>
      <c r="J49" s="2634"/>
      <c r="K49" s="1611"/>
      <c r="L49" s="2144"/>
      <c r="M49" s="2134"/>
      <c r="N49" s="2134"/>
      <c r="O49" s="2134"/>
      <c r="P49" s="3397" t="str">
        <f>A49</f>
        <v>比较价格（元/平方米）</v>
      </c>
      <c r="Q49" s="337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8"/>
      <c r="Y49" s="1558"/>
      <c r="Z49" s="1558"/>
      <c r="AA49" s="1558"/>
      <c r="AB49" s="1558"/>
      <c r="AC49" s="1558"/>
    </row>
    <row r="50" spans="1:29" ht="15.75" thickBot="1">
      <c r="A50" s="620" t="s">
        <v>2934</v>
      </c>
      <c r="B50" s="621"/>
      <c r="C50" s="2636" t="e">
        <f>R50</f>
        <v>#DIV/0!</v>
      </c>
      <c r="D50" s="2636"/>
      <c r="E50" s="2636"/>
      <c r="F50" s="2636"/>
      <c r="G50" s="2636"/>
      <c r="H50" s="2636"/>
      <c r="I50" s="2636"/>
      <c r="J50" s="2636"/>
      <c r="K50" s="1612"/>
      <c r="L50" s="2144"/>
      <c r="M50" s="2134"/>
      <c r="N50" s="2134"/>
      <c r="O50" s="2134"/>
      <c r="P50" s="3484" t="str">
        <f>A50</f>
        <v>估价对象XX用房的比较价格（楼面单价，元/平方米）</v>
      </c>
      <c r="Q50" s="3397"/>
      <c r="R50" s="3478" t="e">
        <f>IF(F1="售价",ROUND(AVERAGE(R49:V49),0),ROUND(AVERAGE(R49:V49),1))</f>
        <v>#DIV/0!</v>
      </c>
      <c r="S50" s="3478"/>
      <c r="T50" s="3478"/>
      <c r="U50" s="3478"/>
      <c r="V50" s="3478"/>
      <c r="W50" s="347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555</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556</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557</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572</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527</v>
      </c>
      <c r="B59" s="645"/>
      <c r="C59" s="2802" t="str">
        <f>YEAR(C7)&amp;"-"&amp;MONTH(C7)</f>
        <v>2018-6</v>
      </c>
      <c r="D59" s="2804">
        <f>EDATE(C59,-1)</f>
        <v>43221</v>
      </c>
      <c r="E59" s="2804">
        <f t="shared" ref="E59:O59" si="16">EDATE(D59,-1)</f>
        <v>43191</v>
      </c>
      <c r="F59" s="2804">
        <f t="shared" si="16"/>
        <v>43160</v>
      </c>
      <c r="G59" s="2804">
        <f t="shared" si="16"/>
        <v>43132</v>
      </c>
      <c r="H59" s="2804">
        <f t="shared" si="16"/>
        <v>43101</v>
      </c>
      <c r="I59" s="2804">
        <f t="shared" si="16"/>
        <v>43070</v>
      </c>
      <c r="J59" s="2804">
        <f t="shared" si="16"/>
        <v>43040</v>
      </c>
      <c r="K59" s="2804">
        <f t="shared" si="16"/>
        <v>43009</v>
      </c>
      <c r="L59" s="2804">
        <f t="shared" si="16"/>
        <v>42979</v>
      </c>
      <c r="M59" s="2804">
        <f t="shared" si="16"/>
        <v>42948</v>
      </c>
      <c r="N59" s="2804">
        <f t="shared" si="16"/>
        <v>42917</v>
      </c>
      <c r="O59" s="2804">
        <f t="shared" si="16"/>
        <v>42887</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573</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529</v>
      </c>
      <c r="B62" s="647"/>
      <c r="C62" s="659" t="s">
        <v>574</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575</v>
      </c>
      <c r="B64" s="664" t="s">
        <v>532</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535</v>
      </c>
      <c r="C66" s="673" t="s">
        <v>735</v>
      </c>
      <c r="D66" s="673" t="s">
        <v>736</v>
      </c>
      <c r="E66" s="673" t="s">
        <v>737</v>
      </c>
      <c r="F66" s="673" t="s">
        <v>738</v>
      </c>
      <c r="G66" s="673" t="s">
        <v>739</v>
      </c>
      <c r="H66" s="673" t="s">
        <v>740</v>
      </c>
      <c r="I66" s="673" t="s">
        <v>741</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536</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537</v>
      </c>
      <c r="B77" s="664" t="s">
        <v>583</v>
      </c>
      <c r="C77" s="702" t="s">
        <v>577</v>
      </c>
      <c r="D77" s="702" t="s">
        <v>578</v>
      </c>
      <c r="E77" s="702" t="s">
        <v>579</v>
      </c>
      <c r="F77" s="702" t="s">
        <v>580</v>
      </c>
      <c r="G77" s="702" t="s">
        <v>581</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584</v>
      </c>
      <c r="C79" s="707" t="s">
        <v>577</v>
      </c>
      <c r="D79" s="707" t="s">
        <v>578</v>
      </c>
      <c r="E79" s="707" t="s">
        <v>579</v>
      </c>
      <c r="F79" s="707" t="s">
        <v>580</v>
      </c>
      <c r="G79" s="707" t="s">
        <v>581</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577</v>
      </c>
      <c r="D81" s="707" t="s">
        <v>578</v>
      </c>
      <c r="E81" s="707" t="s">
        <v>579</v>
      </c>
      <c r="F81" s="707" t="s">
        <v>580</v>
      </c>
      <c r="G81" s="707" t="s">
        <v>581</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782</v>
      </c>
      <c r="C85" s="707" t="s">
        <v>577</v>
      </c>
      <c r="D85" s="707" t="s">
        <v>578</v>
      </c>
      <c r="E85" s="707" t="s">
        <v>579</v>
      </c>
      <c r="F85" s="707" t="s">
        <v>580</v>
      </c>
      <c r="G85" s="707" t="s">
        <v>581</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783</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549</v>
      </c>
      <c r="B101" s="664" t="s">
        <v>745</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747</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749</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784</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751</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785</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773</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753</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754</v>
      </c>
      <c r="C125" s="707" t="s">
        <v>577</v>
      </c>
      <c r="D125" s="707" t="s">
        <v>578</v>
      </c>
      <c r="E125" s="707" t="s">
        <v>579</v>
      </c>
      <c r="F125" s="707" t="s">
        <v>580</v>
      </c>
      <c r="G125" s="707" t="s">
        <v>581</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786</v>
      </c>
      <c r="C1" s="503" t="s">
        <v>718</v>
      </c>
      <c r="D1" s="848"/>
      <c r="E1" s="505"/>
      <c r="F1" s="2807"/>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465</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517</v>
      </c>
      <c r="B3" s="509" t="e">
        <f>C43</f>
        <v>#DIV/0!</v>
      </c>
      <c r="C3" s="851" t="s">
        <v>720</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519</v>
      </c>
      <c r="B4" s="512"/>
      <c r="C4" s="3381" t="s">
        <v>520</v>
      </c>
      <c r="D4" s="3382"/>
      <c r="E4" s="3405" t="s">
        <v>521</v>
      </c>
      <c r="F4" s="3406"/>
      <c r="G4" s="3381" t="s">
        <v>522</v>
      </c>
      <c r="H4" s="3382"/>
      <c r="I4" s="3381" t="s">
        <v>523</v>
      </c>
      <c r="J4" s="3382"/>
      <c r="K4" s="513" t="s">
        <v>524</v>
      </c>
      <c r="L4" s="2133"/>
      <c r="M4" s="2134"/>
      <c r="N4" s="2134"/>
      <c r="O4" s="2134"/>
      <c r="P4" s="3383" t="s">
        <v>525</v>
      </c>
      <c r="Q4" s="3384"/>
      <c r="R4" s="3369" t="s">
        <v>521</v>
      </c>
      <c r="S4" s="3370"/>
      <c r="T4" s="3369" t="s">
        <v>522</v>
      </c>
      <c r="U4" s="3370"/>
      <c r="V4" s="3389" t="s">
        <v>523</v>
      </c>
      <c r="W4" s="3389"/>
      <c r="X4" s="1566"/>
      <c r="Y4" s="3369" t="s">
        <v>525</v>
      </c>
      <c r="Z4" s="3370"/>
      <c r="AA4" s="3364" t="s">
        <v>521</v>
      </c>
      <c r="AB4" s="3365" t="s">
        <v>522</v>
      </c>
      <c r="AC4" s="3364" t="s">
        <v>523</v>
      </c>
    </row>
    <row r="5" spans="1:29" ht="15">
      <c r="A5" s="514"/>
      <c r="B5" s="515"/>
      <c r="C5" s="3392" t="s">
        <v>2928</v>
      </c>
      <c r="D5" s="3393"/>
      <c r="E5" s="3407" t="s">
        <v>2929</v>
      </c>
      <c r="F5" s="3408"/>
      <c r="G5" s="3392" t="s">
        <v>2930</v>
      </c>
      <c r="H5" s="3393"/>
      <c r="I5" s="3392" t="s">
        <v>2931</v>
      </c>
      <c r="J5" s="3393"/>
      <c r="K5" s="513"/>
      <c r="L5" s="2133"/>
      <c r="M5" s="2134"/>
      <c r="N5" s="2134"/>
      <c r="O5" s="2134"/>
      <c r="P5" s="3385"/>
      <c r="Q5" s="3386"/>
      <c r="R5" s="3371"/>
      <c r="S5" s="3372"/>
      <c r="T5" s="3371"/>
      <c r="U5" s="3372"/>
      <c r="V5" s="3389"/>
      <c r="W5" s="3389"/>
      <c r="X5" s="1566"/>
      <c r="Y5" s="3371"/>
      <c r="Z5" s="3372"/>
      <c r="AA5" s="3365"/>
      <c r="AB5" s="3365"/>
      <c r="AC5" s="3365"/>
    </row>
    <row r="6" spans="1:29" ht="15.75" thickBot="1">
      <c r="A6" s="516"/>
      <c r="B6" s="517"/>
      <c r="C6" s="3390" t="s">
        <v>2932</v>
      </c>
      <c r="D6" s="3391"/>
      <c r="E6" s="3409" t="s">
        <v>2932</v>
      </c>
      <c r="F6" s="3410"/>
      <c r="G6" s="3390" t="s">
        <v>2932</v>
      </c>
      <c r="H6" s="3391"/>
      <c r="I6" s="3390" t="s">
        <v>2932</v>
      </c>
      <c r="J6" s="3391"/>
      <c r="K6" s="513" t="s">
        <v>526</v>
      </c>
      <c r="L6" s="2133"/>
      <c r="M6" s="2134"/>
      <c r="N6" s="2134"/>
      <c r="O6" s="2134"/>
      <c r="P6" s="3387"/>
      <c r="Q6" s="3388"/>
      <c r="R6" s="3371"/>
      <c r="S6" s="3372"/>
      <c r="T6" s="3373"/>
      <c r="U6" s="3374"/>
      <c r="V6" s="3389"/>
      <c r="W6" s="3389"/>
      <c r="X6" s="1566"/>
      <c r="Y6" s="3373"/>
      <c r="Z6" s="3374"/>
      <c r="AA6" s="3366"/>
      <c r="AB6" s="3366"/>
      <c r="AC6" s="3366"/>
    </row>
    <row r="7" spans="1:29" s="1218" customFormat="1" ht="15.75" thickBot="1">
      <c r="A7" s="2911"/>
      <c r="B7" s="2918" t="s">
        <v>527</v>
      </c>
      <c r="C7" s="518">
        <f>'数据-取费表'!B2</f>
        <v>43276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67" t="s">
        <v>528</v>
      </c>
      <c r="Q7" s="3376"/>
      <c r="R7" s="1567" t="s">
        <v>8</v>
      </c>
      <c r="S7" s="1568">
        <f t="shared" ref="S7:S15" si="0">F7</f>
        <v>0</v>
      </c>
      <c r="T7" s="1567" t="s">
        <v>8</v>
      </c>
      <c r="U7" s="1568">
        <f t="shared" ref="U7:U15" si="1">H7</f>
        <v>0</v>
      </c>
      <c r="V7" s="1567" t="s">
        <v>8</v>
      </c>
      <c r="W7" s="1568">
        <f t="shared" ref="W7:W15" si="2">J7</f>
        <v>0</v>
      </c>
      <c r="X7" s="1569"/>
      <c r="Y7" s="3367" t="s">
        <v>528</v>
      </c>
      <c r="Z7" s="3368"/>
      <c r="AA7" s="1570" t="e">
        <f>D7/F7</f>
        <v>#DIV/0!</v>
      </c>
      <c r="AB7" s="1570" t="e">
        <f>D7/H7</f>
        <v>#DIV/0!</v>
      </c>
      <c r="AC7" s="1570" t="e">
        <f>D7/J7</f>
        <v>#DIV/0!</v>
      </c>
    </row>
    <row r="8" spans="1:29" s="1218" customFormat="1" ht="15.75" thickBot="1">
      <c r="A8" s="2912"/>
      <c r="B8" s="2919" t="s">
        <v>529</v>
      </c>
      <c r="C8" s="524" t="s">
        <v>574</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67" t="s">
        <v>531</v>
      </c>
      <c r="Q8" s="3368"/>
      <c r="R8" s="1567" t="s">
        <v>8</v>
      </c>
      <c r="S8" s="1568">
        <f t="shared" si="0"/>
        <v>0</v>
      </c>
      <c r="T8" s="1567" t="s">
        <v>8</v>
      </c>
      <c r="U8" s="1568">
        <f t="shared" si="1"/>
        <v>0</v>
      </c>
      <c r="V8" s="1567" t="s">
        <v>8</v>
      </c>
      <c r="W8" s="1568">
        <f t="shared" si="2"/>
        <v>0</v>
      </c>
      <c r="X8" s="1569"/>
      <c r="Y8" s="3367" t="s">
        <v>531</v>
      </c>
      <c r="Z8" s="3368"/>
      <c r="AA8" s="1570" t="e">
        <f t="shared" ref="AA8:AA40" si="3">D8/F8</f>
        <v>#DIV/0!</v>
      </c>
      <c r="AB8" s="1570" t="e">
        <f t="shared" ref="AB8:AB40" si="4">D8/H8</f>
        <v>#DIV/0!</v>
      </c>
      <c r="AC8" s="1570"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5" t="s">
        <v>533</v>
      </c>
      <c r="Q9" s="1149" t="str">
        <f t="shared" ref="Q9:Q15" si="6">B9</f>
        <v>用途</v>
      </c>
      <c r="R9" s="1567" t="s">
        <v>8</v>
      </c>
      <c r="S9" s="1568">
        <f t="shared" si="0"/>
        <v>100</v>
      </c>
      <c r="T9" s="1567" t="s">
        <v>8</v>
      </c>
      <c r="U9" s="1568">
        <f t="shared" si="1"/>
        <v>100</v>
      </c>
      <c r="V9" s="1567" t="s">
        <v>8</v>
      </c>
      <c r="W9" s="1568">
        <f t="shared" si="2"/>
        <v>100</v>
      </c>
      <c r="X9" s="1569"/>
      <c r="Y9" s="3332"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5"/>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5"/>
      <c r="Q11" s="1149" t="str">
        <f t="shared" si="6"/>
        <v>容积率</v>
      </c>
      <c r="R11" s="1567" t="s">
        <v>8</v>
      </c>
      <c r="S11" s="1568" t="e">
        <f t="shared" si="0"/>
        <v>#N/A</v>
      </c>
      <c r="T11" s="1567" t="s">
        <v>8</v>
      </c>
      <c r="U11" s="1568" t="e">
        <f t="shared" si="1"/>
        <v>#N/A</v>
      </c>
      <c r="V11" s="1567" t="s">
        <v>8</v>
      </c>
      <c r="W11" s="1568" t="e">
        <f t="shared" si="2"/>
        <v>#N/A</v>
      </c>
      <c r="X11" s="1569"/>
      <c r="Y11" s="3332"/>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375"/>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375"/>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375"/>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 t="shared" si="3"/>
        <v>1</v>
      </c>
      <c r="AB14" s="1570">
        <f t="shared" si="4"/>
        <v>1</v>
      </c>
      <c r="AC14" s="1570">
        <f t="shared" si="5"/>
        <v>1</v>
      </c>
    </row>
    <row r="15" spans="1:29" ht="57">
      <c r="A15" s="2909" t="s">
        <v>2755</v>
      </c>
      <c r="B15" s="165" t="s">
        <v>787</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377" t="s">
        <v>538</v>
      </c>
      <c r="Q15" s="1571" t="str">
        <f t="shared" si="6"/>
        <v>产业集聚程度</v>
      </c>
      <c r="R15" s="1572" t="s">
        <v>8</v>
      </c>
      <c r="S15" s="1573">
        <f t="shared" si="0"/>
        <v>100</v>
      </c>
      <c r="T15" s="1572" t="s">
        <v>8</v>
      </c>
      <c r="U15" s="1573">
        <f t="shared" si="1"/>
        <v>100</v>
      </c>
      <c r="V15" s="1572" t="s">
        <v>8</v>
      </c>
      <c r="W15" s="1573">
        <f t="shared" si="2"/>
        <v>100</v>
      </c>
      <c r="X15" s="1566"/>
      <c r="Y15" s="3377" t="s">
        <v>538</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378"/>
      <c r="Q16" s="1571"/>
      <c r="R16" s="1572"/>
      <c r="S16" s="1573"/>
      <c r="T16" s="1572"/>
      <c r="U16" s="1573"/>
      <c r="V16" s="1572"/>
      <c r="W16" s="1573"/>
      <c r="X16" s="1566"/>
      <c r="Y16" s="3378"/>
      <c r="Z16" s="1574"/>
      <c r="AA16" s="1575">
        <v>1</v>
      </c>
      <c r="AB16" s="1575">
        <v>1</v>
      </c>
      <c r="AC16" s="1575">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378"/>
      <c r="Q17" s="1571" t="str">
        <f>B17</f>
        <v>交通便捷度</v>
      </c>
      <c r="R17" s="1572" t="s">
        <v>8</v>
      </c>
      <c r="S17" s="1573">
        <f>F17</f>
        <v>100</v>
      </c>
      <c r="T17" s="1572" t="s">
        <v>8</v>
      </c>
      <c r="U17" s="1573">
        <f>H17</f>
        <v>100</v>
      </c>
      <c r="V17" s="1572" t="s">
        <v>8</v>
      </c>
      <c r="W17" s="1573">
        <f>J17</f>
        <v>100</v>
      </c>
      <c r="X17" s="1566"/>
      <c r="Y17" s="337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378"/>
      <c r="Q18" s="1571"/>
      <c r="R18" s="1572"/>
      <c r="S18" s="1573"/>
      <c r="T18" s="1572"/>
      <c r="U18" s="1573"/>
      <c r="V18" s="1572"/>
      <c r="W18" s="1573"/>
      <c r="X18" s="1566"/>
      <c r="Y18" s="3378"/>
      <c r="Z18" s="1574"/>
      <c r="AA18" s="1575">
        <v>1</v>
      </c>
      <c r="AB18" s="1575">
        <v>1</v>
      </c>
      <c r="AC18" s="1575">
        <v>1</v>
      </c>
    </row>
    <row r="19" spans="1:29" ht="42.75">
      <c r="A19" s="531"/>
      <c r="B19" s="2603"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378"/>
      <c r="Q19" s="1571" t="str">
        <f>B19</f>
        <v>公共配套设施</v>
      </c>
      <c r="R19" s="1572" t="s">
        <v>8</v>
      </c>
      <c r="S19" s="1573">
        <f>F19</f>
        <v>100</v>
      </c>
      <c r="T19" s="1572" t="s">
        <v>8</v>
      </c>
      <c r="U19" s="1573">
        <f>H19</f>
        <v>100</v>
      </c>
      <c r="V19" s="1572" t="s">
        <v>8</v>
      </c>
      <c r="W19" s="1573">
        <f>J19</f>
        <v>100</v>
      </c>
      <c r="X19" s="1566"/>
      <c r="Y19" s="3378"/>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378"/>
      <c r="Q20" s="1571"/>
      <c r="R20" s="1572"/>
      <c r="S20" s="1573"/>
      <c r="T20" s="1572"/>
      <c r="U20" s="1573"/>
      <c r="V20" s="1572"/>
      <c r="W20" s="1573"/>
      <c r="X20" s="1566"/>
      <c r="Y20" s="3378"/>
      <c r="Z20" s="1574"/>
      <c r="AA20" s="1575">
        <v>1</v>
      </c>
      <c r="AB20" s="1575">
        <v>1</v>
      </c>
      <c r="AC20" s="1575">
        <v>1</v>
      </c>
    </row>
    <row r="21" spans="1:29" ht="28.5">
      <c r="A21" s="531"/>
      <c r="B21" s="2591"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378"/>
      <c r="Q21" s="2579" t="str">
        <f>B21</f>
        <v>基础设施水平</v>
      </c>
      <c r="R21" s="1572" t="s">
        <v>8</v>
      </c>
      <c r="S21" s="1573">
        <f>F21</f>
        <v>100</v>
      </c>
      <c r="T21" s="1572" t="s">
        <v>8</v>
      </c>
      <c r="U21" s="1573">
        <f>H21</f>
        <v>100</v>
      </c>
      <c r="V21" s="1572" t="s">
        <v>8</v>
      </c>
      <c r="W21" s="1573">
        <f>J21</f>
        <v>100</v>
      </c>
      <c r="X21" s="2581"/>
      <c r="Y21" s="3378"/>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78"/>
      <c r="Q22" s="2579"/>
      <c r="R22" s="1572"/>
      <c r="S22" s="1573"/>
      <c r="T22" s="1572"/>
      <c r="U22" s="1573"/>
      <c r="V22" s="1572"/>
      <c r="W22" s="1573"/>
      <c r="X22" s="2581"/>
      <c r="Y22" s="3378"/>
      <c r="Z22" s="2580"/>
      <c r="AA22" s="1575">
        <v>1</v>
      </c>
      <c r="AB22" s="1575">
        <v>1</v>
      </c>
      <c r="AC22" s="1575">
        <v>1</v>
      </c>
    </row>
    <row r="23" spans="1:29" ht="71.2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378"/>
      <c r="Q23" s="1571" t="str">
        <f>B23</f>
        <v>环境质量</v>
      </c>
      <c r="R23" s="1572" t="s">
        <v>8</v>
      </c>
      <c r="S23" s="1573">
        <f>F23</f>
        <v>100</v>
      </c>
      <c r="T23" s="1572" t="s">
        <v>8</v>
      </c>
      <c r="U23" s="1573">
        <f>H23</f>
        <v>100</v>
      </c>
      <c r="V23" s="1572" t="s">
        <v>8</v>
      </c>
      <c r="W23" s="1573">
        <f>J23</f>
        <v>100</v>
      </c>
      <c r="X23" s="1566"/>
      <c r="Y23" s="3378"/>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378"/>
      <c r="Q24" s="1571"/>
      <c r="R24" s="1572"/>
      <c r="S24" s="1573"/>
      <c r="T24" s="1572"/>
      <c r="U24" s="1573"/>
      <c r="V24" s="1572"/>
      <c r="W24" s="1573"/>
      <c r="X24" s="1566"/>
      <c r="Y24" s="3378"/>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78"/>
      <c r="Q25" s="1571">
        <f>B25</f>
        <v>111</v>
      </c>
      <c r="R25" s="1572" t="s">
        <v>8</v>
      </c>
      <c r="S25" s="1573">
        <f>F25</f>
        <v>100</v>
      </c>
      <c r="T25" s="1572" t="s">
        <v>8</v>
      </c>
      <c r="U25" s="1573">
        <f>H25</f>
        <v>100</v>
      </c>
      <c r="V25" s="1572" t="s">
        <v>8</v>
      </c>
      <c r="W25" s="1573">
        <f>J25</f>
        <v>100</v>
      </c>
      <c r="X25" s="1566"/>
      <c r="Y25" s="3378"/>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78"/>
      <c r="Q26" s="1571">
        <f t="shared" ref="Q26:Q40" si="11">B26</f>
        <v>111</v>
      </c>
      <c r="R26" s="1572" t="s">
        <v>8</v>
      </c>
      <c r="S26" s="1573">
        <f>F26</f>
        <v>100</v>
      </c>
      <c r="T26" s="1572" t="s">
        <v>8</v>
      </c>
      <c r="U26" s="1573">
        <f>H26</f>
        <v>100</v>
      </c>
      <c r="V26" s="1572" t="s">
        <v>8</v>
      </c>
      <c r="W26" s="1573">
        <f>J26</f>
        <v>100</v>
      </c>
      <c r="X26" s="1566"/>
      <c r="Y26" s="3378"/>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78"/>
      <c r="Q27" s="1149">
        <f t="shared" si="11"/>
        <v>111</v>
      </c>
      <c r="R27" s="1567" t="s">
        <v>8</v>
      </c>
      <c r="S27" s="1568">
        <f>F27</f>
        <v>100</v>
      </c>
      <c r="T27" s="1567" t="s">
        <v>8</v>
      </c>
      <c r="U27" s="1568">
        <f>H27</f>
        <v>100</v>
      </c>
      <c r="V27" s="1567" t="s">
        <v>8</v>
      </c>
      <c r="W27" s="1568">
        <f>J27</f>
        <v>100</v>
      </c>
      <c r="X27" s="1569"/>
      <c r="Y27" s="3378"/>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378"/>
      <c r="Q28" s="1571">
        <f t="shared" si="11"/>
        <v>111</v>
      </c>
      <c r="R28" s="1572" t="s">
        <v>8</v>
      </c>
      <c r="S28" s="1573">
        <f t="shared" ref="S28:S40" si="12">F28</f>
        <v>100</v>
      </c>
      <c r="T28" s="1572" t="s">
        <v>8</v>
      </c>
      <c r="U28" s="1573">
        <f t="shared" ref="U28:U40" si="13">H28</f>
        <v>100</v>
      </c>
      <c r="V28" s="1572" t="s">
        <v>8</v>
      </c>
      <c r="W28" s="1573">
        <f t="shared" ref="W28:W40" si="14">J28</f>
        <v>100</v>
      </c>
      <c r="X28" s="1566"/>
      <c r="Y28" s="3378"/>
      <c r="Z28" s="1574">
        <f t="shared" ref="Z28:Z40" si="15">Q28</f>
        <v>111</v>
      </c>
      <c r="AA28" s="1575">
        <f t="shared" si="3"/>
        <v>1</v>
      </c>
      <c r="AB28" s="1575">
        <f t="shared" si="4"/>
        <v>1</v>
      </c>
      <c r="AC28" s="1575">
        <f t="shared" si="5"/>
        <v>1</v>
      </c>
    </row>
    <row r="29" spans="1:29" ht="15">
      <c r="A29" s="2907" t="s">
        <v>2756</v>
      </c>
      <c r="B29" s="171" t="s">
        <v>778</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379" t="s">
        <v>548</v>
      </c>
      <c r="Q29" s="1571" t="str">
        <f t="shared" si="11"/>
        <v>建筑类型</v>
      </c>
      <c r="R29" s="1572" t="s">
        <v>8</v>
      </c>
      <c r="S29" s="1573">
        <f t="shared" si="12"/>
        <v>100</v>
      </c>
      <c r="T29" s="1572" t="s">
        <v>8</v>
      </c>
      <c r="U29" s="1573">
        <f t="shared" si="13"/>
        <v>100</v>
      </c>
      <c r="V29" s="1572" t="s">
        <v>8</v>
      </c>
      <c r="W29" s="1573">
        <f t="shared" si="14"/>
        <v>100</v>
      </c>
      <c r="X29" s="1566"/>
      <c r="Y29" s="3380" t="s">
        <v>548</v>
      </c>
      <c r="Z29" s="1574" t="str">
        <f t="shared" si="15"/>
        <v>建筑类型</v>
      </c>
      <c r="AA29" s="1575">
        <f t="shared" si="3"/>
        <v>1</v>
      </c>
      <c r="AB29" s="1575">
        <f t="shared" si="4"/>
        <v>1</v>
      </c>
      <c r="AC29" s="1575">
        <f t="shared" si="5"/>
        <v>1</v>
      </c>
    </row>
    <row r="30" spans="1:29" s="1337" customFormat="1" ht="15">
      <c r="A30" s="602"/>
      <c r="B30" s="526" t="s">
        <v>724</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80"/>
      <c r="Q30" s="1604" t="str">
        <f t="shared" si="11"/>
        <v>项目建筑规模</v>
      </c>
      <c r="R30" s="1576" t="s">
        <v>8</v>
      </c>
      <c r="S30" s="1577" t="e">
        <f t="shared" si="12"/>
        <v>#N/A</v>
      </c>
      <c r="T30" s="1576" t="s">
        <v>8</v>
      </c>
      <c r="U30" s="1577" t="e">
        <f t="shared" si="13"/>
        <v>#N/A</v>
      </c>
      <c r="V30" s="1576" t="s">
        <v>8</v>
      </c>
      <c r="W30" s="1577" t="e">
        <f t="shared" si="14"/>
        <v>#N/A</v>
      </c>
      <c r="X30" s="1578"/>
      <c r="Y30" s="3380"/>
      <c r="Z30" s="1579" t="str">
        <f t="shared" si="15"/>
        <v>项目建筑规模</v>
      </c>
      <c r="AA30" s="1575" t="e">
        <f t="shared" si="3"/>
        <v>#N/A</v>
      </c>
      <c r="AB30" s="1575" t="e">
        <f t="shared" si="4"/>
        <v>#N/A</v>
      </c>
      <c r="AC30" s="1575" t="e">
        <f t="shared" si="5"/>
        <v>#N/A</v>
      </c>
    </row>
    <row r="31" spans="1:29" ht="15">
      <c r="A31" s="593"/>
      <c r="B31" s="526" t="s">
        <v>725</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80"/>
      <c r="Q31" s="1571" t="str">
        <f t="shared" si="11"/>
        <v>建筑结构</v>
      </c>
      <c r="R31" s="1572" t="s">
        <v>8</v>
      </c>
      <c r="S31" s="1573">
        <f t="shared" si="12"/>
        <v>100</v>
      </c>
      <c r="T31" s="1572" t="s">
        <v>8</v>
      </c>
      <c r="U31" s="1573">
        <f t="shared" si="13"/>
        <v>100</v>
      </c>
      <c r="V31" s="1572" t="s">
        <v>8</v>
      </c>
      <c r="W31" s="1573">
        <f t="shared" si="14"/>
        <v>100</v>
      </c>
      <c r="X31" s="1566"/>
      <c r="Y31" s="3380"/>
      <c r="Z31" s="1574" t="str">
        <f t="shared" si="15"/>
        <v>建筑结构</v>
      </c>
      <c r="AA31" s="1575">
        <f t="shared" si="3"/>
        <v>1</v>
      </c>
      <c r="AB31" s="1575">
        <f t="shared" si="4"/>
        <v>1</v>
      </c>
      <c r="AC31" s="1575">
        <f t="shared" si="5"/>
        <v>1</v>
      </c>
    </row>
    <row r="32" spans="1:29" ht="15">
      <c r="A32" s="593"/>
      <c r="B32" s="526" t="s">
        <v>761</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80"/>
      <c r="Q32" s="1571" t="str">
        <f t="shared" si="11"/>
        <v>公共部分装修</v>
      </c>
      <c r="R32" s="1572" t="s">
        <v>8</v>
      </c>
      <c r="S32" s="1573">
        <f t="shared" si="12"/>
        <v>100</v>
      </c>
      <c r="T32" s="1572" t="s">
        <v>8</v>
      </c>
      <c r="U32" s="1573">
        <f t="shared" si="13"/>
        <v>100</v>
      </c>
      <c r="V32" s="1572" t="s">
        <v>8</v>
      </c>
      <c r="W32" s="1573">
        <f t="shared" si="14"/>
        <v>100</v>
      </c>
      <c r="X32" s="1566"/>
      <c r="Y32" s="3380"/>
      <c r="Z32" s="1574" t="str">
        <f t="shared" si="15"/>
        <v>公共部分装修</v>
      </c>
      <c r="AA32" s="1575">
        <f t="shared" si="3"/>
        <v>1</v>
      </c>
      <c r="AB32" s="1575">
        <f t="shared" si="4"/>
        <v>1</v>
      </c>
      <c r="AC32" s="1575">
        <f t="shared" si="5"/>
        <v>1</v>
      </c>
    </row>
    <row r="33" spans="1:29" ht="15">
      <c r="A33" s="593"/>
      <c r="B33" s="526" t="s">
        <v>762</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380"/>
      <c r="Q33" s="1571" t="str">
        <f t="shared" si="11"/>
        <v>成新度</v>
      </c>
      <c r="R33" s="1572" t="s">
        <v>8</v>
      </c>
      <c r="S33" s="1573" t="e">
        <f t="shared" si="12"/>
        <v>#N/A</v>
      </c>
      <c r="T33" s="1572" t="s">
        <v>8</v>
      </c>
      <c r="U33" s="1573" t="e">
        <f t="shared" si="13"/>
        <v>#N/A</v>
      </c>
      <c r="V33" s="1572" t="s">
        <v>8</v>
      </c>
      <c r="W33" s="1573" t="e">
        <f t="shared" si="14"/>
        <v>#N/A</v>
      </c>
      <c r="X33" s="1566"/>
      <c r="Y33" s="3380"/>
      <c r="Z33" s="1574" t="str">
        <f t="shared" si="15"/>
        <v>成新度</v>
      </c>
      <c r="AA33" s="1575" t="e">
        <f t="shared" si="3"/>
        <v>#N/A</v>
      </c>
      <c r="AB33" s="1575" t="e">
        <f t="shared" si="4"/>
        <v>#N/A</v>
      </c>
      <c r="AC33" s="1575" t="e">
        <f t="shared" si="5"/>
        <v>#N/A</v>
      </c>
    </row>
    <row r="34" spans="1:29" s="1218" customFormat="1" ht="15">
      <c r="A34" s="599"/>
      <c r="B34" s="526" t="s">
        <v>780</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80"/>
      <c r="Q34" s="1149" t="str">
        <f t="shared" si="11"/>
        <v>物业管理</v>
      </c>
      <c r="R34" s="1567" t="s">
        <v>8</v>
      </c>
      <c r="S34" s="1568">
        <f t="shared" si="12"/>
        <v>100</v>
      </c>
      <c r="T34" s="1567" t="s">
        <v>8</v>
      </c>
      <c r="U34" s="1568">
        <f t="shared" si="13"/>
        <v>100</v>
      </c>
      <c r="V34" s="1567" t="s">
        <v>8</v>
      </c>
      <c r="W34" s="1568">
        <f t="shared" si="14"/>
        <v>100</v>
      </c>
      <c r="X34" s="1569"/>
      <c r="Y34" s="3380"/>
      <c r="Z34" s="1148"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80" t="s">
        <v>548</v>
      </c>
      <c r="Q35" s="1571" t="str">
        <f t="shared" si="11"/>
        <v>市政基础设施</v>
      </c>
      <c r="R35" s="1572" t="s">
        <v>8</v>
      </c>
      <c r="S35" s="1573">
        <f t="shared" si="12"/>
        <v>100</v>
      </c>
      <c r="T35" s="1572" t="s">
        <v>8</v>
      </c>
      <c r="U35" s="1573">
        <f t="shared" si="13"/>
        <v>100</v>
      </c>
      <c r="V35" s="1572" t="s">
        <v>8</v>
      </c>
      <c r="W35" s="1573">
        <f t="shared" si="14"/>
        <v>100</v>
      </c>
      <c r="X35" s="1566"/>
      <c r="Y35" s="3380" t="s">
        <v>548</v>
      </c>
      <c r="Z35" s="1574" t="str">
        <f t="shared" si="15"/>
        <v>市政基础设施</v>
      </c>
      <c r="AA35" s="1575">
        <f t="shared" si="3"/>
        <v>1</v>
      </c>
      <c r="AB35" s="1575">
        <f t="shared" si="4"/>
        <v>1</v>
      </c>
      <c r="AC35" s="1575">
        <f t="shared" si="5"/>
        <v>1</v>
      </c>
    </row>
    <row r="36" spans="1:29" ht="15">
      <c r="A36" s="593"/>
      <c r="B36" s="526"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80"/>
      <c r="Q36" s="1571" t="str">
        <f t="shared" si="11"/>
        <v>内部装修</v>
      </c>
      <c r="R36" s="1572" t="s">
        <v>8</v>
      </c>
      <c r="S36" s="1573">
        <f t="shared" si="12"/>
        <v>100</v>
      </c>
      <c r="T36" s="1572" t="s">
        <v>8</v>
      </c>
      <c r="U36" s="1573">
        <f t="shared" si="13"/>
        <v>100</v>
      </c>
      <c r="V36" s="1572" t="s">
        <v>8</v>
      </c>
      <c r="W36" s="1573">
        <f t="shared" si="14"/>
        <v>100</v>
      </c>
      <c r="X36" s="1566"/>
      <c r="Y36" s="3380"/>
      <c r="Z36" s="1574" t="str">
        <f t="shared" si="15"/>
        <v>内部装修</v>
      </c>
      <c r="AA36" s="1575">
        <f t="shared" si="3"/>
        <v>1</v>
      </c>
      <c r="AB36" s="1575">
        <f t="shared" si="4"/>
        <v>1</v>
      </c>
      <c r="AC36" s="1575">
        <f t="shared" si="5"/>
        <v>1</v>
      </c>
    </row>
    <row r="37" spans="1:29" ht="15">
      <c r="A37" s="593"/>
      <c r="B37" s="526"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80"/>
      <c r="Q37" s="1571" t="str">
        <f t="shared" si="11"/>
        <v>内部装修状况</v>
      </c>
      <c r="R37" s="1572" t="s">
        <v>8</v>
      </c>
      <c r="S37" s="1573">
        <f t="shared" si="12"/>
        <v>100</v>
      </c>
      <c r="T37" s="1572" t="s">
        <v>8</v>
      </c>
      <c r="U37" s="1573">
        <f t="shared" si="13"/>
        <v>100</v>
      </c>
      <c r="V37" s="1572" t="s">
        <v>8</v>
      </c>
      <c r="W37" s="1573">
        <f t="shared" si="14"/>
        <v>100</v>
      </c>
      <c r="X37" s="1566"/>
      <c r="Y37" s="3380"/>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380"/>
      <c r="Q38" s="1604">
        <f t="shared" si="11"/>
        <v>111</v>
      </c>
      <c r="R38" s="1576" t="s">
        <v>8</v>
      </c>
      <c r="S38" s="1577">
        <f t="shared" si="12"/>
        <v>100</v>
      </c>
      <c r="T38" s="1576" t="s">
        <v>8</v>
      </c>
      <c r="U38" s="1577">
        <f t="shared" si="13"/>
        <v>100</v>
      </c>
      <c r="V38" s="1576" t="s">
        <v>8</v>
      </c>
      <c r="W38" s="1577">
        <f t="shared" si="14"/>
        <v>100</v>
      </c>
      <c r="X38" s="1578"/>
      <c r="Y38" s="3380"/>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380"/>
      <c r="Q39" s="1571">
        <f t="shared" si="11"/>
        <v>111</v>
      </c>
      <c r="R39" s="1572" t="s">
        <v>8</v>
      </c>
      <c r="S39" s="1573">
        <f t="shared" si="12"/>
        <v>100</v>
      </c>
      <c r="T39" s="1572" t="s">
        <v>8</v>
      </c>
      <c r="U39" s="1573">
        <f t="shared" si="13"/>
        <v>100</v>
      </c>
      <c r="V39" s="1572" t="s">
        <v>8</v>
      </c>
      <c r="W39" s="1573">
        <f t="shared" si="14"/>
        <v>100</v>
      </c>
      <c r="X39" s="1566"/>
      <c r="Y39" s="3380"/>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80"/>
      <c r="Q40" s="1571">
        <f t="shared" si="11"/>
        <v>111</v>
      </c>
      <c r="R40" s="1572" t="s">
        <v>8</v>
      </c>
      <c r="S40" s="1573">
        <f t="shared" si="12"/>
        <v>100</v>
      </c>
      <c r="T40" s="1572" t="s">
        <v>8</v>
      </c>
      <c r="U40" s="1573">
        <f t="shared" si="13"/>
        <v>100</v>
      </c>
      <c r="V40" s="1572" t="s">
        <v>8</v>
      </c>
      <c r="W40" s="1573">
        <f t="shared" si="14"/>
        <v>100</v>
      </c>
      <c r="X40" s="1566"/>
      <c r="Y40" s="3480"/>
      <c r="Z40" s="1574">
        <f t="shared" si="15"/>
        <v>111</v>
      </c>
      <c r="AA40" s="1575">
        <f t="shared" si="3"/>
        <v>1</v>
      </c>
      <c r="AB40" s="1575">
        <f t="shared" si="4"/>
        <v>1</v>
      </c>
      <c r="AC40" s="1575">
        <f t="shared" si="5"/>
        <v>1</v>
      </c>
    </row>
    <row r="41" spans="1:29" ht="15">
      <c r="A41" s="606" t="s">
        <v>734</v>
      </c>
      <c r="B41" s="885"/>
      <c r="C41" s="2627" t="s">
        <v>1</v>
      </c>
      <c r="D41" s="2628"/>
      <c r="E41" s="2629"/>
      <c r="F41" s="2630"/>
      <c r="G41" s="2631"/>
      <c r="H41" s="2632"/>
      <c r="I41" s="2629"/>
      <c r="J41" s="2632"/>
      <c r="K41" s="1610"/>
      <c r="L41" s="2144"/>
      <c r="M41" s="2145"/>
      <c r="N41" s="2134"/>
      <c r="O41" s="2145"/>
      <c r="P41" s="3375" t="str">
        <f>A41</f>
        <v>成交单价（元/平方米）</v>
      </c>
      <c r="Q41" s="3375"/>
      <c r="R41" s="3479">
        <f>E41</f>
        <v>0</v>
      </c>
      <c r="S41" s="3479"/>
      <c r="T41" s="3479">
        <f>G41</f>
        <v>0</v>
      </c>
      <c r="U41" s="3479"/>
      <c r="V41" s="3479">
        <f>I41</f>
        <v>0</v>
      </c>
      <c r="W41" s="3479"/>
      <c r="X41" s="1558"/>
      <c r="Y41" s="1580"/>
      <c r="Z41" s="1558"/>
      <c r="AA41" s="1558"/>
      <c r="AB41" s="1558"/>
      <c r="AC41" s="1558"/>
    </row>
    <row r="42" spans="1:29" ht="15.75" thickBot="1">
      <c r="A42" s="614" t="s">
        <v>2761</v>
      </c>
      <c r="B42" s="886"/>
      <c r="C42" s="2633" t="e">
        <f>R43</f>
        <v>#DIV/0!</v>
      </c>
      <c r="D42" s="2634"/>
      <c r="E42" s="2635" t="e">
        <f>R42</f>
        <v>#DIV/0!</v>
      </c>
      <c r="F42" s="2635"/>
      <c r="G42" s="2633" t="e">
        <f>T42</f>
        <v>#DIV/0!</v>
      </c>
      <c r="H42" s="2634"/>
      <c r="I42" s="2635" t="e">
        <f>V42</f>
        <v>#DIV/0!</v>
      </c>
      <c r="J42" s="2634"/>
      <c r="K42" s="1611"/>
      <c r="L42" s="2144"/>
      <c r="M42" s="2145"/>
      <c r="N42" s="2134"/>
      <c r="O42" s="2145"/>
      <c r="P42" s="3375" t="str">
        <f>A42</f>
        <v>比较价格（元/平方米）</v>
      </c>
      <c r="Q42" s="337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396" t="str">
        <f>A43</f>
        <v>估价对象XX用房的比较价格（楼面单价，元/平方米）</v>
      </c>
      <c r="Q43" s="3397"/>
      <c r="R43" s="3478" t="e">
        <f>IF(F1="售价",ROUND(AVERAGE(R42:V42),0),ROUND(AVERAGE(R42:V42),1))</f>
        <v>#DIV/0!</v>
      </c>
      <c r="S43" s="3478"/>
      <c r="T43" s="3478"/>
      <c r="U43" s="3478"/>
      <c r="V43" s="3478"/>
      <c r="W43" s="347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555</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556</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557</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572</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527</v>
      </c>
      <c r="B52" s="645"/>
      <c r="C52" s="2802" t="str">
        <f>YEAR(C7)&amp;"-"&amp;MONTH(C7)</f>
        <v>2018-6</v>
      </c>
      <c r="D52" s="2804">
        <f>EDATE(C52,-1)</f>
        <v>43221</v>
      </c>
      <c r="E52" s="2804">
        <f t="shared" ref="E52:O52" si="16">EDATE(D52,-1)</f>
        <v>43191</v>
      </c>
      <c r="F52" s="2804">
        <f t="shared" si="16"/>
        <v>43160</v>
      </c>
      <c r="G52" s="2804">
        <f t="shared" si="16"/>
        <v>43132</v>
      </c>
      <c r="H52" s="2804">
        <f t="shared" si="16"/>
        <v>43101</v>
      </c>
      <c r="I52" s="2804">
        <f t="shared" si="16"/>
        <v>43070</v>
      </c>
      <c r="J52" s="2804">
        <f t="shared" si="16"/>
        <v>43040</v>
      </c>
      <c r="K52" s="2804">
        <f t="shared" si="16"/>
        <v>43009</v>
      </c>
      <c r="L52" s="2804">
        <f t="shared" si="16"/>
        <v>42979</v>
      </c>
      <c r="M52" s="2804">
        <f t="shared" si="16"/>
        <v>42948</v>
      </c>
      <c r="N52" s="2804">
        <f t="shared" si="16"/>
        <v>42917</v>
      </c>
      <c r="O52" s="2804">
        <f t="shared" si="16"/>
        <v>42887</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573</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529</v>
      </c>
      <c r="B55" s="647"/>
      <c r="C55" s="659" t="s">
        <v>574</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575</v>
      </c>
      <c r="B57" s="664" t="s">
        <v>532</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535</v>
      </c>
      <c r="C59" s="673" t="s">
        <v>735</v>
      </c>
      <c r="D59" s="673" t="s">
        <v>736</v>
      </c>
      <c r="E59" s="673" t="s">
        <v>737</v>
      </c>
      <c r="F59" s="673" t="s">
        <v>738</v>
      </c>
      <c r="G59" s="673" t="s">
        <v>739</v>
      </c>
      <c r="H59" s="673" t="s">
        <v>740</v>
      </c>
      <c r="I59" s="673" t="s">
        <v>741</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536</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537</v>
      </c>
      <c r="B70" s="664" t="s">
        <v>583</v>
      </c>
      <c r="C70" s="702" t="s">
        <v>577</v>
      </c>
      <c r="D70" s="702" t="s">
        <v>578</v>
      </c>
      <c r="E70" s="702" t="s">
        <v>579</v>
      </c>
      <c r="F70" s="702" t="s">
        <v>580</v>
      </c>
      <c r="G70" s="702" t="s">
        <v>581</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584</v>
      </c>
      <c r="C72" s="707" t="s">
        <v>577</v>
      </c>
      <c r="D72" s="707" t="s">
        <v>578</v>
      </c>
      <c r="E72" s="707" t="s">
        <v>579</v>
      </c>
      <c r="F72" s="707" t="s">
        <v>580</v>
      </c>
      <c r="G72" s="707" t="s">
        <v>581</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577</v>
      </c>
      <c r="D74" s="707" t="s">
        <v>578</v>
      </c>
      <c r="E74" s="707" t="s">
        <v>579</v>
      </c>
      <c r="F74" s="707" t="s">
        <v>580</v>
      </c>
      <c r="G74" s="707" t="s">
        <v>581</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782</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549</v>
      </c>
      <c r="B88" s="664" t="s">
        <v>745</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747</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749</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751</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753</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789</v>
      </c>
      <c r="C106" s="707" t="s">
        <v>577</v>
      </c>
      <c r="D106" s="707" t="s">
        <v>578</v>
      </c>
      <c r="E106" s="707" t="s">
        <v>579</v>
      </c>
      <c r="F106" s="707" t="s">
        <v>580</v>
      </c>
      <c r="G106" s="707" t="s">
        <v>581</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921"/>
      <c r="C1" s="503" t="s">
        <v>790</v>
      </c>
      <c r="D1" s="848"/>
      <c r="E1" s="505"/>
      <c r="F1" s="2807"/>
      <c r="G1" s="1600" t="s">
        <v>791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792</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793</v>
      </c>
      <c r="B3" s="509" t="e">
        <f>IF(B37="元/平方米",C39,ROUND(B2*10000/D3,0))</f>
        <v>#DIV/0!</v>
      </c>
      <c r="C3" s="851" t="s">
        <v>794</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795</v>
      </c>
      <c r="B4" s="512"/>
      <c r="C4" s="3381" t="s">
        <v>796</v>
      </c>
      <c r="D4" s="3382"/>
      <c r="E4" s="3381" t="s">
        <v>797</v>
      </c>
      <c r="F4" s="3382"/>
      <c r="G4" s="3381" t="s">
        <v>798</v>
      </c>
      <c r="H4" s="3382"/>
      <c r="I4" s="3381" t="s">
        <v>799</v>
      </c>
      <c r="J4" s="3382"/>
      <c r="K4" s="513" t="s">
        <v>800</v>
      </c>
      <c r="L4" s="2133"/>
      <c r="M4" s="2134"/>
      <c r="N4" s="2134"/>
      <c r="O4" s="2134"/>
      <c r="P4" s="3383" t="s">
        <v>801</v>
      </c>
      <c r="Q4" s="3384"/>
      <c r="R4" s="3369" t="s">
        <v>797</v>
      </c>
      <c r="S4" s="3370"/>
      <c r="T4" s="3369" t="s">
        <v>798</v>
      </c>
      <c r="U4" s="3370"/>
      <c r="V4" s="3389" t="s">
        <v>799</v>
      </c>
      <c r="W4" s="3389"/>
      <c r="X4" s="1566"/>
      <c r="Y4" s="3369" t="s">
        <v>801</v>
      </c>
      <c r="Z4" s="3370"/>
      <c r="AA4" s="3364" t="s">
        <v>797</v>
      </c>
      <c r="AB4" s="3365" t="s">
        <v>798</v>
      </c>
      <c r="AC4" s="3364" t="s">
        <v>799</v>
      </c>
    </row>
    <row r="5" spans="1:29" ht="15">
      <c r="A5" s="514"/>
      <c r="B5" s="515"/>
      <c r="C5" s="3392" t="s">
        <v>2928</v>
      </c>
      <c r="D5" s="3393"/>
      <c r="E5" s="3392" t="s">
        <v>2929</v>
      </c>
      <c r="F5" s="3393"/>
      <c r="G5" s="3392" t="s">
        <v>2930</v>
      </c>
      <c r="H5" s="3393"/>
      <c r="I5" s="3392" t="s">
        <v>2931</v>
      </c>
      <c r="J5" s="3393"/>
      <c r="K5" s="513"/>
      <c r="L5" s="2133"/>
      <c r="M5" s="2134"/>
      <c r="N5" s="2134"/>
      <c r="O5" s="2134"/>
      <c r="P5" s="3385"/>
      <c r="Q5" s="3386"/>
      <c r="R5" s="3371"/>
      <c r="S5" s="3372"/>
      <c r="T5" s="3371"/>
      <c r="U5" s="3372"/>
      <c r="V5" s="3389"/>
      <c r="W5" s="3389"/>
      <c r="X5" s="1566"/>
      <c r="Y5" s="3371"/>
      <c r="Z5" s="3372"/>
      <c r="AA5" s="3365"/>
      <c r="AB5" s="3365"/>
      <c r="AC5" s="3365"/>
    </row>
    <row r="6" spans="1:29" ht="15.75" thickBot="1">
      <c r="A6" s="516"/>
      <c r="B6" s="517"/>
      <c r="C6" s="3390" t="s">
        <v>2932</v>
      </c>
      <c r="D6" s="3391"/>
      <c r="E6" s="3394" t="s">
        <v>2932</v>
      </c>
      <c r="F6" s="3395"/>
      <c r="G6" s="3390" t="s">
        <v>2932</v>
      </c>
      <c r="H6" s="3391"/>
      <c r="I6" s="3390" t="s">
        <v>2932</v>
      </c>
      <c r="J6" s="3391"/>
      <c r="K6" s="513" t="s">
        <v>526</v>
      </c>
      <c r="L6" s="2133"/>
      <c r="M6" s="2134"/>
      <c r="N6" s="2134"/>
      <c r="O6" s="2134"/>
      <c r="P6" s="3387"/>
      <c r="Q6" s="3388"/>
      <c r="R6" s="3371"/>
      <c r="S6" s="3372"/>
      <c r="T6" s="3373"/>
      <c r="U6" s="3374"/>
      <c r="V6" s="3389"/>
      <c r="W6" s="3389"/>
      <c r="X6" s="1566"/>
      <c r="Y6" s="3373"/>
      <c r="Z6" s="3374"/>
      <c r="AA6" s="3366"/>
      <c r="AB6" s="3366"/>
      <c r="AC6" s="3366"/>
    </row>
    <row r="7" spans="1:29" s="1218" customFormat="1" ht="15.75" thickBot="1">
      <c r="A7" s="2911"/>
      <c r="B7" s="2918" t="s">
        <v>527</v>
      </c>
      <c r="C7" s="518">
        <f>'数据-取费表'!B2</f>
        <v>43276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67" t="s">
        <v>528</v>
      </c>
      <c r="Q7" s="3376"/>
      <c r="R7" s="1567" t="s">
        <v>8</v>
      </c>
      <c r="S7" s="1568">
        <f t="shared" ref="S7:S14" si="0">F7</f>
        <v>0</v>
      </c>
      <c r="T7" s="1567" t="s">
        <v>8</v>
      </c>
      <c r="U7" s="1568">
        <f t="shared" ref="U7:U14" si="1">H7</f>
        <v>0</v>
      </c>
      <c r="V7" s="1567" t="s">
        <v>8</v>
      </c>
      <c r="W7" s="1568">
        <f t="shared" ref="W7:W14" si="2">J7</f>
        <v>0</v>
      </c>
      <c r="X7" s="1569"/>
      <c r="Y7" s="3367" t="s">
        <v>528</v>
      </c>
      <c r="Z7" s="3368"/>
      <c r="AA7" s="1570" t="e">
        <f>D7/F7</f>
        <v>#DIV/0!</v>
      </c>
      <c r="AB7" s="1570" t="e">
        <f>D7/H7</f>
        <v>#DIV/0!</v>
      </c>
      <c r="AC7" s="1570" t="e">
        <f>D7/J7</f>
        <v>#DIV/0!</v>
      </c>
    </row>
    <row r="8" spans="1:29" s="1218" customFormat="1" ht="15.75" thickBot="1">
      <c r="A8" s="2912"/>
      <c r="B8" s="2919" t="s">
        <v>529</v>
      </c>
      <c r="C8" s="524" t="s">
        <v>574</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67" t="s">
        <v>531</v>
      </c>
      <c r="Q8" s="3368"/>
      <c r="R8" s="1567" t="s">
        <v>8</v>
      </c>
      <c r="S8" s="1568">
        <f t="shared" si="0"/>
        <v>0</v>
      </c>
      <c r="T8" s="1567" t="s">
        <v>8</v>
      </c>
      <c r="U8" s="1568">
        <f t="shared" si="1"/>
        <v>0</v>
      </c>
      <c r="V8" s="1567" t="s">
        <v>8</v>
      </c>
      <c r="W8" s="1568">
        <f t="shared" si="2"/>
        <v>0</v>
      </c>
      <c r="X8" s="1569"/>
      <c r="Y8" s="3367" t="s">
        <v>531</v>
      </c>
      <c r="Z8" s="3368"/>
      <c r="AA8" s="1570" t="e">
        <f t="shared" ref="AA8:AA36" si="3">D8/F8</f>
        <v>#DIV/0!</v>
      </c>
      <c r="AB8" s="1570" t="e">
        <f t="shared" ref="AB8:AB36" si="4">D8/H8</f>
        <v>#DIV/0!</v>
      </c>
      <c r="AC8" s="1570" t="e">
        <f t="shared" ref="AC8:AC36" si="5">D8/J8</f>
        <v>#DIV/0!</v>
      </c>
    </row>
    <row r="9" spans="1:29" s="1218" customFormat="1" ht="15">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5" t="s">
        <v>533</v>
      </c>
      <c r="Q9" s="1149" t="str">
        <f t="shared" ref="Q9:Q14" si="6">B9</f>
        <v>用途</v>
      </c>
      <c r="R9" s="1567" t="s">
        <v>8</v>
      </c>
      <c r="S9" s="1568">
        <f t="shared" si="0"/>
        <v>100</v>
      </c>
      <c r="T9" s="1567" t="s">
        <v>8</v>
      </c>
      <c r="U9" s="1568">
        <f t="shared" si="1"/>
        <v>100</v>
      </c>
      <c r="V9" s="1567" t="s">
        <v>8</v>
      </c>
      <c r="W9" s="1568">
        <f t="shared" si="2"/>
        <v>100</v>
      </c>
      <c r="X9" s="1569"/>
      <c r="Y9" s="3332" t="s">
        <v>534</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5"/>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5"/>
      <c r="Q11" s="1149">
        <f t="shared" si="6"/>
        <v>111</v>
      </c>
      <c r="R11" s="1567" t="s">
        <v>8</v>
      </c>
      <c r="S11" s="1568">
        <f t="shared" si="0"/>
        <v>100</v>
      </c>
      <c r="T11" s="1567" t="s">
        <v>8</v>
      </c>
      <c r="U11" s="1568">
        <f t="shared" si="1"/>
        <v>100</v>
      </c>
      <c r="V11" s="1567" t="s">
        <v>8</v>
      </c>
      <c r="W11" s="1568">
        <f t="shared" si="2"/>
        <v>100</v>
      </c>
      <c r="X11" s="1569"/>
      <c r="Y11" s="3332"/>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5"/>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5"/>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
      <c r="A14" s="2909" t="s">
        <v>2755</v>
      </c>
      <c r="B14" s="546" t="s">
        <v>541</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377" t="s">
        <v>538</v>
      </c>
      <c r="Q14" s="1571" t="str">
        <f t="shared" si="6"/>
        <v>交通便捷度</v>
      </c>
      <c r="R14" s="1572" t="s">
        <v>8</v>
      </c>
      <c r="S14" s="1573">
        <f t="shared" si="0"/>
        <v>100</v>
      </c>
      <c r="T14" s="1572" t="s">
        <v>8</v>
      </c>
      <c r="U14" s="1573">
        <f t="shared" si="1"/>
        <v>100</v>
      </c>
      <c r="V14" s="1572" t="s">
        <v>8</v>
      </c>
      <c r="W14" s="1573">
        <f t="shared" si="2"/>
        <v>100</v>
      </c>
      <c r="X14" s="1566"/>
      <c r="Y14" s="3377" t="s">
        <v>538</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378"/>
      <c r="Q15" s="1571"/>
      <c r="R15" s="1572"/>
      <c r="S15" s="1573"/>
      <c r="T15" s="1572"/>
      <c r="U15" s="1573"/>
      <c r="V15" s="1572"/>
      <c r="W15" s="1573"/>
      <c r="X15" s="1566"/>
      <c r="Y15" s="3378"/>
      <c r="Z15" s="1574"/>
      <c r="AA15" s="1575">
        <v>1</v>
      </c>
      <c r="AB15" s="1575">
        <v>1</v>
      </c>
      <c r="AC15" s="1575">
        <v>1</v>
      </c>
    </row>
    <row r="16" spans="1:29" ht="15">
      <c r="A16" s="514"/>
      <c r="B16" s="2603"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378"/>
      <c r="Q16" s="1571" t="str">
        <f>B16</f>
        <v>公共配套设施</v>
      </c>
      <c r="R16" s="1572" t="s">
        <v>8</v>
      </c>
      <c r="S16" s="1573">
        <f>F16</f>
        <v>100</v>
      </c>
      <c r="T16" s="1572" t="s">
        <v>8</v>
      </c>
      <c r="U16" s="1573">
        <f>H16</f>
        <v>100</v>
      </c>
      <c r="V16" s="1572" t="s">
        <v>8</v>
      </c>
      <c r="W16" s="1573">
        <f>J16</f>
        <v>100</v>
      </c>
      <c r="X16" s="1566"/>
      <c r="Y16" s="3378"/>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378"/>
      <c r="Q17" s="1571"/>
      <c r="R17" s="1572"/>
      <c r="S17" s="1573"/>
      <c r="T17" s="1572"/>
      <c r="U17" s="1573"/>
      <c r="V17" s="1572"/>
      <c r="W17" s="1573"/>
      <c r="X17" s="1566"/>
      <c r="Y17" s="3378"/>
      <c r="Z17" s="1574"/>
      <c r="AA17" s="1575">
        <v>1</v>
      </c>
      <c r="AB17" s="1575">
        <v>1</v>
      </c>
      <c r="AC17" s="1575">
        <v>1</v>
      </c>
    </row>
    <row r="18" spans="1:29" ht="15">
      <c r="A18" s="514"/>
      <c r="B18" s="2591"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378"/>
      <c r="Q18" s="2579" t="str">
        <f>B18</f>
        <v>基础设施水平</v>
      </c>
      <c r="R18" s="1572" t="s">
        <v>8</v>
      </c>
      <c r="S18" s="1573">
        <f>F18</f>
        <v>100</v>
      </c>
      <c r="T18" s="1572" t="s">
        <v>8</v>
      </c>
      <c r="U18" s="1573">
        <f>H18</f>
        <v>100</v>
      </c>
      <c r="V18" s="1572" t="s">
        <v>8</v>
      </c>
      <c r="W18" s="1573">
        <f>J18</f>
        <v>100</v>
      </c>
      <c r="X18" s="2581"/>
      <c r="Y18" s="3378"/>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78"/>
      <c r="Q19" s="2579"/>
      <c r="R19" s="1572"/>
      <c r="S19" s="1573"/>
      <c r="T19" s="1572"/>
      <c r="U19" s="1573"/>
      <c r="V19" s="1572"/>
      <c r="W19" s="1573"/>
      <c r="X19" s="2581"/>
      <c r="Y19" s="3378"/>
      <c r="Z19" s="2580"/>
      <c r="AA19" s="1575">
        <v>1</v>
      </c>
      <c r="AB19" s="1575">
        <v>1</v>
      </c>
      <c r="AC19" s="1575">
        <v>1</v>
      </c>
    </row>
    <row r="20" spans="1:29" ht="15">
      <c r="A20" s="514"/>
      <c r="B20" s="559" t="s">
        <v>802</v>
      </c>
      <c r="C20" s="871" t="str">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378"/>
      <c r="Q20" s="1571" t="str">
        <f>B20</f>
        <v>自然及人文环境</v>
      </c>
      <c r="R20" s="1572" t="s">
        <v>8</v>
      </c>
      <c r="S20" s="1573">
        <f>F20</f>
        <v>100</v>
      </c>
      <c r="T20" s="1572" t="s">
        <v>8</v>
      </c>
      <c r="U20" s="1573">
        <f>H20</f>
        <v>100</v>
      </c>
      <c r="V20" s="1572" t="s">
        <v>8</v>
      </c>
      <c r="W20" s="1573">
        <f>J20</f>
        <v>100</v>
      </c>
      <c r="X20" s="1566"/>
      <c r="Y20" s="3378"/>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378"/>
      <c r="Q21" s="1571"/>
      <c r="R21" s="1572"/>
      <c r="S21" s="1573"/>
      <c r="T21" s="1572"/>
      <c r="U21" s="1573"/>
      <c r="V21" s="1572"/>
      <c r="W21" s="1573"/>
      <c r="X21" s="1566"/>
      <c r="Y21" s="3378"/>
      <c r="Z21" s="1574"/>
      <c r="AA21" s="1575">
        <v>1</v>
      </c>
      <c r="AB21" s="1575">
        <v>1</v>
      </c>
      <c r="AC21" s="1575">
        <v>1</v>
      </c>
    </row>
    <row r="22" spans="1:29" ht="15">
      <c r="A22" s="514"/>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78"/>
      <c r="Q22" s="1571" t="str">
        <f>B22</f>
        <v>楼层</v>
      </c>
      <c r="R22" s="1572" t="s">
        <v>8</v>
      </c>
      <c r="S22" s="1573">
        <f>F22</f>
        <v>100</v>
      </c>
      <c r="T22" s="1572" t="s">
        <v>8</v>
      </c>
      <c r="U22" s="1573">
        <f>H22</f>
        <v>100</v>
      </c>
      <c r="V22" s="1572" t="s">
        <v>8</v>
      </c>
      <c r="W22" s="1573">
        <f>J22</f>
        <v>100</v>
      </c>
      <c r="X22" s="1566"/>
      <c r="Y22" s="3378"/>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78"/>
      <c r="Q23" s="1571">
        <f>B23</f>
        <v>111</v>
      </c>
      <c r="R23" s="1572" t="s">
        <v>8</v>
      </c>
      <c r="S23" s="1573">
        <f>F23</f>
        <v>100</v>
      </c>
      <c r="T23" s="1572" t="s">
        <v>8</v>
      </c>
      <c r="U23" s="1573">
        <f>H23</f>
        <v>100</v>
      </c>
      <c r="V23" s="1572" t="s">
        <v>8</v>
      </c>
      <c r="W23" s="1573">
        <f>J23</f>
        <v>100</v>
      </c>
      <c r="X23" s="1566"/>
      <c r="Y23" s="3378"/>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78"/>
      <c r="Q24" s="1571">
        <f t="shared" ref="Q24:Q36" si="11">B24</f>
        <v>111</v>
      </c>
      <c r="R24" s="1572" t="s">
        <v>8</v>
      </c>
      <c r="S24" s="1573">
        <f>F24</f>
        <v>100</v>
      </c>
      <c r="T24" s="1572" t="s">
        <v>8</v>
      </c>
      <c r="U24" s="1573">
        <f>H24</f>
        <v>100</v>
      </c>
      <c r="V24" s="1572" t="s">
        <v>8</v>
      </c>
      <c r="W24" s="1573">
        <f>J24</f>
        <v>100</v>
      </c>
      <c r="X24" s="1566"/>
      <c r="Y24" s="3378"/>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378"/>
      <c r="Q25" s="1149">
        <f t="shared" si="11"/>
        <v>111</v>
      </c>
      <c r="R25" s="1567" t="s">
        <v>8</v>
      </c>
      <c r="S25" s="1568">
        <f>F25</f>
        <v>100</v>
      </c>
      <c r="T25" s="1567" t="s">
        <v>8</v>
      </c>
      <c r="U25" s="1568">
        <f>H25</f>
        <v>100</v>
      </c>
      <c r="V25" s="1567" t="s">
        <v>8</v>
      </c>
      <c r="W25" s="1568">
        <f>J25</f>
        <v>100</v>
      </c>
      <c r="X25" s="1569"/>
      <c r="Y25" s="3378"/>
      <c r="Z25" s="1148">
        <f>Q25</f>
        <v>111</v>
      </c>
      <c r="AA25" s="1575">
        <f>D25/F25</f>
        <v>1</v>
      </c>
      <c r="AB25" s="1575">
        <f>D25/H25</f>
        <v>1</v>
      </c>
      <c r="AC25" s="1575">
        <f>D25/J25</f>
        <v>1</v>
      </c>
    </row>
    <row r="26" spans="1:29" ht="15">
      <c r="A26" s="2907" t="s">
        <v>2756</v>
      </c>
      <c r="B26" s="169" t="s">
        <v>804</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79" t="s">
        <v>548</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0" t="s">
        <v>548</v>
      </c>
      <c r="Z26" s="1574" t="str">
        <f t="shared" ref="Z26:Z36" si="15">Q26</f>
        <v>配套类型</v>
      </c>
      <c r="AA26" s="1575">
        <f t="shared" si="3"/>
        <v>1</v>
      </c>
      <c r="AB26" s="1575">
        <f t="shared" si="4"/>
        <v>1</v>
      </c>
      <c r="AC26" s="1575">
        <f t="shared" si="5"/>
        <v>1</v>
      </c>
    </row>
    <row r="27" spans="1:29" s="1337" customFormat="1" ht="15">
      <c r="A27" s="927"/>
      <c r="B27" s="581" t="s">
        <v>805</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380"/>
      <c r="Q27" s="1604" t="str">
        <f t="shared" si="11"/>
        <v>项目停车位配比</v>
      </c>
      <c r="R27" s="1576" t="s">
        <v>8</v>
      </c>
      <c r="S27" s="1577">
        <f t="shared" si="12"/>
        <v>100</v>
      </c>
      <c r="T27" s="1576" t="s">
        <v>8</v>
      </c>
      <c r="U27" s="1577">
        <f t="shared" si="13"/>
        <v>100</v>
      </c>
      <c r="V27" s="1576" t="s">
        <v>8</v>
      </c>
      <c r="W27" s="1577">
        <f t="shared" si="14"/>
        <v>100</v>
      </c>
      <c r="X27" s="1578"/>
      <c r="Y27" s="3380"/>
      <c r="Z27" s="1579" t="str">
        <f t="shared" si="15"/>
        <v>项目停车位配比</v>
      </c>
      <c r="AA27" s="1575">
        <f t="shared" si="3"/>
        <v>1</v>
      </c>
      <c r="AB27" s="1575">
        <f t="shared" si="4"/>
        <v>1</v>
      </c>
      <c r="AC27" s="1575">
        <f t="shared" si="5"/>
        <v>1</v>
      </c>
    </row>
    <row r="28" spans="1:29" ht="15">
      <c r="A28" s="929"/>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80"/>
      <c r="Q28" s="1571" t="str">
        <f t="shared" si="11"/>
        <v>公共部分装修</v>
      </c>
      <c r="R28" s="1572" t="s">
        <v>8</v>
      </c>
      <c r="S28" s="1573">
        <f t="shared" si="12"/>
        <v>100</v>
      </c>
      <c r="T28" s="1572" t="s">
        <v>8</v>
      </c>
      <c r="U28" s="1573">
        <f t="shared" si="13"/>
        <v>100</v>
      </c>
      <c r="V28" s="1572" t="s">
        <v>8</v>
      </c>
      <c r="W28" s="1573">
        <f t="shared" si="14"/>
        <v>100</v>
      </c>
      <c r="X28" s="1566"/>
      <c r="Y28" s="3380"/>
      <c r="Z28" s="1574" t="str">
        <f t="shared" si="15"/>
        <v>公共部分装修</v>
      </c>
      <c r="AA28" s="1575">
        <f t="shared" si="3"/>
        <v>1</v>
      </c>
      <c r="AB28" s="1575">
        <f t="shared" si="4"/>
        <v>1</v>
      </c>
      <c r="AC28" s="1575">
        <f t="shared" si="5"/>
        <v>1</v>
      </c>
    </row>
    <row r="29" spans="1:29" ht="15">
      <c r="A29" s="929"/>
      <c r="B29" s="581" t="s">
        <v>807</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380"/>
      <c r="Q29" s="1571" t="str">
        <f t="shared" si="11"/>
        <v>成新率</v>
      </c>
      <c r="R29" s="1572" t="s">
        <v>8</v>
      </c>
      <c r="S29" s="1573" t="e">
        <f t="shared" si="12"/>
        <v>#N/A</v>
      </c>
      <c r="T29" s="1572" t="s">
        <v>8</v>
      </c>
      <c r="U29" s="1573" t="e">
        <f t="shared" si="13"/>
        <v>#N/A</v>
      </c>
      <c r="V29" s="1572" t="s">
        <v>8</v>
      </c>
      <c r="W29" s="1573" t="e">
        <f t="shared" si="14"/>
        <v>#N/A</v>
      </c>
      <c r="X29" s="1566"/>
      <c r="Y29" s="3380"/>
      <c r="Z29" s="1574" t="str">
        <f t="shared" si="15"/>
        <v>成新率</v>
      </c>
      <c r="AA29" s="1575" t="e">
        <f t="shared" si="3"/>
        <v>#N/A</v>
      </c>
      <c r="AB29" s="1575" t="e">
        <f t="shared" si="4"/>
        <v>#N/A</v>
      </c>
      <c r="AC29" s="1575" t="e">
        <f t="shared" si="5"/>
        <v>#N/A</v>
      </c>
    </row>
    <row r="30" spans="1:29" ht="15">
      <c r="A30" s="929"/>
      <c r="B30" s="581" t="s">
        <v>808</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380"/>
      <c r="Q30" s="1571" t="str">
        <f t="shared" si="11"/>
        <v>物业等级</v>
      </c>
      <c r="R30" s="1572" t="s">
        <v>8</v>
      </c>
      <c r="S30" s="1573">
        <f t="shared" si="12"/>
        <v>100</v>
      </c>
      <c r="T30" s="1572" t="s">
        <v>8</v>
      </c>
      <c r="U30" s="1573">
        <f t="shared" si="13"/>
        <v>100</v>
      </c>
      <c r="V30" s="1572" t="s">
        <v>8</v>
      </c>
      <c r="W30" s="1573">
        <f t="shared" si="14"/>
        <v>100</v>
      </c>
      <c r="X30" s="1566"/>
      <c r="Y30" s="3380"/>
      <c r="Z30" s="1574" t="str">
        <f t="shared" si="15"/>
        <v>物业等级</v>
      </c>
      <c r="AA30" s="1575">
        <f t="shared" si="3"/>
        <v>1</v>
      </c>
      <c r="AB30" s="1575">
        <f t="shared" si="4"/>
        <v>1</v>
      </c>
      <c r="AC30" s="1575">
        <f t="shared" si="5"/>
        <v>1</v>
      </c>
    </row>
    <row r="31" spans="1:29" s="1218" customFormat="1" ht="15">
      <c r="A31" s="931"/>
      <c r="B31" s="581" t="s">
        <v>809</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380"/>
      <c r="Q31" s="1149" t="str">
        <f t="shared" si="11"/>
        <v>停车位面积</v>
      </c>
      <c r="R31" s="1567" t="s">
        <v>8</v>
      </c>
      <c r="S31" s="1568" t="e">
        <f t="shared" si="12"/>
        <v>#N/A</v>
      </c>
      <c r="T31" s="1567" t="s">
        <v>8</v>
      </c>
      <c r="U31" s="1568" t="e">
        <f t="shared" si="13"/>
        <v>#N/A</v>
      </c>
      <c r="V31" s="1567" t="s">
        <v>8</v>
      </c>
      <c r="W31" s="1568" t="e">
        <f t="shared" si="14"/>
        <v>#N/A</v>
      </c>
      <c r="X31" s="1569"/>
      <c r="Y31" s="3380"/>
      <c r="Z31" s="1148" t="str">
        <f t="shared" si="15"/>
        <v>停车位面积</v>
      </c>
      <c r="AA31" s="1570" t="e">
        <f t="shared" si="3"/>
        <v>#N/A</v>
      </c>
      <c r="AB31" s="1570" t="e">
        <f t="shared" si="4"/>
        <v>#N/A</v>
      </c>
      <c r="AC31" s="1570" t="e">
        <f t="shared" si="5"/>
        <v>#N/A</v>
      </c>
    </row>
    <row r="32" spans="1:29" ht="15">
      <c r="A32" s="929"/>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80" t="s">
        <v>548</v>
      </c>
      <c r="Q32" s="1571" t="str">
        <f t="shared" si="11"/>
        <v>车位类型</v>
      </c>
      <c r="R32" s="1572" t="s">
        <v>8</v>
      </c>
      <c r="S32" s="1573">
        <f t="shared" si="12"/>
        <v>100</v>
      </c>
      <c r="T32" s="1572" t="s">
        <v>8</v>
      </c>
      <c r="U32" s="1573">
        <f t="shared" si="13"/>
        <v>100</v>
      </c>
      <c r="V32" s="1572" t="s">
        <v>8</v>
      </c>
      <c r="W32" s="1573">
        <f t="shared" si="14"/>
        <v>100</v>
      </c>
      <c r="X32" s="1566"/>
      <c r="Y32" s="3380" t="s">
        <v>548</v>
      </c>
      <c r="Z32" s="1574" t="str">
        <f t="shared" si="15"/>
        <v>车位类型</v>
      </c>
      <c r="AA32" s="1575">
        <f t="shared" si="3"/>
        <v>1</v>
      </c>
      <c r="AB32" s="1575">
        <f t="shared" si="4"/>
        <v>1</v>
      </c>
      <c r="AC32" s="1575">
        <f t="shared" si="5"/>
        <v>1</v>
      </c>
    </row>
    <row r="33" spans="1:29" ht="15">
      <c r="A33" s="929"/>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80"/>
      <c r="Q33" s="1571" t="str">
        <f t="shared" si="11"/>
        <v>是否直接入户</v>
      </c>
      <c r="R33" s="1572" t="s">
        <v>8</v>
      </c>
      <c r="S33" s="1573">
        <f t="shared" si="12"/>
        <v>100</v>
      </c>
      <c r="T33" s="1572" t="s">
        <v>8</v>
      </c>
      <c r="U33" s="1573">
        <f t="shared" si="13"/>
        <v>100</v>
      </c>
      <c r="V33" s="1572" t="s">
        <v>8</v>
      </c>
      <c r="W33" s="1573">
        <f t="shared" si="14"/>
        <v>100</v>
      </c>
      <c r="X33" s="1566"/>
      <c r="Y33" s="3380"/>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80"/>
      <c r="Q34" s="1571">
        <f t="shared" si="11"/>
        <v>111</v>
      </c>
      <c r="R34" s="1572" t="s">
        <v>8</v>
      </c>
      <c r="S34" s="1573">
        <f t="shared" si="12"/>
        <v>100</v>
      </c>
      <c r="T34" s="1572" t="s">
        <v>8</v>
      </c>
      <c r="U34" s="1573">
        <f t="shared" si="13"/>
        <v>100</v>
      </c>
      <c r="V34" s="1572" t="s">
        <v>8</v>
      </c>
      <c r="W34" s="1573">
        <f t="shared" si="14"/>
        <v>100</v>
      </c>
      <c r="X34" s="1566"/>
      <c r="Y34" s="3380"/>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80"/>
      <c r="Q35" s="1604">
        <f t="shared" si="11"/>
        <v>111</v>
      </c>
      <c r="R35" s="1576" t="s">
        <v>8</v>
      </c>
      <c r="S35" s="1577">
        <f t="shared" si="12"/>
        <v>100</v>
      </c>
      <c r="T35" s="1576" t="s">
        <v>8</v>
      </c>
      <c r="U35" s="1577">
        <f t="shared" si="13"/>
        <v>100</v>
      </c>
      <c r="V35" s="1576" t="s">
        <v>8</v>
      </c>
      <c r="W35" s="1577">
        <f t="shared" si="14"/>
        <v>100</v>
      </c>
      <c r="X35" s="1578"/>
      <c r="Y35" s="3380"/>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80"/>
      <c r="Q36" s="1571">
        <f t="shared" si="11"/>
        <v>111</v>
      </c>
      <c r="R36" s="1572" t="s">
        <v>8</v>
      </c>
      <c r="S36" s="1573">
        <f t="shared" si="12"/>
        <v>100</v>
      </c>
      <c r="T36" s="1572" t="s">
        <v>8</v>
      </c>
      <c r="U36" s="1573">
        <f t="shared" si="13"/>
        <v>100</v>
      </c>
      <c r="V36" s="1572" t="s">
        <v>8</v>
      </c>
      <c r="W36" s="1573">
        <f t="shared" si="14"/>
        <v>100</v>
      </c>
      <c r="X36" s="1566"/>
      <c r="Y36" s="3380"/>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375" t="str">
        <f>A37</f>
        <v>成交单价</v>
      </c>
      <c r="Q37" s="3375"/>
      <c r="R37" s="3479">
        <f>E37</f>
        <v>0</v>
      </c>
      <c r="S37" s="3479"/>
      <c r="T37" s="3479">
        <f>G37</f>
        <v>0</v>
      </c>
      <c r="U37" s="3479"/>
      <c r="V37" s="3479">
        <f>I37</f>
        <v>0</v>
      </c>
      <c r="W37" s="3479"/>
      <c r="X37" s="1558"/>
      <c r="Y37" s="1580"/>
      <c r="Z37" s="1558"/>
      <c r="AA37" s="1558"/>
      <c r="AB37" s="1558"/>
      <c r="AC37" s="1558"/>
    </row>
    <row r="38" spans="1:29" ht="15.75" thickBot="1">
      <c r="A38" s="614" t="s">
        <v>2761</v>
      </c>
      <c r="B38" s="886"/>
      <c r="C38" s="2633" t="e">
        <f>R39</f>
        <v>#DIV/0!</v>
      </c>
      <c r="D38" s="2634"/>
      <c r="E38" s="2635" t="e">
        <f>R38</f>
        <v>#DIV/0!</v>
      </c>
      <c r="F38" s="2635"/>
      <c r="G38" s="2633" t="e">
        <f>T38</f>
        <v>#DIV/0!</v>
      </c>
      <c r="H38" s="2634"/>
      <c r="I38" s="2635" t="e">
        <f>V38</f>
        <v>#DIV/0!</v>
      </c>
      <c r="J38" s="2634"/>
      <c r="K38" s="1611"/>
      <c r="L38" s="2144"/>
      <c r="M38" s="2145"/>
      <c r="N38" s="2145"/>
      <c r="O38" s="2145"/>
      <c r="P38" s="3375" t="str">
        <f>A38</f>
        <v>比较价格（元/平方米）</v>
      </c>
      <c r="Q38" s="337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8"/>
      <c r="Y38" s="1558"/>
      <c r="Z38" s="1558"/>
      <c r="AA38" s="1558"/>
      <c r="AB38" s="1558"/>
      <c r="AC38" s="1558"/>
    </row>
    <row r="39" spans="1:29" ht="15.75" thickBot="1">
      <c r="A39" s="620" t="s">
        <v>2934</v>
      </c>
      <c r="B39" s="621"/>
      <c r="C39" s="2636" t="e">
        <f>R39</f>
        <v>#DIV/0!</v>
      </c>
      <c r="D39" s="2636"/>
      <c r="E39" s="2636"/>
      <c r="F39" s="2636"/>
      <c r="G39" s="2636"/>
      <c r="H39" s="2636"/>
      <c r="I39" s="2636"/>
      <c r="J39" s="2636"/>
      <c r="K39" s="1612"/>
      <c r="L39" s="2144"/>
      <c r="M39" s="2145"/>
      <c r="N39" s="2145"/>
      <c r="O39" s="2145"/>
      <c r="P39" s="3396" t="str">
        <f>A39</f>
        <v>估价对象XX用房的比较价格（楼面单价，元/平方米）</v>
      </c>
      <c r="Q39" s="3397"/>
      <c r="R39" s="3478" t="e">
        <f>IF(F1="售价",ROUND(AVERAGE(R38:V38),0),ROUND(AVERAGE(R38:V38),1))</f>
        <v>#DIV/0!</v>
      </c>
      <c r="S39" s="3478"/>
      <c r="T39" s="3478"/>
      <c r="U39" s="3478"/>
      <c r="V39" s="3478"/>
      <c r="W39" s="347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555</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556</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557</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572</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527</v>
      </c>
      <c r="B48" s="645"/>
      <c r="C48" s="2802" t="str">
        <f>YEAR(C7)&amp;"-"&amp;MONTH(C7)</f>
        <v>2018-6</v>
      </c>
      <c r="D48" s="2804">
        <f>EDATE(C48,-1)</f>
        <v>43221</v>
      </c>
      <c r="E48" s="2804">
        <f t="shared" ref="E48:O48" si="16">EDATE(D48,-1)</f>
        <v>43191</v>
      </c>
      <c r="F48" s="2804">
        <f t="shared" si="16"/>
        <v>43160</v>
      </c>
      <c r="G48" s="2804">
        <f t="shared" si="16"/>
        <v>43132</v>
      </c>
      <c r="H48" s="2804">
        <f t="shared" si="16"/>
        <v>43101</v>
      </c>
      <c r="I48" s="2804">
        <f t="shared" si="16"/>
        <v>43070</v>
      </c>
      <c r="J48" s="2804">
        <f t="shared" si="16"/>
        <v>43040</v>
      </c>
      <c r="K48" s="2804">
        <f t="shared" si="16"/>
        <v>43009</v>
      </c>
      <c r="L48" s="2804">
        <f t="shared" si="16"/>
        <v>42979</v>
      </c>
      <c r="M48" s="2804">
        <f t="shared" si="16"/>
        <v>42948</v>
      </c>
      <c r="N48" s="2804">
        <f t="shared" si="16"/>
        <v>42917</v>
      </c>
      <c r="O48" s="2804">
        <f t="shared" si="16"/>
        <v>42887</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573</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529</v>
      </c>
      <c r="B51" s="647"/>
      <c r="C51" s="659" t="s">
        <v>574</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575</v>
      </c>
      <c r="B53" s="664" t="s">
        <v>532</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535</v>
      </c>
      <c r="C55" s="673" t="s">
        <v>735</v>
      </c>
      <c r="D55" s="673" t="s">
        <v>736</v>
      </c>
      <c r="E55" s="673" t="s">
        <v>737</v>
      </c>
      <c r="F55" s="673" t="s">
        <v>738</v>
      </c>
      <c r="G55" s="673" t="s">
        <v>739</v>
      </c>
      <c r="H55" s="673" t="s">
        <v>740</v>
      </c>
      <c r="I55" s="673" t="s">
        <v>741</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537</v>
      </c>
      <c r="B63" s="664" t="s">
        <v>584</v>
      </c>
      <c r="C63" s="702" t="s">
        <v>577</v>
      </c>
      <c r="D63" s="702" t="s">
        <v>578</v>
      </c>
      <c r="E63" s="702" t="s">
        <v>579</v>
      </c>
      <c r="F63" s="702" t="s">
        <v>580</v>
      </c>
      <c r="G63" s="702" t="s">
        <v>581</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577</v>
      </c>
      <c r="D65" s="707" t="s">
        <v>578</v>
      </c>
      <c r="E65" s="707" t="s">
        <v>579</v>
      </c>
      <c r="F65" s="707" t="s">
        <v>580</v>
      </c>
      <c r="G65" s="707" t="s">
        <v>581</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742</v>
      </c>
      <c r="C69" s="707" t="s">
        <v>577</v>
      </c>
      <c r="D69" s="707" t="s">
        <v>578</v>
      </c>
      <c r="E69" s="707" t="s">
        <v>579</v>
      </c>
      <c r="F69" s="707" t="s">
        <v>580</v>
      </c>
      <c r="G69" s="707" t="s">
        <v>581</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743</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549</v>
      </c>
      <c r="B79" s="664" t="s">
        <v>812</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813</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749</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815</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817</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818</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921"/>
      <c r="C1" s="503" t="s">
        <v>790</v>
      </c>
      <c r="D1" s="848"/>
      <c r="E1" s="505"/>
      <c r="F1" s="2807"/>
      <c r="G1" s="1600" t="s">
        <v>791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792</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793</v>
      </c>
      <c r="B3" s="509" t="e">
        <f>C37</f>
        <v>#DIV/0!</v>
      </c>
      <c r="C3" s="851" t="s">
        <v>794</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795</v>
      </c>
      <c r="B4" s="512"/>
      <c r="C4" s="3381" t="s">
        <v>796</v>
      </c>
      <c r="D4" s="3382"/>
      <c r="E4" s="3405" t="s">
        <v>797</v>
      </c>
      <c r="F4" s="3406"/>
      <c r="G4" s="3381" t="s">
        <v>798</v>
      </c>
      <c r="H4" s="3382"/>
      <c r="I4" s="3381" t="s">
        <v>799</v>
      </c>
      <c r="J4" s="3382"/>
      <c r="K4" s="513" t="s">
        <v>800</v>
      </c>
      <c r="L4" s="2133"/>
      <c r="M4" s="2134"/>
      <c r="N4" s="2134"/>
      <c r="O4" s="2134"/>
      <c r="P4" s="3383" t="s">
        <v>801</v>
      </c>
      <c r="Q4" s="3384"/>
      <c r="R4" s="3369" t="s">
        <v>797</v>
      </c>
      <c r="S4" s="3370"/>
      <c r="T4" s="3369" t="s">
        <v>798</v>
      </c>
      <c r="U4" s="3370"/>
      <c r="V4" s="3389" t="s">
        <v>799</v>
      </c>
      <c r="W4" s="3389"/>
      <c r="X4" s="1566"/>
      <c r="Y4" s="3369" t="s">
        <v>801</v>
      </c>
      <c r="Z4" s="3370"/>
      <c r="AA4" s="3364" t="s">
        <v>797</v>
      </c>
      <c r="AB4" s="3365" t="s">
        <v>798</v>
      </c>
      <c r="AC4" s="3364" t="s">
        <v>799</v>
      </c>
    </row>
    <row r="5" spans="1:29" ht="15">
      <c r="A5" s="514"/>
      <c r="B5" s="515"/>
      <c r="C5" s="3392" t="s">
        <v>2928</v>
      </c>
      <c r="D5" s="3393"/>
      <c r="E5" s="3407" t="s">
        <v>2929</v>
      </c>
      <c r="F5" s="3408"/>
      <c r="G5" s="3392" t="s">
        <v>2930</v>
      </c>
      <c r="H5" s="3393"/>
      <c r="I5" s="3392" t="s">
        <v>2931</v>
      </c>
      <c r="J5" s="3393"/>
      <c r="K5" s="513"/>
      <c r="L5" s="2133"/>
      <c r="M5" s="2134"/>
      <c r="N5" s="2134"/>
      <c r="O5" s="2134"/>
      <c r="P5" s="3385"/>
      <c r="Q5" s="3386"/>
      <c r="R5" s="3371"/>
      <c r="S5" s="3372"/>
      <c r="T5" s="3371"/>
      <c r="U5" s="3372"/>
      <c r="V5" s="3389"/>
      <c r="W5" s="3389"/>
      <c r="X5" s="1566"/>
      <c r="Y5" s="3371"/>
      <c r="Z5" s="3372"/>
      <c r="AA5" s="3365"/>
      <c r="AB5" s="3365"/>
      <c r="AC5" s="3365"/>
    </row>
    <row r="6" spans="1:29" ht="15.75" thickBot="1">
      <c r="A6" s="516"/>
      <c r="B6" s="517"/>
      <c r="C6" s="3390" t="s">
        <v>2932</v>
      </c>
      <c r="D6" s="3391"/>
      <c r="E6" s="3409" t="s">
        <v>2932</v>
      </c>
      <c r="F6" s="3410"/>
      <c r="G6" s="3390" t="s">
        <v>2932</v>
      </c>
      <c r="H6" s="3391"/>
      <c r="I6" s="3390" t="s">
        <v>2932</v>
      </c>
      <c r="J6" s="3391"/>
      <c r="K6" s="513" t="s">
        <v>526</v>
      </c>
      <c r="L6" s="2133"/>
      <c r="M6" s="2134"/>
      <c r="N6" s="2134"/>
      <c r="O6" s="2134"/>
      <c r="P6" s="3387"/>
      <c r="Q6" s="3388"/>
      <c r="R6" s="3371"/>
      <c r="S6" s="3372"/>
      <c r="T6" s="3373"/>
      <c r="U6" s="3374"/>
      <c r="V6" s="3389"/>
      <c r="W6" s="3389"/>
      <c r="X6" s="1566"/>
      <c r="Y6" s="3373"/>
      <c r="Z6" s="3374"/>
      <c r="AA6" s="3366"/>
      <c r="AB6" s="3366"/>
      <c r="AC6" s="3366"/>
    </row>
    <row r="7" spans="1:29" s="1218" customFormat="1" ht="15.75" thickBot="1">
      <c r="A7" s="2911"/>
      <c r="B7" s="2918" t="s">
        <v>527</v>
      </c>
      <c r="C7" s="518">
        <f>'数据-取费表'!B2</f>
        <v>43276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67" t="s">
        <v>528</v>
      </c>
      <c r="Q7" s="3376"/>
      <c r="R7" s="1567" t="s">
        <v>8</v>
      </c>
      <c r="S7" s="1568">
        <f t="shared" ref="S7:S14" si="0">F7</f>
        <v>0</v>
      </c>
      <c r="T7" s="1567" t="s">
        <v>8</v>
      </c>
      <c r="U7" s="1568">
        <f t="shared" ref="U7:U14" si="1">H7</f>
        <v>0</v>
      </c>
      <c r="V7" s="1567" t="s">
        <v>8</v>
      </c>
      <c r="W7" s="1568">
        <f t="shared" ref="W7:W14" si="2">J7</f>
        <v>0</v>
      </c>
      <c r="X7" s="1569"/>
      <c r="Y7" s="3367" t="s">
        <v>528</v>
      </c>
      <c r="Z7" s="3368"/>
      <c r="AA7" s="1570" t="e">
        <f>D7/F7</f>
        <v>#DIV/0!</v>
      </c>
      <c r="AB7" s="1570" t="e">
        <f>D7/H7</f>
        <v>#DIV/0!</v>
      </c>
      <c r="AC7" s="1570" t="e">
        <f>D7/J7</f>
        <v>#DIV/0!</v>
      </c>
    </row>
    <row r="8" spans="1:29" s="1218" customFormat="1" ht="15.75" thickBot="1">
      <c r="A8" s="2912"/>
      <c r="B8" s="2919" t="s">
        <v>529</v>
      </c>
      <c r="C8" s="524" t="s">
        <v>574</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67" t="s">
        <v>531</v>
      </c>
      <c r="Q8" s="3368"/>
      <c r="R8" s="1567" t="s">
        <v>8</v>
      </c>
      <c r="S8" s="1568">
        <f t="shared" si="0"/>
        <v>0</v>
      </c>
      <c r="T8" s="1567" t="s">
        <v>8</v>
      </c>
      <c r="U8" s="1568">
        <f t="shared" si="1"/>
        <v>0</v>
      </c>
      <c r="V8" s="1567" t="s">
        <v>8</v>
      </c>
      <c r="W8" s="1568">
        <f t="shared" si="2"/>
        <v>0</v>
      </c>
      <c r="X8" s="1569"/>
      <c r="Y8" s="3367" t="s">
        <v>531</v>
      </c>
      <c r="Z8" s="3368"/>
      <c r="AA8" s="1570" t="e">
        <f t="shared" ref="AA8:AA34" si="3">D8/F8</f>
        <v>#DIV/0!</v>
      </c>
      <c r="AB8" s="1570" t="e">
        <f t="shared" ref="AB8:AB34" si="4">D8/H8</f>
        <v>#DIV/0!</v>
      </c>
      <c r="AC8" s="1570"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5" t="s">
        <v>533</v>
      </c>
      <c r="Q9" s="1149" t="str">
        <f t="shared" ref="Q9:Q14" si="6">B9</f>
        <v>用途</v>
      </c>
      <c r="R9" s="1567" t="s">
        <v>8</v>
      </c>
      <c r="S9" s="1568">
        <f t="shared" si="0"/>
        <v>100</v>
      </c>
      <c r="T9" s="1567" t="s">
        <v>8</v>
      </c>
      <c r="U9" s="1568">
        <f t="shared" si="1"/>
        <v>100</v>
      </c>
      <c r="V9" s="1567" t="s">
        <v>8</v>
      </c>
      <c r="W9" s="1568">
        <f t="shared" si="2"/>
        <v>100</v>
      </c>
      <c r="X9" s="1569"/>
      <c r="Y9" s="3332" t="s">
        <v>534</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5"/>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375"/>
      <c r="Q11" s="1149">
        <f t="shared" si="6"/>
        <v>111</v>
      </c>
      <c r="R11" s="1567" t="s">
        <v>8</v>
      </c>
      <c r="S11" s="1568">
        <f t="shared" si="0"/>
        <v>100</v>
      </c>
      <c r="T11" s="1567" t="s">
        <v>8</v>
      </c>
      <c r="U11" s="1568">
        <f t="shared" si="1"/>
        <v>100</v>
      </c>
      <c r="V11" s="1567" t="s">
        <v>8</v>
      </c>
      <c r="W11" s="1568">
        <f t="shared" si="2"/>
        <v>100</v>
      </c>
      <c r="X11" s="1569"/>
      <c r="Y11" s="3332"/>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375"/>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375"/>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
      <c r="A14" s="2909" t="s">
        <v>2755</v>
      </c>
      <c r="B14" s="165" t="s">
        <v>541</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377" t="s">
        <v>538</v>
      </c>
      <c r="Q14" s="1571" t="str">
        <f t="shared" si="6"/>
        <v>交通便捷度</v>
      </c>
      <c r="R14" s="1572" t="s">
        <v>8</v>
      </c>
      <c r="S14" s="1573">
        <f t="shared" si="0"/>
        <v>100</v>
      </c>
      <c r="T14" s="1572" t="s">
        <v>8</v>
      </c>
      <c r="U14" s="1573">
        <f t="shared" si="1"/>
        <v>100</v>
      </c>
      <c r="V14" s="1572" t="s">
        <v>8</v>
      </c>
      <c r="W14" s="1573">
        <f t="shared" si="2"/>
        <v>100</v>
      </c>
      <c r="X14" s="1566"/>
      <c r="Y14" s="3377" t="s">
        <v>538</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378"/>
      <c r="Q15" s="1571"/>
      <c r="R15" s="1572"/>
      <c r="S15" s="1573"/>
      <c r="T15" s="1572"/>
      <c r="U15" s="1573"/>
      <c r="V15" s="1572"/>
      <c r="W15" s="1573"/>
      <c r="X15" s="1566"/>
      <c r="Y15" s="3378"/>
      <c r="Z15" s="1574"/>
      <c r="AA15" s="1575">
        <v>1</v>
      </c>
      <c r="AB15" s="1575">
        <v>1</v>
      </c>
      <c r="AC15" s="1575">
        <v>1</v>
      </c>
    </row>
    <row r="16" spans="1:29" ht="15">
      <c r="A16" s="531"/>
      <c r="B16" s="2603"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378"/>
      <c r="Q16" s="1571" t="str">
        <f>B16</f>
        <v>公共配套设施</v>
      </c>
      <c r="R16" s="1572" t="s">
        <v>8</v>
      </c>
      <c r="S16" s="1573">
        <f>F16</f>
        <v>100</v>
      </c>
      <c r="T16" s="1572" t="s">
        <v>8</v>
      </c>
      <c r="U16" s="1573">
        <f>H16</f>
        <v>100</v>
      </c>
      <c r="V16" s="1572" t="s">
        <v>8</v>
      </c>
      <c r="W16" s="1573">
        <f>J16</f>
        <v>100</v>
      </c>
      <c r="X16" s="1566"/>
      <c r="Y16" s="3378"/>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378"/>
      <c r="Q17" s="1571"/>
      <c r="R17" s="1572"/>
      <c r="S17" s="1573"/>
      <c r="T17" s="1572"/>
      <c r="U17" s="1573"/>
      <c r="V17" s="1572"/>
      <c r="W17" s="1573"/>
      <c r="X17" s="1566"/>
      <c r="Y17" s="3378"/>
      <c r="Z17" s="1574"/>
      <c r="AA17" s="1575">
        <v>1</v>
      </c>
      <c r="AB17" s="1575">
        <v>1</v>
      </c>
      <c r="AC17" s="1575">
        <v>1</v>
      </c>
    </row>
    <row r="18" spans="1:29" ht="15">
      <c r="A18" s="531"/>
      <c r="B18" s="2591"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378"/>
      <c r="Q18" s="2579" t="str">
        <f>B18</f>
        <v>基础设施水平</v>
      </c>
      <c r="R18" s="1572" t="s">
        <v>8</v>
      </c>
      <c r="S18" s="1573">
        <f>F18</f>
        <v>100</v>
      </c>
      <c r="T18" s="1572" t="s">
        <v>8</v>
      </c>
      <c r="U18" s="1573">
        <f>H18</f>
        <v>100</v>
      </c>
      <c r="V18" s="1572" t="s">
        <v>8</v>
      </c>
      <c r="W18" s="1573">
        <f>J18</f>
        <v>100</v>
      </c>
      <c r="X18" s="2581"/>
      <c r="Y18" s="3378"/>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78"/>
      <c r="Q19" s="2579"/>
      <c r="R19" s="1572"/>
      <c r="S19" s="1573"/>
      <c r="T19" s="1572"/>
      <c r="U19" s="1573"/>
      <c r="V19" s="1572"/>
      <c r="W19" s="1573"/>
      <c r="X19" s="2581"/>
      <c r="Y19" s="3378"/>
      <c r="Z19" s="2580"/>
      <c r="AA19" s="1575">
        <v>1</v>
      </c>
      <c r="AB19" s="1575">
        <v>1</v>
      </c>
      <c r="AC19" s="1575">
        <v>1</v>
      </c>
    </row>
    <row r="20" spans="1:29" ht="15">
      <c r="A20" s="531"/>
      <c r="B20" s="870" t="s">
        <v>802</v>
      </c>
      <c r="C20" s="871" t="str">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378"/>
      <c r="Q20" s="1571" t="str">
        <f>B20</f>
        <v>自然及人文环境</v>
      </c>
      <c r="R20" s="1572" t="s">
        <v>8</v>
      </c>
      <c r="S20" s="1573">
        <f>F20</f>
        <v>100</v>
      </c>
      <c r="T20" s="1572" t="s">
        <v>8</v>
      </c>
      <c r="U20" s="1573">
        <f>H20</f>
        <v>100</v>
      </c>
      <c r="V20" s="1572" t="s">
        <v>8</v>
      </c>
      <c r="W20" s="1573">
        <f>J20</f>
        <v>100</v>
      </c>
      <c r="X20" s="1566"/>
      <c r="Y20" s="3378"/>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378"/>
      <c r="Q21" s="1571"/>
      <c r="R21" s="1572"/>
      <c r="S21" s="1573"/>
      <c r="T21" s="1572"/>
      <c r="U21" s="1573"/>
      <c r="V21" s="1572"/>
      <c r="W21" s="1573"/>
      <c r="X21" s="1566"/>
      <c r="Y21" s="3378"/>
      <c r="Z21" s="1574"/>
      <c r="AA21" s="1575">
        <v>1</v>
      </c>
      <c r="AB21" s="1575">
        <v>1</v>
      </c>
      <c r="AC21" s="1575">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78"/>
      <c r="Q22" s="1571" t="str">
        <f>B22</f>
        <v>楼层</v>
      </c>
      <c r="R22" s="1572" t="s">
        <v>8</v>
      </c>
      <c r="S22" s="1573">
        <f>F22</f>
        <v>100</v>
      </c>
      <c r="T22" s="1572" t="s">
        <v>8</v>
      </c>
      <c r="U22" s="1573">
        <f>H22</f>
        <v>100</v>
      </c>
      <c r="V22" s="1572" t="s">
        <v>8</v>
      </c>
      <c r="W22" s="1573">
        <f>J22</f>
        <v>100</v>
      </c>
      <c r="X22" s="1566"/>
      <c r="Y22" s="3378"/>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78"/>
      <c r="Q23" s="1571">
        <f>B23</f>
        <v>111</v>
      </c>
      <c r="R23" s="1572" t="s">
        <v>8</v>
      </c>
      <c r="S23" s="1573">
        <f>F23</f>
        <v>100</v>
      </c>
      <c r="T23" s="1572" t="s">
        <v>8</v>
      </c>
      <c r="U23" s="1573">
        <f>H23</f>
        <v>100</v>
      </c>
      <c r="V23" s="1572" t="s">
        <v>8</v>
      </c>
      <c r="W23" s="1573">
        <f>J23</f>
        <v>100</v>
      </c>
      <c r="X23" s="1566"/>
      <c r="Y23" s="3378"/>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78"/>
      <c r="Q24" s="1571">
        <f t="shared" ref="Q24:Q34" si="11">B24</f>
        <v>111</v>
      </c>
      <c r="R24" s="1572" t="s">
        <v>8</v>
      </c>
      <c r="S24" s="1573">
        <f>F24</f>
        <v>100</v>
      </c>
      <c r="T24" s="1572" t="s">
        <v>8</v>
      </c>
      <c r="U24" s="1573">
        <f>H24</f>
        <v>100</v>
      </c>
      <c r="V24" s="1572" t="s">
        <v>8</v>
      </c>
      <c r="W24" s="1573">
        <f>J24</f>
        <v>100</v>
      </c>
      <c r="X24" s="1566"/>
      <c r="Y24" s="3378"/>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378"/>
      <c r="Q25" s="1149">
        <f t="shared" si="11"/>
        <v>111</v>
      </c>
      <c r="R25" s="1567" t="s">
        <v>8</v>
      </c>
      <c r="S25" s="1568">
        <f>F25</f>
        <v>100</v>
      </c>
      <c r="T25" s="1567" t="s">
        <v>8</v>
      </c>
      <c r="U25" s="1568">
        <f>H25</f>
        <v>100</v>
      </c>
      <c r="V25" s="1567" t="s">
        <v>8</v>
      </c>
      <c r="W25" s="1568">
        <f>J25</f>
        <v>100</v>
      </c>
      <c r="X25" s="1569"/>
      <c r="Y25" s="3378"/>
      <c r="Z25" s="1148">
        <f>Q25</f>
        <v>111</v>
      </c>
      <c r="AA25" s="1575">
        <f>D25/F25</f>
        <v>1</v>
      </c>
      <c r="AB25" s="1575">
        <f>D25/H25</f>
        <v>1</v>
      </c>
      <c r="AC25" s="1575">
        <f>D25/J25</f>
        <v>1</v>
      </c>
    </row>
    <row r="26" spans="1:29" ht="15">
      <c r="A26" s="2907" t="s">
        <v>2756</v>
      </c>
      <c r="B26" s="171" t="s">
        <v>806</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379"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0" t="s">
        <v>819</v>
      </c>
      <c r="Z26" s="1574" t="str">
        <f t="shared" ref="Z26:Z34" si="15">Q26</f>
        <v>公共部分装修</v>
      </c>
      <c r="AA26" s="1575">
        <f t="shared" si="3"/>
        <v>1</v>
      </c>
      <c r="AB26" s="1575">
        <f t="shared" si="4"/>
        <v>1</v>
      </c>
      <c r="AC26" s="1575">
        <f t="shared" si="5"/>
        <v>1</v>
      </c>
    </row>
    <row r="27" spans="1:29" s="1337" customFormat="1" ht="15">
      <c r="A27" s="602"/>
      <c r="B27" s="526" t="s">
        <v>807</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380"/>
      <c r="Q27" s="1604" t="str">
        <f t="shared" si="11"/>
        <v>成新率</v>
      </c>
      <c r="R27" s="1576" t="s">
        <v>8</v>
      </c>
      <c r="S27" s="1577" t="e">
        <f t="shared" si="12"/>
        <v>#N/A</v>
      </c>
      <c r="T27" s="1576" t="s">
        <v>8</v>
      </c>
      <c r="U27" s="1577" t="e">
        <f t="shared" si="13"/>
        <v>#N/A</v>
      </c>
      <c r="V27" s="1576" t="s">
        <v>8</v>
      </c>
      <c r="W27" s="1577" t="e">
        <f t="shared" si="14"/>
        <v>#N/A</v>
      </c>
      <c r="X27" s="1578"/>
      <c r="Y27" s="3380"/>
      <c r="Z27" s="1579" t="str">
        <f t="shared" si="15"/>
        <v>成新率</v>
      </c>
      <c r="AA27" s="1575" t="e">
        <f t="shared" si="3"/>
        <v>#N/A</v>
      </c>
      <c r="AB27" s="1575" t="e">
        <f t="shared" si="4"/>
        <v>#N/A</v>
      </c>
      <c r="AC27" s="1575" t="e">
        <f t="shared" si="5"/>
        <v>#N/A</v>
      </c>
    </row>
    <row r="28" spans="1:29" ht="15">
      <c r="A28" s="593"/>
      <c r="B28" s="526" t="s">
        <v>808</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80"/>
      <c r="Q28" s="1571" t="str">
        <f t="shared" si="11"/>
        <v>物业等级</v>
      </c>
      <c r="R28" s="1572" t="s">
        <v>8</v>
      </c>
      <c r="S28" s="1573">
        <f t="shared" si="12"/>
        <v>100</v>
      </c>
      <c r="T28" s="1572" t="s">
        <v>8</v>
      </c>
      <c r="U28" s="1573">
        <f t="shared" si="13"/>
        <v>100</v>
      </c>
      <c r="V28" s="1572" t="s">
        <v>8</v>
      </c>
      <c r="W28" s="1573">
        <f t="shared" si="14"/>
        <v>100</v>
      </c>
      <c r="X28" s="1566"/>
      <c r="Y28" s="3380"/>
      <c r="Z28" s="1574" t="str">
        <f t="shared" si="15"/>
        <v>物业等级</v>
      </c>
      <c r="AA28" s="1575">
        <f t="shared" si="3"/>
        <v>1</v>
      </c>
      <c r="AB28" s="1575">
        <f t="shared" si="4"/>
        <v>1</v>
      </c>
      <c r="AC28" s="1575">
        <f t="shared" si="5"/>
        <v>1</v>
      </c>
    </row>
    <row r="29" spans="1:29" ht="15">
      <c r="A29" s="593"/>
      <c r="B29" s="526" t="s">
        <v>820</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380"/>
      <c r="Q29" s="1571" t="str">
        <f t="shared" si="11"/>
        <v>有无电梯</v>
      </c>
      <c r="R29" s="1572" t="s">
        <v>8</v>
      </c>
      <c r="S29" s="1573">
        <f t="shared" si="12"/>
        <v>100</v>
      </c>
      <c r="T29" s="1572" t="s">
        <v>8</v>
      </c>
      <c r="U29" s="1573">
        <f t="shared" si="13"/>
        <v>100</v>
      </c>
      <c r="V29" s="1572" t="s">
        <v>8</v>
      </c>
      <c r="W29" s="1573">
        <f t="shared" si="14"/>
        <v>100</v>
      </c>
      <c r="X29" s="1566"/>
      <c r="Y29" s="3380"/>
      <c r="Z29" s="1574" t="str">
        <f t="shared" si="15"/>
        <v>有无电梯</v>
      </c>
      <c r="AA29" s="1575">
        <f t="shared" si="3"/>
        <v>1</v>
      </c>
      <c r="AB29" s="1575">
        <f t="shared" si="4"/>
        <v>1</v>
      </c>
      <c r="AC29" s="1575">
        <f t="shared" si="5"/>
        <v>1</v>
      </c>
    </row>
    <row r="30" spans="1:29" ht="15">
      <c r="A30" s="593"/>
      <c r="B30" s="526" t="s">
        <v>821</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380"/>
      <c r="Q30" s="1571" t="str">
        <f t="shared" si="11"/>
        <v>建筑面积</v>
      </c>
      <c r="R30" s="1572" t="s">
        <v>8</v>
      </c>
      <c r="S30" s="1573" t="e">
        <f t="shared" si="12"/>
        <v>#N/A</v>
      </c>
      <c r="T30" s="1572" t="s">
        <v>8</v>
      </c>
      <c r="U30" s="1573" t="e">
        <f t="shared" si="13"/>
        <v>#N/A</v>
      </c>
      <c r="V30" s="1572" t="s">
        <v>8</v>
      </c>
      <c r="W30" s="1573" t="e">
        <f t="shared" si="14"/>
        <v>#N/A</v>
      </c>
      <c r="X30" s="1566"/>
      <c r="Y30" s="3380"/>
      <c r="Z30" s="1574" t="str">
        <f t="shared" si="15"/>
        <v>建筑面积</v>
      </c>
      <c r="AA30" s="1575" t="e">
        <f t="shared" si="3"/>
        <v>#N/A</v>
      </c>
      <c r="AB30" s="1575" t="e">
        <f t="shared" si="4"/>
        <v>#N/A</v>
      </c>
      <c r="AC30" s="1575" t="e">
        <f t="shared" si="5"/>
        <v>#N/A</v>
      </c>
    </row>
    <row r="31" spans="1:29" s="1218" customFormat="1" ht="15">
      <c r="A31" s="599"/>
      <c r="B31" s="526" t="s">
        <v>822</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380"/>
      <c r="Q31" s="1149" t="str">
        <f t="shared" si="11"/>
        <v>是否封闭</v>
      </c>
      <c r="R31" s="1567" t="s">
        <v>8</v>
      </c>
      <c r="S31" s="1568">
        <f t="shared" si="12"/>
        <v>100</v>
      </c>
      <c r="T31" s="1567" t="s">
        <v>8</v>
      </c>
      <c r="U31" s="1568">
        <f t="shared" si="13"/>
        <v>100</v>
      </c>
      <c r="V31" s="1567" t="s">
        <v>8</v>
      </c>
      <c r="W31" s="1568">
        <f t="shared" si="14"/>
        <v>100</v>
      </c>
      <c r="X31" s="1569"/>
      <c r="Y31" s="3380"/>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380" t="s">
        <v>548</v>
      </c>
      <c r="Q32" s="1571">
        <f t="shared" si="11"/>
        <v>111</v>
      </c>
      <c r="R32" s="1572" t="s">
        <v>8</v>
      </c>
      <c r="S32" s="1573">
        <f t="shared" si="12"/>
        <v>100</v>
      </c>
      <c r="T32" s="1572" t="s">
        <v>8</v>
      </c>
      <c r="U32" s="1573">
        <f t="shared" si="13"/>
        <v>100</v>
      </c>
      <c r="V32" s="1572" t="s">
        <v>8</v>
      </c>
      <c r="W32" s="1573">
        <f t="shared" si="14"/>
        <v>100</v>
      </c>
      <c r="X32" s="1566"/>
      <c r="Y32" s="3380" t="s">
        <v>548</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380"/>
      <c r="Q33" s="1571">
        <f t="shared" si="11"/>
        <v>111</v>
      </c>
      <c r="R33" s="1572" t="s">
        <v>8</v>
      </c>
      <c r="S33" s="1573">
        <f t="shared" si="12"/>
        <v>100</v>
      </c>
      <c r="T33" s="1572" t="s">
        <v>8</v>
      </c>
      <c r="U33" s="1573">
        <f t="shared" si="13"/>
        <v>100</v>
      </c>
      <c r="V33" s="1572" t="s">
        <v>8</v>
      </c>
      <c r="W33" s="1573">
        <f t="shared" si="14"/>
        <v>100</v>
      </c>
      <c r="X33" s="1566"/>
      <c r="Y33" s="3380"/>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380"/>
      <c r="Q34" s="1571">
        <f t="shared" si="11"/>
        <v>111</v>
      </c>
      <c r="R34" s="1572" t="s">
        <v>8</v>
      </c>
      <c r="S34" s="1573">
        <f t="shared" si="12"/>
        <v>100</v>
      </c>
      <c r="T34" s="1572" t="s">
        <v>8</v>
      </c>
      <c r="U34" s="1573">
        <f t="shared" si="13"/>
        <v>100</v>
      </c>
      <c r="V34" s="1572" t="s">
        <v>8</v>
      </c>
      <c r="W34" s="1573">
        <f t="shared" si="14"/>
        <v>100</v>
      </c>
      <c r="X34" s="1566"/>
      <c r="Y34" s="3380"/>
      <c r="Z34" s="1574">
        <f t="shared" si="15"/>
        <v>111</v>
      </c>
      <c r="AA34" s="1575">
        <f t="shared" si="3"/>
        <v>1</v>
      </c>
      <c r="AB34" s="1575">
        <f t="shared" si="4"/>
        <v>1</v>
      </c>
      <c r="AC34" s="1575">
        <f t="shared" si="5"/>
        <v>1</v>
      </c>
    </row>
    <row r="35" spans="1:29" ht="15">
      <c r="A35" s="606" t="s">
        <v>734</v>
      </c>
      <c r="B35" s="885"/>
      <c r="C35" s="2627" t="s">
        <v>1</v>
      </c>
      <c r="D35" s="2628"/>
      <c r="E35" s="2629"/>
      <c r="F35" s="2630"/>
      <c r="G35" s="2631"/>
      <c r="H35" s="2632"/>
      <c r="I35" s="2629"/>
      <c r="J35" s="2632"/>
      <c r="K35" s="1610"/>
      <c r="L35" s="2144"/>
      <c r="M35" s="2145"/>
      <c r="N35" s="2134"/>
      <c r="O35" s="2145"/>
      <c r="P35" s="3375" t="str">
        <f>A35</f>
        <v>成交单价（元/平方米）</v>
      </c>
      <c r="Q35" s="3375"/>
      <c r="R35" s="3479">
        <f>E35</f>
        <v>0</v>
      </c>
      <c r="S35" s="3479"/>
      <c r="T35" s="3479">
        <f>G35</f>
        <v>0</v>
      </c>
      <c r="U35" s="3479"/>
      <c r="V35" s="3479">
        <f>I35</f>
        <v>0</v>
      </c>
      <c r="W35" s="3479"/>
      <c r="X35" s="1558"/>
      <c r="Y35" s="1580"/>
      <c r="Z35" s="1558"/>
      <c r="AA35" s="1558"/>
      <c r="AB35" s="1558"/>
      <c r="AC35" s="1558"/>
    </row>
    <row r="36" spans="1:29" ht="15.75" thickBot="1">
      <c r="A36" s="614" t="s">
        <v>2761</v>
      </c>
      <c r="B36" s="886"/>
      <c r="C36" s="2633" t="e">
        <f>R37</f>
        <v>#DIV/0!</v>
      </c>
      <c r="D36" s="2634"/>
      <c r="E36" s="2635" t="e">
        <f>R36</f>
        <v>#DIV/0!</v>
      </c>
      <c r="F36" s="2635"/>
      <c r="G36" s="2633" t="e">
        <f>T36</f>
        <v>#DIV/0!</v>
      </c>
      <c r="H36" s="2634"/>
      <c r="I36" s="2635" t="e">
        <f>V36</f>
        <v>#DIV/0!</v>
      </c>
      <c r="J36" s="2634"/>
      <c r="K36" s="1611"/>
      <c r="L36" s="2144"/>
      <c r="M36" s="2145"/>
      <c r="N36" s="2134"/>
      <c r="O36" s="2145"/>
      <c r="P36" s="3375" t="str">
        <f>A36</f>
        <v>比较价格（元/平方米）</v>
      </c>
      <c r="Q36" s="337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396" t="str">
        <f>A37</f>
        <v>估价对象XX用房的比较价格（楼面单价，元/平方米）</v>
      </c>
      <c r="Q37" s="3397"/>
      <c r="R37" s="3478" t="e">
        <f>IF(F1="售价",ROUND(AVERAGE(R36:V36),0),ROUND(AVERAGE(R36:V36),1))</f>
        <v>#DIV/0!</v>
      </c>
      <c r="S37" s="3478"/>
      <c r="T37" s="3478"/>
      <c r="U37" s="3478"/>
      <c r="V37" s="3478"/>
      <c r="W37" s="347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555</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556</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557</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572</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527</v>
      </c>
      <c r="B46" s="645"/>
      <c r="C46" s="2802" t="str">
        <f>YEAR(C7)&amp;"-"&amp;MONTH(C7)</f>
        <v>2018-6</v>
      </c>
      <c r="D46" s="2804">
        <f>EDATE(C46,-1)</f>
        <v>43221</v>
      </c>
      <c r="E46" s="2804">
        <f t="shared" ref="E46:O46" si="16">EDATE(D46,-1)</f>
        <v>43191</v>
      </c>
      <c r="F46" s="2804">
        <f t="shared" si="16"/>
        <v>43160</v>
      </c>
      <c r="G46" s="2804">
        <f t="shared" si="16"/>
        <v>43132</v>
      </c>
      <c r="H46" s="2804">
        <f t="shared" si="16"/>
        <v>43101</v>
      </c>
      <c r="I46" s="2804">
        <f t="shared" si="16"/>
        <v>43070</v>
      </c>
      <c r="J46" s="2804">
        <f t="shared" si="16"/>
        <v>43040</v>
      </c>
      <c r="K46" s="2804">
        <f t="shared" si="16"/>
        <v>43009</v>
      </c>
      <c r="L46" s="2804">
        <f t="shared" si="16"/>
        <v>42979</v>
      </c>
      <c r="M46" s="2804">
        <f t="shared" si="16"/>
        <v>42948</v>
      </c>
      <c r="N46" s="2804">
        <f t="shared" si="16"/>
        <v>42917</v>
      </c>
      <c r="O46" s="2804">
        <f t="shared" si="16"/>
        <v>42887</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573</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529</v>
      </c>
      <c r="B49" s="647"/>
      <c r="C49" s="659" t="s">
        <v>574</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575</v>
      </c>
      <c r="B51" s="664" t="s">
        <v>532</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535</v>
      </c>
      <c r="C53" s="673" t="s">
        <v>735</v>
      </c>
      <c r="D53" s="673" t="s">
        <v>736</v>
      </c>
      <c r="E53" s="673" t="s">
        <v>737</v>
      </c>
      <c r="F53" s="673" t="s">
        <v>738</v>
      </c>
      <c r="G53" s="673" t="s">
        <v>739</v>
      </c>
      <c r="H53" s="673" t="s">
        <v>740</v>
      </c>
      <c r="I53" s="673" t="s">
        <v>741</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537</v>
      </c>
      <c r="B61" s="664" t="s">
        <v>584</v>
      </c>
      <c r="C61" s="702" t="s">
        <v>577</v>
      </c>
      <c r="D61" s="702" t="s">
        <v>578</v>
      </c>
      <c r="E61" s="702" t="s">
        <v>579</v>
      </c>
      <c r="F61" s="702" t="s">
        <v>580</v>
      </c>
      <c r="G61" s="702" t="s">
        <v>581</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577</v>
      </c>
      <c r="D63" s="707" t="s">
        <v>578</v>
      </c>
      <c r="E63" s="707" t="s">
        <v>579</v>
      </c>
      <c r="F63" s="707" t="s">
        <v>580</v>
      </c>
      <c r="G63" s="707" t="s">
        <v>581</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742</v>
      </c>
      <c r="C67" s="707" t="s">
        <v>577</v>
      </c>
      <c r="D67" s="707" t="s">
        <v>578</v>
      </c>
      <c r="E67" s="707" t="s">
        <v>579</v>
      </c>
      <c r="F67" s="707" t="s">
        <v>580</v>
      </c>
      <c r="G67" s="707" t="s">
        <v>581</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549</v>
      </c>
      <c r="B77" s="664" t="s">
        <v>749</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815</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823</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825</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42013平方米。根据《建设工程规划许可证》[]、《出让合同》[]，估价对象规划建筑面积为117636.4平方米。</v>
      </c>
    </row>
    <row r="7" spans="1:4" ht="93.75">
      <c r="A7" s="2873" t="s">
        <v>2749</v>
      </c>
    </row>
    <row r="8" spans="1:4" ht="18.75">
      <c r="A8" s="1794" t="s">
        <v>1905</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2018年6月25日（评估专业人员勘察现场之日）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根据《国有土地使用证》[]，估价对象（分摊）出让国有建设用地使用权面积为42013平方米。根据《建设工程规划许可证》[]、《出让合同》[]，估价对象规划建筑面积为117636.4平方米。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2304</v>
      </c>
      <c r="C1" s="3488" t="s">
        <v>2305</v>
      </c>
      <c r="D1" s="3489"/>
      <c r="E1" s="3489"/>
      <c r="F1" s="3489"/>
      <c r="G1" s="3489"/>
      <c r="H1" s="3489"/>
      <c r="I1" s="3489"/>
      <c r="J1" s="3489"/>
      <c r="K1" s="3489"/>
      <c r="L1" s="3489"/>
      <c r="M1" s="3489"/>
      <c r="N1" s="3489"/>
      <c r="O1" s="3489"/>
      <c r="P1" s="3489"/>
      <c r="Q1" s="3489"/>
      <c r="R1" s="3489"/>
      <c r="S1" s="3490"/>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2926</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2925</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826</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827</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828</v>
      </c>
      <c r="B22" s="52">
        <f>SUM(B24:B10000)</f>
        <v>0</v>
      </c>
      <c r="C22" s="3485" t="s">
        <v>20</v>
      </c>
      <c r="D22" s="3486"/>
      <c r="E22" s="3486"/>
      <c r="F22" s="3486"/>
      <c r="G22" s="3486"/>
      <c r="H22" s="3486"/>
      <c r="I22" s="3486"/>
      <c r="J22" s="3486"/>
      <c r="K22" s="3486"/>
      <c r="L22" s="3486"/>
      <c r="M22" s="3486"/>
      <c r="N22" s="3486"/>
      <c r="O22" s="3486"/>
      <c r="P22" s="3486"/>
      <c r="Q22" s="3487"/>
      <c r="R22" s="489" t="e">
        <f>ROUND(S22*10000/B22,0)</f>
        <v>#DIV/0!</v>
      </c>
      <c r="S22" s="52">
        <f>SUM(S24:S10000)</f>
        <v>0</v>
      </c>
    </row>
    <row r="23" spans="1:45" s="1613"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90" t="s">
        <v>832</v>
      </c>
      <c r="S23" s="16" t="s">
        <v>833</v>
      </c>
      <c r="T23" s="17"/>
      <c r="U23" s="17"/>
      <c r="V23" s="17"/>
      <c r="W23" s="17"/>
      <c r="X23" s="17"/>
      <c r="Y23" s="17"/>
      <c r="Z23" s="17"/>
      <c r="AA23" s="17"/>
      <c r="AB23" s="17"/>
      <c r="AC23" s="17"/>
      <c r="AD23" s="17"/>
      <c r="AE23" s="17"/>
      <c r="AF23" s="17"/>
      <c r="AG23" s="17"/>
      <c r="AH23" s="17"/>
      <c r="AI23" s="17"/>
    </row>
    <row r="24" spans="1:45" s="1614"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43276</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M28" sqref="M2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2039</v>
      </c>
      <c r="B1" s="3195"/>
      <c r="C1" s="3195"/>
      <c r="D1" s="3195"/>
      <c r="E1" s="3195"/>
      <c r="F1" s="3195"/>
      <c r="G1" s="3195"/>
      <c r="H1" s="3195"/>
      <c r="I1" s="3195"/>
      <c r="J1" s="3195"/>
      <c r="K1" s="3195"/>
      <c r="L1" s="3195"/>
      <c r="M1" s="3195"/>
      <c r="N1" s="3195"/>
      <c r="O1" s="3195"/>
      <c r="P1" s="3195"/>
      <c r="Q1" s="3195"/>
      <c r="R1" s="3195"/>
    </row>
    <row r="2" spans="1:18">
      <c r="A2" s="1807" t="s">
        <v>2041</v>
      </c>
      <c r="B2" s="1807"/>
      <c r="C2" s="1807"/>
      <c r="D2" s="1807"/>
      <c r="E2" s="1807"/>
      <c r="F2" s="1807"/>
      <c r="G2" s="1807"/>
      <c r="H2" s="1807"/>
      <c r="I2" s="1808"/>
      <c r="J2" s="1808"/>
      <c r="K2" s="1809" t="str">
        <f>"估价期日："&amp;TEXT(项目基本情况!D3,"yyyy年m月d日;;")</f>
        <v>估价期日：2018年6月25日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6" t="s">
        <v>2030</v>
      </c>
      <c r="B3" s="3196" t="s">
        <v>2732</v>
      </c>
      <c r="C3" s="3197" t="s">
        <v>2031</v>
      </c>
      <c r="D3" s="3196" t="s">
        <v>2736</v>
      </c>
      <c r="E3" s="3199" t="s">
        <v>2032</v>
      </c>
      <c r="F3" s="3199"/>
      <c r="G3" s="3199"/>
      <c r="H3" s="3199" t="s">
        <v>2033</v>
      </c>
      <c r="I3" s="3199"/>
      <c r="J3" s="3199"/>
      <c r="K3" s="3197" t="s">
        <v>2034</v>
      </c>
      <c r="L3" s="3197" t="s">
        <v>2035</v>
      </c>
      <c r="M3" s="3196" t="s">
        <v>2733</v>
      </c>
      <c r="N3" s="3198" t="str">
        <f>"（分摊）"&amp;项目基本情况!B16&amp;"国有建设用地使用权面积/㎡"</f>
        <v>（分摊）出让国有建设用地使用权面积/㎡</v>
      </c>
      <c r="O3" s="3196" t="s">
        <v>2064</v>
      </c>
      <c r="P3" s="3197" t="s">
        <v>2044</v>
      </c>
      <c r="Q3" s="3197" t="s">
        <v>2065</v>
      </c>
      <c r="R3" s="3197" t="s">
        <v>2036</v>
      </c>
    </row>
    <row r="4" spans="1:18" ht="36.75" customHeight="1">
      <c r="A4" s="3196"/>
      <c r="B4" s="3196"/>
      <c r="C4" s="3197"/>
      <c r="D4" s="3196"/>
      <c r="E4" s="2649" t="s">
        <v>2043</v>
      </c>
      <c r="F4" s="2649" t="s">
        <v>2745</v>
      </c>
      <c r="G4" s="2649" t="s">
        <v>2037</v>
      </c>
      <c r="H4" s="2649" t="s">
        <v>2038</v>
      </c>
      <c r="I4" s="2649" t="s">
        <v>2746</v>
      </c>
      <c r="J4" s="2649" t="s">
        <v>2037</v>
      </c>
      <c r="K4" s="3197"/>
      <c r="L4" s="3197"/>
      <c r="M4" s="3196"/>
      <c r="N4" s="3198"/>
      <c r="O4" s="3196"/>
      <c r="P4" s="3197"/>
      <c r="Q4" s="3197"/>
      <c r="R4" s="3197"/>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42013</v>
      </c>
      <c r="O5" s="1810">
        <f>项目基本情况!C21</f>
        <v>117636.4</v>
      </c>
      <c r="P5" s="1810">
        <f ca="1">结果表!E42</f>
        <v>8330</v>
      </c>
      <c r="Q5" s="1810">
        <f ca="1">结果表!D42</f>
        <v>2975</v>
      </c>
      <c r="R5" s="1811">
        <f ca="1">结果表!C42</f>
        <v>34996</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2"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2"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3" t="s">
        <v>2066</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2067</v>
      </c>
      <c r="B5" s="3206"/>
      <c r="C5" s="3206"/>
      <c r="D5" s="3206"/>
    </row>
    <row r="6" spans="1:4">
      <c r="A6" s="3203" t="s">
        <v>2045</v>
      </c>
      <c r="B6" s="3203"/>
      <c r="C6" s="3203"/>
      <c r="D6" s="3203"/>
    </row>
    <row r="7" spans="1:4" ht="33" customHeight="1">
      <c r="A7" s="3203" t="s">
        <v>2576</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3"/>
      <c r="C8" s="3203"/>
      <c r="D8" s="3203"/>
    </row>
    <row r="9" spans="1:4" ht="33.75" customHeight="1">
      <c r="A9" s="3203" t="str">
        <f>IF(项目基本情况!B8="抵押","3.抵押双方在办理抵押登记手续时，应使用本公司出具的正式《土地估价报告》，特提请报告使用者注意。","——")</f>
        <v>——</v>
      </c>
      <c r="B9" s="3203"/>
      <c r="C9" s="3203"/>
      <c r="D9" s="3203"/>
    </row>
    <row r="10" spans="1:4">
      <c r="A10" s="3203" t="str">
        <f>IF(项目基本情况!B8="抵押","4.估价师所知悉的法定优先受偿款情况为：","——")</f>
        <v>——</v>
      </c>
      <c r="B10" s="3203"/>
      <c r="C10" s="3203"/>
      <c r="D10" s="3203"/>
    </row>
    <row r="11" spans="1:4" ht="37.5" customHeight="1">
      <c r="A11" s="3205" t="str">
        <f>IF(项目基本情况!B8="抵押","（1）"&amp;CONCATENATE(项目基本情况!L24,项目基本情况!L25,项目基本情况!L26),"——")</f>
        <v>——</v>
      </c>
      <c r="B11" s="3205"/>
      <c r="C11" s="3205"/>
      <c r="D11" s="3205"/>
    </row>
    <row r="12" spans="1:4" ht="168" customHeight="1">
      <c r="A12" s="3206" t="s">
        <v>2069</v>
      </c>
      <c r="B12" s="3206"/>
      <c r="C12" s="3206"/>
      <c r="D12" s="3206"/>
    </row>
    <row r="13" spans="1:4">
      <c r="A13" s="3204" t="s">
        <v>2747</v>
      </c>
      <c r="B13" s="3204"/>
      <c r="C13" s="3204"/>
      <c r="D13" s="3204"/>
    </row>
    <row r="14" spans="1:4">
      <c r="A14" s="3205" t="str">
        <f>IF(项目基本情况!B8="抵押","综上，"&amp;结果表!K47,"——")</f>
        <v>——</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2703</v>
      </c>
      <c r="B17" s="3203"/>
      <c r="C17" s="3203"/>
      <c r="D17" s="3203"/>
    </row>
    <row r="18" spans="1:4">
      <c r="A18" s="3203" t="s">
        <v>2695</v>
      </c>
      <c r="B18" s="3203"/>
      <c r="C18" s="3203"/>
      <c r="D18" s="3203"/>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203" t="s">
        <v>2700</v>
      </c>
      <c r="B23" s="3203"/>
      <c r="C23" s="3203"/>
      <c r="D23" s="3203"/>
    </row>
    <row r="24" spans="1:4">
      <c r="A24" s="2868" t="s">
        <v>2696</v>
      </c>
      <c r="B24" s="2868" t="s">
        <v>2701</v>
      </c>
      <c r="C24" s="2868" t="s">
        <v>2698</v>
      </c>
      <c r="D24" s="2868" t="s">
        <v>2699</v>
      </c>
    </row>
    <row r="25" spans="1:4">
      <c r="A25" s="2871" t="s">
        <v>2702</v>
      </c>
      <c r="B25" s="2868" t="s">
        <v>950</v>
      </c>
      <c r="C25" s="2870"/>
      <c r="D25" s="1800" t="s">
        <v>2705</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15" t="s">
        <v>53</v>
      </c>
      <c r="B15" s="3216" t="s">
        <v>844</v>
      </c>
      <c r="C15" s="3212"/>
    </row>
    <row r="16" spans="1:7" ht="14.25">
      <c r="A16" s="3215"/>
      <c r="B16" s="3213" t="s">
        <v>54</v>
      </c>
      <c r="C16" s="1170" t="s">
        <v>53</v>
      </c>
    </row>
    <row r="17" spans="1:3" ht="14.25">
      <c r="A17" s="3215"/>
      <c r="B17" s="3213"/>
      <c r="C17" s="1170" t="s">
        <v>55</v>
      </c>
    </row>
    <row r="18" spans="1:3" ht="14.25">
      <c r="A18" s="3215"/>
      <c r="B18" s="3213"/>
      <c r="C18" s="1170" t="s">
        <v>56</v>
      </c>
    </row>
    <row r="19" spans="1:3" ht="14.25">
      <c r="A19" s="3215"/>
      <c r="B19" s="3211" t="s">
        <v>57</v>
      </c>
      <c r="C19" s="3212"/>
    </row>
    <row r="20" spans="1:3" ht="14.25">
      <c r="A20" s="1171" t="s">
        <v>58</v>
      </c>
      <c r="B20" s="1172"/>
      <c r="C20" s="1173"/>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4" t="s">
        <v>835</v>
      </c>
    </row>
    <row r="25" spans="1:3" ht="14.25">
      <c r="A25" s="3214"/>
      <c r="B25" s="3218"/>
      <c r="C25" s="1174" t="s">
        <v>836</v>
      </c>
    </row>
    <row r="26" spans="1:3" ht="14.25">
      <c r="A26" s="3214"/>
      <c r="B26" s="3218"/>
      <c r="C26" s="1174" t="s">
        <v>837</v>
      </c>
    </row>
    <row r="27" spans="1:3" ht="14.25">
      <c r="A27" s="3214"/>
      <c r="B27" s="3218"/>
      <c r="C27" s="1174" t="s">
        <v>838</v>
      </c>
    </row>
    <row r="28" spans="1:3" ht="14.25">
      <c r="A28" s="3214"/>
      <c r="B28" s="3218"/>
      <c r="C28" s="1174" t="s">
        <v>839</v>
      </c>
    </row>
    <row r="29" spans="1:3" ht="14.25">
      <c r="A29" s="3214"/>
      <c r="B29" s="3218"/>
      <c r="C29" s="1174" t="s">
        <v>840</v>
      </c>
    </row>
    <row r="30" spans="1:3" ht="14.25">
      <c r="A30" s="3214"/>
      <c r="B30" s="3218"/>
      <c r="C30" s="1174" t="s">
        <v>841</v>
      </c>
    </row>
    <row r="31" spans="1:3" ht="14.25">
      <c r="A31" s="3214"/>
      <c r="B31" s="3218"/>
      <c r="C31" s="1174" t="s">
        <v>842</v>
      </c>
    </row>
    <row r="32" spans="1:3" ht="14.25">
      <c r="A32" s="3214"/>
      <c r="B32" s="3218"/>
      <c r="C32" s="1174" t="s">
        <v>1645</v>
      </c>
    </row>
    <row r="33" spans="1:3" ht="14.25">
      <c r="A33" s="3214"/>
      <c r="B33" s="3208" t="s">
        <v>1651</v>
      </c>
      <c r="C33" s="1174" t="s">
        <v>1646</v>
      </c>
    </row>
    <row r="34" spans="1:3" ht="14.25">
      <c r="A34" s="3214"/>
      <c r="B34" s="3209"/>
      <c r="C34" s="1179" t="s">
        <v>1647</v>
      </c>
    </row>
    <row r="35" spans="1:3" ht="14.25">
      <c r="A35" s="3214"/>
      <c r="B35" s="3209"/>
      <c r="C35" s="1180" t="s">
        <v>1648</v>
      </c>
    </row>
    <row r="36" spans="1:3" ht="14.25">
      <c r="A36" s="3214"/>
      <c r="B36" s="3209"/>
      <c r="C36" s="1180" t="s">
        <v>1649</v>
      </c>
    </row>
    <row r="37" spans="1:3" ht="14.25">
      <c r="A37" s="3214"/>
      <c r="B37" s="3210"/>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43287</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43359</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2979</v>
      </c>
      <c r="B12" s="2343">
        <v>1120110054</v>
      </c>
      <c r="C12" s="3005">
        <v>43937</v>
      </c>
      <c r="D12" s="2343" t="s">
        <v>2979</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2575</v>
      </c>
      <c r="B15" s="2343">
        <v>1120070085</v>
      </c>
      <c r="C15" s="3005">
        <v>43814</v>
      </c>
      <c r="D15" s="2343" t="s">
        <v>2575</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43304</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2054</v>
      </c>
      <c r="B24" s="2345" t="s">
        <v>2054</v>
      </c>
      <c r="C24" s="3005"/>
      <c r="D24" s="3007" t="s">
        <v>2054</v>
      </c>
      <c r="E24" s="2345" t="s">
        <v>2054</v>
      </c>
      <c r="F24" s="2346"/>
    </row>
    <row r="25" spans="1:7" ht="20.25" customHeight="1">
      <c r="A25" s="3219" t="s">
        <v>1927</v>
      </c>
      <c r="B25" s="3219"/>
      <c r="C25" s="3219"/>
      <c r="D25" s="3219"/>
      <c r="E25" s="3219"/>
      <c r="F25" s="3219"/>
      <c r="G25" s="3219"/>
    </row>
    <row r="26" spans="1:7" ht="20.25" customHeight="1">
      <c r="A26" s="3220" t="s">
        <v>1928</v>
      </c>
      <c r="B26" s="3220"/>
      <c r="C26" s="3220"/>
      <c r="D26" s="3220" t="s">
        <v>1929</v>
      </c>
      <c r="E26" s="3220"/>
      <c r="F26" s="3220"/>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8" sqref="Y8"/>
    </sheetView>
  </sheetViews>
  <sheetFormatPr defaultRowHeight="14.25"/>
  <cols>
    <col min="1" max="1" width="10.375" style="1183" customWidth="1"/>
    <col min="2" max="2" width="18.87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1" customWidth="1"/>
    <col min="25" max="25" width="7.25" style="1161" customWidth="1"/>
    <col min="26" max="16384" width="9" style="1161"/>
  </cols>
  <sheetData>
    <row r="1" spans="1:23" s="1182" customFormat="1" ht="27">
      <c r="A1" s="965" t="s">
        <v>854</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2" t="s">
        <v>872</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2541</v>
      </c>
      <c r="S2" s="9" t="s">
        <v>75</v>
      </c>
      <c r="T2" s="9" t="s">
        <v>76</v>
      </c>
      <c r="U2" s="9" t="s">
        <v>75</v>
      </c>
      <c r="V2" s="9" t="s">
        <v>77</v>
      </c>
      <c r="W2" s="9" t="s">
        <v>873</v>
      </c>
    </row>
    <row r="3" spans="1:23">
      <c r="A3" s="8" t="s">
        <v>78</v>
      </c>
      <c r="B3" s="3193" t="s">
        <v>3140</v>
      </c>
      <c r="C3" s="1551" t="s">
        <v>1709</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2542</v>
      </c>
      <c r="S3" s="9" t="s">
        <v>84</v>
      </c>
      <c r="T3" s="9" t="s">
        <v>85</v>
      </c>
      <c r="U3" s="9" t="s">
        <v>84</v>
      </c>
      <c r="V3" s="9" t="s">
        <v>86</v>
      </c>
      <c r="W3" s="9" t="s">
        <v>874</v>
      </c>
    </row>
    <row r="4" spans="1:23">
      <c r="A4" s="8" t="s">
        <v>87</v>
      </c>
      <c r="B4" s="3110" t="s">
        <v>2992</v>
      </c>
      <c r="C4" s="1550" t="s">
        <v>1710</v>
      </c>
      <c r="D4" s="9" t="s">
        <v>1995</v>
      </c>
      <c r="E4" s="9" t="s">
        <v>88</v>
      </c>
      <c r="F4" s="9" t="s">
        <v>89</v>
      </c>
      <c r="G4" s="9">
        <v>70</v>
      </c>
      <c r="H4" s="9" t="s">
        <v>90</v>
      </c>
      <c r="I4" s="9" t="s">
        <v>91</v>
      </c>
      <c r="K4" s="9" t="s">
        <v>92</v>
      </c>
      <c r="L4" s="9" t="s">
        <v>92</v>
      </c>
      <c r="M4" s="9" t="s">
        <v>92</v>
      </c>
      <c r="N4" s="9" t="s">
        <v>92</v>
      </c>
      <c r="O4" s="9" t="s">
        <v>92</v>
      </c>
      <c r="P4" s="1004" t="s">
        <v>758</v>
      </c>
      <c r="Q4" s="9" t="s">
        <v>92</v>
      </c>
      <c r="R4" s="1004" t="s">
        <v>2543</v>
      </c>
      <c r="S4" s="9" t="s">
        <v>92</v>
      </c>
      <c r="T4" s="9" t="s">
        <v>93</v>
      </c>
      <c r="U4" s="9" t="s">
        <v>92</v>
      </c>
      <c r="W4" s="9" t="s">
        <v>875</v>
      </c>
    </row>
    <row r="5" spans="1:23">
      <c r="A5" s="8" t="s">
        <v>94</v>
      </c>
      <c r="B5" s="8" t="s">
        <v>151</v>
      </c>
      <c r="C5" s="1550" t="s">
        <v>1711</v>
      </c>
      <c r="F5" s="9" t="s">
        <v>95</v>
      </c>
      <c r="H5" s="9" t="s">
        <v>70</v>
      </c>
      <c r="I5" s="9" t="s">
        <v>96</v>
      </c>
      <c r="K5" s="9" t="s">
        <v>97</v>
      </c>
      <c r="L5" s="9" t="s">
        <v>97</v>
      </c>
      <c r="M5" s="9" t="s">
        <v>97</v>
      </c>
      <c r="N5" s="9" t="s">
        <v>97</v>
      </c>
      <c r="O5" s="9" t="s">
        <v>97</v>
      </c>
      <c r="P5" s="1004" t="s">
        <v>544</v>
      </c>
      <c r="Q5" s="9" t="s">
        <v>97</v>
      </c>
      <c r="R5" s="1004" t="s">
        <v>2544</v>
      </c>
      <c r="S5" s="9" t="s">
        <v>97</v>
      </c>
      <c r="T5" s="9" t="s">
        <v>98</v>
      </c>
      <c r="U5" s="9" t="s">
        <v>97</v>
      </c>
      <c r="W5" s="9" t="s">
        <v>876</v>
      </c>
    </row>
    <row r="6" spans="1:23">
      <c r="A6" s="8" t="s">
        <v>99</v>
      </c>
      <c r="B6" s="1147" t="s">
        <v>1639</v>
      </c>
      <c r="C6" s="1552" t="s">
        <v>1712</v>
      </c>
      <c r="F6" s="9" t="s">
        <v>71</v>
      </c>
      <c r="H6" s="9" t="s">
        <v>72</v>
      </c>
      <c r="I6" s="9" t="s">
        <v>100</v>
      </c>
      <c r="K6" s="9" t="s">
        <v>101</v>
      </c>
      <c r="L6" s="9" t="s">
        <v>101</v>
      </c>
      <c r="M6" s="9" t="s">
        <v>101</v>
      </c>
      <c r="N6" s="9" t="s">
        <v>101</v>
      </c>
      <c r="O6" s="9" t="s">
        <v>101</v>
      </c>
      <c r="P6" s="1004" t="s">
        <v>879</v>
      </c>
      <c r="Q6" s="9" t="s">
        <v>101</v>
      </c>
      <c r="R6" s="1004" t="s">
        <v>2545</v>
      </c>
      <c r="S6" s="9" t="s">
        <v>101</v>
      </c>
      <c r="T6" s="9"/>
      <c r="U6" s="9" t="s">
        <v>101</v>
      </c>
      <c r="W6" s="9" t="s">
        <v>877</v>
      </c>
    </row>
    <row r="7" spans="1:23">
      <c r="A7" s="8" t="s">
        <v>102</v>
      </c>
      <c r="B7" s="8" t="s">
        <v>103</v>
      </c>
      <c r="C7" s="1550" t="s">
        <v>1713</v>
      </c>
      <c r="F7" s="9" t="s">
        <v>152</v>
      </c>
      <c r="H7" s="9" t="s">
        <v>104</v>
      </c>
      <c r="I7" s="9" t="s">
        <v>105</v>
      </c>
    </row>
    <row r="8" spans="1:23">
      <c r="A8" s="8" t="s">
        <v>106</v>
      </c>
      <c r="B8" s="8" t="s">
        <v>107</v>
      </c>
      <c r="C8" s="1550" t="s">
        <v>1714</v>
      </c>
      <c r="F8" s="9" t="s">
        <v>153</v>
      </c>
      <c r="H8" s="9"/>
      <c r="I8" s="9" t="s">
        <v>108</v>
      </c>
    </row>
    <row r="9" spans="1:23">
      <c r="A9" s="8" t="s">
        <v>109</v>
      </c>
      <c r="B9" s="8" t="s">
        <v>154</v>
      </c>
      <c r="C9" s="1550" t="s">
        <v>1715</v>
      </c>
      <c r="F9" s="9" t="s">
        <v>110</v>
      </c>
      <c r="H9" s="9"/>
    </row>
    <row r="10" spans="1:23">
      <c r="A10" s="8" t="s">
        <v>111</v>
      </c>
      <c r="B10" s="8" t="s">
        <v>155</v>
      </c>
      <c r="C10" s="1550" t="s">
        <v>1716</v>
      </c>
      <c r="F10" s="9" t="s">
        <v>6</v>
      </c>
    </row>
    <row r="11" spans="1:23">
      <c r="A11" s="8" t="s">
        <v>112</v>
      </c>
      <c r="B11" s="8" t="s">
        <v>156</v>
      </c>
      <c r="C11" s="1550" t="s">
        <v>1717</v>
      </c>
    </row>
    <row r="12" spans="1:23">
      <c r="A12" s="8" t="s">
        <v>113</v>
      </c>
      <c r="B12" s="8" t="s">
        <v>157</v>
      </c>
      <c r="C12" s="1550" t="s">
        <v>1718</v>
      </c>
    </row>
    <row r="13" spans="1:23">
      <c r="A13" s="8" t="s">
        <v>114</v>
      </c>
      <c r="B13" s="8" t="s">
        <v>158</v>
      </c>
      <c r="C13" s="1550" t="s">
        <v>1719</v>
      </c>
    </row>
    <row r="14" spans="1:23">
      <c r="A14" s="8" t="s">
        <v>115</v>
      </c>
      <c r="B14" s="8" t="s">
        <v>159</v>
      </c>
      <c r="C14" s="1553" t="s">
        <v>1895</v>
      </c>
    </row>
    <row r="15" spans="1:23">
      <c r="A15" s="8" t="s">
        <v>116</v>
      </c>
      <c r="B15" s="8" t="s">
        <v>1680</v>
      </c>
      <c r="C15" s="1553"/>
    </row>
    <row r="16" spans="1:23">
      <c r="A16" s="8" t="s">
        <v>117</v>
      </c>
      <c r="B16" s="8" t="s">
        <v>1681</v>
      </c>
      <c r="C16" s="1553"/>
    </row>
    <row r="17" spans="1:3">
      <c r="A17" s="8" t="s">
        <v>118</v>
      </c>
      <c r="B17" s="8" t="s">
        <v>1682</v>
      </c>
      <c r="C17" s="1553"/>
    </row>
    <row r="18" spans="1:3">
      <c r="A18" s="8" t="s">
        <v>119</v>
      </c>
      <c r="B18" s="3110" t="s">
        <v>2956</v>
      </c>
      <c r="C18" s="1553"/>
    </row>
    <row r="19" spans="1:3">
      <c r="A19" s="8" t="s">
        <v>120</v>
      </c>
      <c r="B19" s="3110" t="s">
        <v>2964</v>
      </c>
      <c r="C19" s="1553"/>
    </row>
    <row r="20" spans="1:3">
      <c r="A20" s="8" t="s">
        <v>121</v>
      </c>
      <c r="B20" s="8" t="s">
        <v>1640</v>
      </c>
      <c r="C20" s="1553"/>
    </row>
    <row r="21" spans="1:3">
      <c r="A21" s="8" t="s">
        <v>122</v>
      </c>
      <c r="B21" s="8" t="s">
        <v>1640</v>
      </c>
      <c r="C21" s="1553"/>
    </row>
    <row r="22" spans="1:3">
      <c r="A22" s="8" t="s">
        <v>123</v>
      </c>
      <c r="B22" s="8" t="s">
        <v>1640</v>
      </c>
      <c r="C22" s="1553"/>
    </row>
    <row r="23" spans="1:3">
      <c r="A23" s="8" t="s">
        <v>124</v>
      </c>
      <c r="B23" s="8" t="s">
        <v>1640</v>
      </c>
      <c r="C23" s="1553"/>
    </row>
    <row r="24" spans="1:3">
      <c r="A24" s="8" t="s">
        <v>12</v>
      </c>
      <c r="B24" s="8" t="s">
        <v>1640</v>
      </c>
      <c r="C24" s="1553"/>
    </row>
    <row r="25" spans="1:3">
      <c r="A25" s="8" t="s">
        <v>125</v>
      </c>
      <c r="B25" s="8" t="s">
        <v>1640</v>
      </c>
      <c r="C25" s="1553"/>
    </row>
    <row r="26" spans="1:3">
      <c r="A26" s="8" t="s">
        <v>126</v>
      </c>
      <c r="B26" s="8" t="s">
        <v>1640</v>
      </c>
      <c r="C26" s="1553"/>
    </row>
    <row r="27" spans="1:3">
      <c r="A27" s="8" t="s">
        <v>1640</v>
      </c>
      <c r="B27" s="8" t="s">
        <v>1640</v>
      </c>
      <c r="C27" s="1553"/>
    </row>
    <row r="28" spans="1:3">
      <c r="A28" s="8" t="s">
        <v>1640</v>
      </c>
      <c r="B28" s="8" t="s">
        <v>1640</v>
      </c>
      <c r="C28" s="1553"/>
    </row>
    <row r="29" spans="1:3">
      <c r="A29" s="8" t="s">
        <v>1640</v>
      </c>
      <c r="B29" s="8" t="s">
        <v>1640</v>
      </c>
      <c r="C29" s="1553"/>
    </row>
    <row r="30" spans="1:3">
      <c r="A30" s="8" t="s">
        <v>1640</v>
      </c>
      <c r="B30" s="8" t="s">
        <v>1640</v>
      </c>
      <c r="C30" s="1553"/>
    </row>
    <row r="31" spans="1:3">
      <c r="A31" s="8" t="s">
        <v>1640</v>
      </c>
      <c r="B31" s="8" t="s">
        <v>1640</v>
      </c>
      <c r="C31" s="1553"/>
    </row>
    <row r="32" spans="1:3">
      <c r="A32" s="8" t="s">
        <v>1640</v>
      </c>
      <c r="B32" s="8" t="s">
        <v>1640</v>
      </c>
      <c r="C32" s="1553"/>
    </row>
    <row r="33" spans="1:3">
      <c r="A33" s="8" t="s">
        <v>1640</v>
      </c>
      <c r="B33" s="8" t="s">
        <v>1640</v>
      </c>
      <c r="C33" s="1553"/>
    </row>
    <row r="34" spans="1:3">
      <c r="A34" s="8" t="s">
        <v>1640</v>
      </c>
      <c r="B34" s="8" t="s">
        <v>1640</v>
      </c>
      <c r="C34" s="1553"/>
    </row>
    <row r="35" spans="1:3">
      <c r="A35" s="8" t="s">
        <v>1640</v>
      </c>
      <c r="B35" s="8" t="s">
        <v>1640</v>
      </c>
      <c r="C35" s="1553"/>
    </row>
    <row r="36" spans="1:3">
      <c r="A36" s="8" t="s">
        <v>1640</v>
      </c>
      <c r="B36" s="8" t="s">
        <v>1640</v>
      </c>
      <c r="C36" s="1553"/>
    </row>
    <row r="37" spans="1:3">
      <c r="A37" s="8" t="s">
        <v>1640</v>
      </c>
      <c r="B37" s="8" t="s">
        <v>1640</v>
      </c>
      <c r="C37" s="1553"/>
    </row>
    <row r="38" spans="1:3">
      <c r="A38" s="8" t="s">
        <v>1640</v>
      </c>
      <c r="B38" s="8" t="s">
        <v>1640</v>
      </c>
      <c r="C38" s="1553"/>
    </row>
    <row r="39" spans="1:3">
      <c r="A39" s="8" t="s">
        <v>1640</v>
      </c>
      <c r="B39" s="8" t="s">
        <v>1640</v>
      </c>
      <c r="C39" s="1553"/>
    </row>
    <row r="40" spans="1:3">
      <c r="A40" s="8" t="s">
        <v>1640</v>
      </c>
      <c r="B40" s="8" t="s">
        <v>1640</v>
      </c>
      <c r="C40" s="1553"/>
    </row>
    <row r="41" spans="1:3">
      <c r="A41" s="8" t="s">
        <v>1640</v>
      </c>
      <c r="B41" s="8" t="s">
        <v>1640</v>
      </c>
      <c r="C41" s="1553"/>
    </row>
    <row r="42" spans="1:3">
      <c r="A42" s="8" t="s">
        <v>1640</v>
      </c>
      <c r="B42" s="8" t="s">
        <v>1640</v>
      </c>
      <c r="C42" s="1553"/>
    </row>
    <row r="43" spans="1:3">
      <c r="A43" s="8" t="s">
        <v>1640</v>
      </c>
      <c r="B43" s="8" t="s">
        <v>1640</v>
      </c>
      <c r="C43" s="1553"/>
    </row>
    <row r="44" spans="1:3">
      <c r="A44" s="8" t="s">
        <v>1640</v>
      </c>
      <c r="B44" s="8" t="s">
        <v>1640</v>
      </c>
      <c r="C44" s="1553"/>
    </row>
    <row r="45" spans="1:3">
      <c r="A45" s="8" t="s">
        <v>1640</v>
      </c>
      <c r="B45" s="8" t="s">
        <v>1640</v>
      </c>
      <c r="C45" s="1553"/>
    </row>
    <row r="46" spans="1:3">
      <c r="A46" s="8" t="s">
        <v>1640</v>
      </c>
      <c r="B46" s="8" t="s">
        <v>1640</v>
      </c>
      <c r="C46" s="1553"/>
    </row>
    <row r="47" spans="1:3">
      <c r="A47" s="8" t="s">
        <v>1640</v>
      </c>
      <c r="B47" s="8" t="s">
        <v>1640</v>
      </c>
      <c r="C47" s="1553"/>
    </row>
    <row r="48" spans="1:3">
      <c r="A48" s="8" t="s">
        <v>1640</v>
      </c>
      <c r="B48" s="8" t="s">
        <v>1640</v>
      </c>
      <c r="C48" s="1553"/>
    </row>
    <row r="49" spans="1:5">
      <c r="A49" s="8" t="s">
        <v>1640</v>
      </c>
      <c r="B49" s="8" t="s">
        <v>1640</v>
      </c>
      <c r="C49" s="1553"/>
    </row>
    <row r="50" spans="1:5">
      <c r="A50" s="8" t="s">
        <v>1640</v>
      </c>
      <c r="B50" s="8" t="s">
        <v>1640</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7"/>
      <c r="E53" s="1767"/>
    </row>
    <row r="54" spans="1:5">
      <c r="A54" s="322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0"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不动产比较法（高层住宅）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2018-07-06T01:34:28Z</dcterms:modified>
</cp:coreProperties>
</file>