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G49" i="43"/>
  <c r="G50" i="43"/>
  <c r="G51" i="43"/>
  <c r="G52" i="43"/>
  <c r="G53" i="43"/>
  <c r="G54" i="43"/>
  <c r="G55" i="43"/>
  <c r="G56" i="43"/>
  <c r="G48" i="43"/>
  <c r="U2" i="43"/>
  <c r="D29" i="43"/>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c r="E11" i="6"/>
  <c r="E61" i="39" s="1"/>
  <c r="BL17" i="3"/>
  <c r="AZ17" i="3"/>
  <c r="BL13" i="3"/>
  <c r="E65" i="39"/>
  <c r="G30" i="6"/>
  <c r="G31" i="6" s="1"/>
  <c r="J56" i="9"/>
  <c r="J57" i="9" s="1"/>
  <c r="J59" i="9" s="1"/>
  <c r="J61" i="9" s="1"/>
  <c r="A24" i="51"/>
  <c r="B18" i="72"/>
  <c r="U29" i="34"/>
  <c r="E14" i="6"/>
  <c r="E64" i="39" s="1"/>
  <c r="E5" i="6"/>
  <c r="D9" i="11" s="1"/>
  <c r="C9" i="11" s="1"/>
  <c r="E32" i="6"/>
  <c r="L19" i="6"/>
  <c r="G1" i="68"/>
  <c r="K1" i="12"/>
  <c r="F30" i="6"/>
  <c r="E28" i="6"/>
  <c r="E57" i="40"/>
  <c r="AR12" i="1"/>
  <c r="AQ12" i="1"/>
  <c r="T12" i="1"/>
  <c r="AR10" i="1"/>
  <c r="T10"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D9" i="69"/>
  <c r="C9" i="69" s="1"/>
  <c r="AR11" i="1"/>
  <c r="E59" i="40"/>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D9" i="68"/>
  <c r="C9" i="68" s="1"/>
  <c r="K20" i="6"/>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239" i="3"/>
  <c r="E388" i="3"/>
  <c r="E509" i="3"/>
  <c r="O6" i="3"/>
  <c r="E516" i="3"/>
  <c r="E555" i="3"/>
  <c r="E579" i="3"/>
  <c r="E574" i="3"/>
  <c r="E569" i="3"/>
  <c r="E410" i="3"/>
  <c r="E431" i="3"/>
  <c r="E359" i="3"/>
  <c r="E396" i="3"/>
  <c r="E337" i="3"/>
  <c r="E247" i="3"/>
  <c r="E285" i="3"/>
  <c r="E229" i="3"/>
  <c r="E143" i="3"/>
  <c r="E201" i="3"/>
  <c r="E97" i="3"/>
  <c r="E151" i="3"/>
  <c r="E31" i="6"/>
  <c r="K24" i="6"/>
  <c r="M24" i="6" s="1"/>
  <c r="I24" i="6" s="1"/>
  <c r="K14" i="1"/>
  <c r="M14" i="1" s="1"/>
  <c r="BL5" i="3"/>
  <c r="K21" i="6"/>
  <c r="M21" i="6" s="1"/>
  <c r="I21" i="6" s="1"/>
  <c r="E397" i="3"/>
  <c r="E353" i="3"/>
  <c r="E314" i="3"/>
  <c r="E385" i="3"/>
  <c r="E568" i="3"/>
  <c r="E495" i="3"/>
  <c r="E511" i="3"/>
  <c r="E518" i="3"/>
  <c r="I6" i="3"/>
  <c r="AN6" i="3"/>
  <c r="E16" i="3"/>
  <c r="AI6" i="3"/>
  <c r="E536" i="3"/>
  <c r="E586" i="3"/>
  <c r="AK6" i="3"/>
  <c r="E578" i="3"/>
  <c r="E549" i="3"/>
  <c r="E402" i="3"/>
  <c r="E434" i="3"/>
  <c r="E423" i="3"/>
  <c r="E453" i="3"/>
  <c r="E350" i="3"/>
  <c r="E306"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M19" i="6"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M20" i="6"/>
  <c r="I20" i="6" s="1"/>
  <c r="AP7" i="1"/>
  <c r="M7" i="1"/>
  <c r="O7" i="1" s="1"/>
  <c r="P7" i="1" s="1"/>
  <c r="Q16" i="1"/>
  <c r="F27" i="69" s="1"/>
  <c r="H16" i="1"/>
  <c r="AB45" i="21"/>
  <c r="AC33" i="21"/>
  <c r="W33" i="21"/>
  <c r="S33" i="21"/>
  <c r="AA33" i="21"/>
  <c r="W32" i="21"/>
  <c r="AC32" i="21"/>
  <c r="AB9" i="21"/>
  <c r="U9" i="21"/>
  <c r="AA32" i="21"/>
  <c r="S32" i="21"/>
  <c r="W9" i="21"/>
  <c r="AC9" i="21"/>
  <c r="AB32" i="21"/>
  <c r="U32" i="21"/>
  <c r="AA10" i="21"/>
  <c r="S10" i="21"/>
  <c r="T7" i="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F27" i="11"/>
  <c r="AC11" i="37"/>
  <c r="W11" i="37"/>
  <c r="W11" i="34"/>
  <c r="AC11" i="34"/>
  <c r="M19" i="9"/>
  <c r="C118" i="9" s="1"/>
  <c r="C14" i="74" s="1"/>
  <c r="B2" i="74" s="1"/>
  <c r="D19" i="6"/>
  <c r="D25" i="6"/>
  <c r="D26" i="6"/>
  <c r="D15" i="6"/>
  <c r="C18" i="4"/>
  <c r="D22" i="6"/>
  <c r="D8" i="6"/>
  <c r="D21" i="6"/>
  <c r="D23" i="6"/>
  <c r="D24" i="6"/>
  <c r="D14" i="6"/>
  <c r="D20" i="6"/>
  <c r="R7" i="1"/>
  <c r="D5" i="6"/>
  <c r="D12" i="6"/>
  <c r="D9" i="6"/>
  <c r="D11" i="6"/>
  <c r="D10" i="6"/>
  <c r="D13" i="6"/>
  <c r="L19" i="9"/>
  <c r="D28" i="6"/>
  <c r="D30" i="6" s="1"/>
  <c r="D29" i="6"/>
  <c r="E61" i="40"/>
  <c r="F34" i="11"/>
  <c r="C37" i="11" s="1"/>
  <c r="F11" i="12"/>
  <c r="C23" i="12" s="1"/>
  <c r="F34" i="68"/>
  <c r="C47" i="11"/>
  <c r="D45" i="11" s="1"/>
  <c r="R8" i="1"/>
  <c r="D16" i="6"/>
  <c r="A7" i="51"/>
  <c r="B7" i="72" s="1"/>
  <c r="C4" i="52"/>
  <c r="B45" i="72" s="1"/>
  <c r="A10" i="51"/>
  <c r="B9" i="72" s="1"/>
  <c r="D27" i="6"/>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AD3" i="71"/>
  <c r="J1" i="73"/>
  <c r="C13" i="12"/>
  <c r="C77" i="9"/>
  <c r="C74" i="9" s="1"/>
  <c r="H77" i="43"/>
  <c r="H76" i="43"/>
  <c r="H67" i="43"/>
  <c r="H59" i="43"/>
  <c r="H60" i="43"/>
  <c r="H61" i="43"/>
  <c r="M4" i="43"/>
  <c r="M5" i="43"/>
  <c r="N12" i="43"/>
  <c r="N11" i="43"/>
  <c r="M10" i="43"/>
  <c r="M2" i="43"/>
  <c r="M7" i="43"/>
  <c r="H70" i="43"/>
  <c r="N9" i="43"/>
  <c r="M8" i="43"/>
  <c r="N10" i="43"/>
  <c r="F48" i="43" s="1"/>
  <c r="H74" i="43"/>
  <c r="M6" i="43"/>
  <c r="N7" i="43"/>
  <c r="N4" i="43"/>
  <c r="N2"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22" i="67"/>
  <c r="M26" i="15"/>
  <c r="M28" i="15"/>
  <c r="C76" i="15"/>
  <c r="M23" i="15"/>
  <c r="F4" i="73"/>
  <c r="D5" i="73"/>
  <c r="F8" i="67"/>
  <c r="D2" i="21"/>
  <c r="L47" i="15"/>
  <c r="F9" i="67"/>
  <c r="F43" i="15"/>
  <c r="F7" i="67"/>
  <c r="F42" i="67"/>
  <c r="AO12" i="1"/>
  <c r="E7" i="76"/>
  <c r="F3" i="73"/>
  <c r="M8" i="67"/>
  <c r="F38" i="15"/>
  <c r="M21" i="67"/>
  <c r="F37" i="67"/>
  <c r="M27" i="67"/>
  <c r="L48" i="15"/>
  <c r="D2" i="37"/>
  <c r="D7" i="73"/>
  <c r="F20" i="31"/>
  <c r="E2" i="68"/>
  <c r="M27" i="15"/>
  <c r="F41" i="67"/>
  <c r="E10" i="76"/>
  <c r="B7" i="76"/>
  <c r="M24" i="67"/>
  <c r="F42" i="15"/>
  <c r="M28" i="67"/>
  <c r="M9" i="15"/>
  <c r="B10" i="76"/>
  <c r="L48" i="67"/>
  <c r="E8" i="76"/>
  <c r="F26" i="15"/>
  <c r="F8" i="15"/>
  <c r="J15" i="67"/>
  <c r="F35" i="67"/>
  <c r="AO7" i="1"/>
  <c r="B11" i="76"/>
  <c r="F5" i="73"/>
  <c r="D2" i="33"/>
  <c r="B9" i="76"/>
  <c r="M29" i="15"/>
  <c r="M29" i="67"/>
  <c r="F13" i="67"/>
  <c r="C14" i="15"/>
  <c r="F6" i="73"/>
  <c r="F9" i="15"/>
  <c r="F37" i="15"/>
  <c r="M22" i="15"/>
  <c r="F6" i="67"/>
  <c r="AO10" i="1"/>
  <c r="E12" i="76"/>
  <c r="E2" i="69"/>
  <c r="D6" i="73"/>
  <c r="B13" i="76"/>
  <c r="D2" i="36"/>
  <c r="M6" i="15"/>
  <c r="AO13" i="1"/>
  <c r="D2" i="34"/>
  <c r="L47" i="67"/>
  <c r="AO9" i="1"/>
  <c r="F6" i="15"/>
  <c r="J15" i="15"/>
  <c r="M24" i="15"/>
  <c r="F26" i="67"/>
  <c r="F36" i="15"/>
  <c r="F36" i="67"/>
  <c r="D34" i="9"/>
  <c r="F16" i="15"/>
  <c r="F43" i="67"/>
  <c r="D35" i="9"/>
  <c r="F40" i="15"/>
  <c r="B8" i="76"/>
  <c r="M8" i="15"/>
  <c r="E13" i="76"/>
  <c r="F38" i="67"/>
  <c r="M26" i="67"/>
  <c r="D2" i="35"/>
  <c r="M6" i="67"/>
  <c r="F40" i="67"/>
  <c r="D4" i="73"/>
  <c r="AO8" i="1"/>
  <c r="F7" i="15"/>
  <c r="B12" i="76"/>
  <c r="E11" i="76"/>
  <c r="C76" i="67"/>
  <c r="F16" i="67"/>
  <c r="E9" i="76"/>
  <c r="F7" i="73"/>
  <c r="D3" i="73"/>
  <c r="M9" i="67"/>
  <c r="M23" i="67"/>
  <c r="F13" i="15"/>
  <c r="AO11" i="1"/>
  <c r="P61" i="15" l="1"/>
  <c r="E11" i="43"/>
  <c r="E9" i="43"/>
  <c r="E10" i="43"/>
  <c r="E8" i="43"/>
  <c r="H52" i="43"/>
  <c r="H56" i="43"/>
  <c r="H55" i="43"/>
  <c r="H54" i="43"/>
  <c r="H48" i="43"/>
  <c r="H49" i="43"/>
  <c r="H51" i="43"/>
  <c r="E41" i="43"/>
  <c r="C41" i="43" s="1"/>
  <c r="G17" i="43"/>
  <c r="C16" i="43" s="1"/>
  <c r="D5" i="43" s="1"/>
  <c r="H53" i="43"/>
  <c r="H50" i="43"/>
  <c r="C29" i="11"/>
  <c r="D27" i="11" s="1"/>
  <c r="C36" i="69"/>
  <c r="C94" i="9"/>
  <c r="C92" i="9"/>
  <c r="F30" i="69"/>
  <c r="F48" i="69" s="1"/>
  <c r="F52" i="9"/>
  <c r="D68" i="9"/>
  <c r="F28" i="15"/>
  <c r="F32" i="67"/>
  <c r="F60" i="67" s="1"/>
  <c r="F28" i="67"/>
  <c r="C28" i="67" s="1"/>
  <c r="C30" i="69"/>
  <c r="C30" i="11"/>
  <c r="F54" i="9"/>
  <c r="M18" i="15"/>
  <c r="F32" i="15"/>
  <c r="F60" i="15" s="1"/>
  <c r="M18" i="67"/>
  <c r="F31" i="12"/>
  <c r="C31" i="12" s="1"/>
  <c r="F30" i="68"/>
  <c r="F53" i="9"/>
  <c r="C21" i="69"/>
  <c r="C36" i="11"/>
  <c r="D22" i="67"/>
  <c r="AR7" i="1"/>
  <c r="S6" i="1"/>
  <c r="F31" i="6"/>
  <c r="I6" i="6" s="1"/>
  <c r="D31" i="6"/>
  <c r="E6" i="6"/>
  <c r="D19" i="12"/>
  <c r="C19" i="12" s="1"/>
  <c r="E56" i="40"/>
  <c r="O14" i="1"/>
  <c r="P14" i="1"/>
  <c r="O11" i="1"/>
  <c r="P11" i="1" s="1"/>
  <c r="M16" i="1"/>
  <c r="M27" i="6"/>
  <c r="I19" i="6"/>
  <c r="S24" i="6"/>
  <c r="H24" i="6"/>
  <c r="E66" i="39"/>
  <c r="C34" i="68"/>
  <c r="C38" i="68" s="1"/>
  <c r="K16" i="1"/>
  <c r="C20" i="11"/>
  <c r="C28" i="11" s="1"/>
  <c r="C27" i="11" s="1"/>
  <c r="S23" i="6"/>
  <c r="H23" i="6"/>
  <c r="R23" i="6" s="1"/>
  <c r="S25" i="6"/>
  <c r="H25" i="6"/>
  <c r="R25" i="6" s="1"/>
  <c r="S21" i="6"/>
  <c r="H21" i="6"/>
  <c r="R21" i="6" s="1"/>
  <c r="I5" i="6"/>
  <c r="S20" i="6"/>
  <c r="H20" i="6"/>
  <c r="H22" i="6"/>
  <c r="R22" i="6" s="1"/>
  <c r="S22" i="6"/>
  <c r="S26" i="6"/>
  <c r="H26" i="6"/>
  <c r="R26" i="6" s="1"/>
  <c r="P6"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E320" i="3"/>
  <c r="C34" i="11"/>
  <c r="C38" i="11" s="1"/>
  <c r="R20" i="6"/>
  <c r="R24" i="6"/>
  <c r="O12" i="1"/>
  <c r="P12" i="1" s="1"/>
  <c r="O9" i="1"/>
  <c r="P9" i="1" s="1"/>
  <c r="O8"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AA5" i="71"/>
  <c r="AB5" i="71"/>
  <c r="X5" i="71"/>
  <c r="Y5" i="71"/>
  <c r="Z5" i="71" s="1"/>
  <c r="D12" i="52"/>
  <c r="D127" i="9"/>
  <c r="D13" i="52" s="1"/>
  <c r="E70" i="39"/>
  <c r="C28" i="15"/>
  <c r="C48" i="69"/>
  <c r="C5" i="43"/>
  <c r="T11" i="43" s="1"/>
  <c r="V11" i="43" s="1"/>
  <c r="D7" i="74"/>
  <c r="D8" i="74"/>
  <c r="C7" i="74"/>
  <c r="C8" i="74"/>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C29" i="68"/>
  <c r="D27" i="68" s="1"/>
  <c r="F45" i="68"/>
  <c r="D9" i="53"/>
  <c r="B25" i="72" s="1"/>
  <c r="B24" i="72"/>
  <c r="K120" i="9"/>
  <c r="A18" i="62" s="1"/>
  <c r="B64" i="72" s="1"/>
  <c r="D12" i="71"/>
  <c r="C11" i="71"/>
  <c r="T12" i="43"/>
  <c r="V12" i="43" s="1"/>
  <c r="Y13" i="71"/>
  <c r="Z13" i="71" s="1"/>
  <c r="Y12" i="71"/>
  <c r="AA13" i="71"/>
  <c r="AB3" i="71"/>
  <c r="C47" i="68"/>
  <c r="D45" i="68" s="1"/>
  <c r="T9" i="43"/>
  <c r="V9" i="43"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17" i="15"/>
  <c r="C16" i="15"/>
  <c r="C14" i="67"/>
  <c r="C17" i="67"/>
  <c r="G1" i="73"/>
  <c r="C16" i="67"/>
  <c r="T14" i="43" l="1"/>
  <c r="V14" i="43" s="1"/>
  <c r="C36" i="43"/>
  <c r="E36" i="43" s="1"/>
  <c r="C34" i="43"/>
  <c r="C38" i="43"/>
  <c r="G38" i="43" s="1"/>
  <c r="I38" i="43" s="1"/>
  <c r="C35" i="43"/>
  <c r="E35" i="43" s="1"/>
  <c r="C39" i="43"/>
  <c r="G39" i="43" s="1"/>
  <c r="I39" i="43" s="1"/>
  <c r="C37" i="43"/>
  <c r="E37" i="43" s="1"/>
  <c r="C33" i="43"/>
  <c r="E33" i="43" s="1"/>
  <c r="T13" i="43"/>
  <c r="V13" i="43" s="1"/>
  <c r="T10" i="43"/>
  <c r="V10" i="43" s="1"/>
  <c r="F48" i="68"/>
  <c r="C30" i="68"/>
  <c r="C48" i="68"/>
  <c r="O16" i="1"/>
  <c r="AQ6" i="1"/>
  <c r="AR6" i="1"/>
  <c r="T6" i="1"/>
  <c r="T16" i="1" s="1"/>
  <c r="S16" i="1"/>
  <c r="C35" i="11"/>
  <c r="C33" i="11" s="1"/>
  <c r="C39" i="11" s="1"/>
  <c r="C46" i="11" s="1"/>
  <c r="C45" i="11" s="1"/>
  <c r="D10" i="68"/>
  <c r="D20" i="12"/>
  <c r="C20" i="12" s="1"/>
  <c r="D10" i="69"/>
  <c r="D10" i="11"/>
  <c r="C10" i="11" s="1"/>
  <c r="D6" i="6"/>
  <c r="D22" i="43"/>
  <c r="H19" i="6"/>
  <c r="S19" i="6"/>
  <c r="S27" i="6" s="1"/>
  <c r="I27" i="6"/>
  <c r="N16" i="1"/>
  <c r="L16" i="1"/>
  <c r="P8" i="1"/>
  <c r="P16" i="1" s="1"/>
  <c r="C11" i="12" s="1"/>
  <c r="N102" i="43"/>
  <c r="N105" i="43"/>
  <c r="N104" i="43"/>
  <c r="N103" i="43"/>
  <c r="N106" i="43"/>
  <c r="N107" i="43"/>
  <c r="N109"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J10" i="40"/>
  <c r="W10" i="40" s="1"/>
  <c r="H10" i="39"/>
  <c r="AB10" i="39" s="1"/>
  <c r="F10" i="40"/>
  <c r="S10" i="40" s="1"/>
  <c r="J10" i="39"/>
  <c r="AC10" i="39" s="1"/>
  <c r="H10" i="40"/>
  <c r="U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P25" i="43"/>
  <c r="P23" i="43"/>
  <c r="B71" i="39" s="1"/>
  <c r="E38" i="43"/>
  <c r="G34" i="43"/>
  <c r="I34" i="43" s="1"/>
  <c r="E34" i="43"/>
  <c r="G33" i="43"/>
  <c r="I33" i="43"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G36" i="43"/>
  <c r="I36" i="43" s="1"/>
  <c r="W10" i="39"/>
  <c r="AC10" i="40"/>
  <c r="C10" i="69"/>
  <c r="C8" i="69" s="1"/>
  <c r="C5" i="69" s="1"/>
  <c r="D19" i="69"/>
  <c r="C10" i="68"/>
  <c r="B29" i="1" s="1"/>
  <c r="C8" i="68" s="1"/>
  <c r="D19" i="68"/>
  <c r="U10" i="39"/>
  <c r="H27" i="6"/>
  <c r="R19" i="6"/>
  <c r="F50" i="69"/>
  <c r="F50" i="68"/>
  <c r="F50" i="11"/>
  <c r="C15" i="12"/>
  <c r="C12" i="12"/>
  <c r="C115" i="43"/>
  <c r="D113" i="43" s="1"/>
  <c r="S6" i="43"/>
  <c r="T6" i="43" s="1"/>
  <c r="V6" i="43" s="1"/>
  <c r="S4" i="43"/>
  <c r="T4" i="43" s="1"/>
  <c r="V4" i="43" s="1"/>
  <c r="S5" i="43"/>
  <c r="T5" i="43" s="1"/>
  <c r="V5" i="43" s="1"/>
  <c r="S3" i="43"/>
  <c r="T3" i="43" s="1"/>
  <c r="V3" i="43" s="1"/>
  <c r="S2" i="43"/>
  <c r="T2" i="43" s="1"/>
  <c r="V2" i="43" s="1"/>
  <c r="C23" i="43"/>
  <c r="C21" i="43" s="1"/>
  <c r="C29" i="43" s="1"/>
  <c r="S7" i="43"/>
  <c r="T7" i="43" s="1"/>
  <c r="V7" i="43" s="1"/>
  <c r="AA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C18" i="12" l="1"/>
  <c r="R27" i="6"/>
  <c r="R6" i="1"/>
  <c r="C19" i="68"/>
  <c r="D37" i="68"/>
  <c r="C37" i="68" s="1"/>
  <c r="C33" i="68" s="1"/>
  <c r="C39" i="68" s="1"/>
  <c r="C46" i="68" s="1"/>
  <c r="C45" i="68" s="1"/>
  <c r="C19" i="69"/>
  <c r="D37" i="69"/>
  <c r="C37" i="69" s="1"/>
  <c r="C33" i="69" s="1"/>
  <c r="C42" i="69" s="1"/>
  <c r="C20" i="69"/>
  <c r="C28" i="69" s="1"/>
  <c r="C27" i="69" s="1"/>
  <c r="C16" i="12"/>
  <c r="C21" i="12" s="1"/>
  <c r="C30" i="43"/>
  <c r="E30" i="43" s="1"/>
  <c r="C27" i="43" s="1"/>
  <c r="E29" i="43"/>
  <c r="C26" i="43" s="1"/>
  <c r="B2" i="43" s="1"/>
  <c r="C6" i="68" s="1"/>
  <c r="C7" i="68"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4" i="68"/>
  <c r="D41" i="68" s="1"/>
  <c r="C26" i="68"/>
  <c r="D22" i="68" s="1"/>
  <c r="C24" i="68"/>
  <c r="C26" i="12"/>
  <c r="D25" i="12" s="1"/>
  <c r="C44" i="11"/>
  <c r="D41" i="11" s="1"/>
  <c r="C23" i="11"/>
  <c r="C24" i="11"/>
  <c r="C43" i="11"/>
  <c r="C25" i="11"/>
  <c r="C26" i="11"/>
  <c r="D22" i="11" s="1"/>
  <c r="C42" i="11"/>
  <c r="C38" i="67"/>
  <c r="C38" i="15"/>
  <c r="C66" i="67"/>
  <c r="C60" i="67"/>
  <c r="C23" i="67"/>
  <c r="C29" i="67" s="1"/>
  <c r="F35" i="15"/>
  <c r="M21" i="15"/>
  <c r="E6" i="76"/>
  <c r="B6" i="76"/>
  <c r="C5" i="68" l="1"/>
  <c r="C23" i="68" s="1"/>
  <c r="J20" i="15"/>
  <c r="C34" i="15"/>
  <c r="F63" i="15"/>
  <c r="C62" i="15" s="1"/>
  <c r="R16" i="1"/>
  <c r="C43" i="68"/>
  <c r="C42" i="68"/>
  <c r="C25" i="69"/>
  <c r="C22" i="69" s="1"/>
  <c r="C31" i="69" s="1"/>
  <c r="C39" i="69"/>
  <c r="C43" i="69" s="1"/>
  <c r="C41" i="69" s="1"/>
  <c r="C22" i="12"/>
  <c r="C30" i="12" s="1"/>
  <c r="C28"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17" i="15" s="1"/>
  <c r="J59" i="15"/>
  <c r="J60" i="15" s="1"/>
  <c r="C41" i="11"/>
  <c r="C49" i="11" s="1"/>
  <c r="C51" i="11" s="1"/>
  <c r="C22" i="11"/>
  <c r="C31" i="11" s="1"/>
  <c r="C36" i="67"/>
  <c r="C33" i="67"/>
  <c r="C31" i="67" s="1"/>
  <c r="J14" i="67"/>
  <c r="C13" i="67"/>
  <c r="J19" i="67"/>
  <c r="J17" i="67" s="1"/>
  <c r="C57" i="67"/>
  <c r="C61" i="67" s="1"/>
  <c r="Q49" i="67"/>
  <c r="J59" i="67"/>
  <c r="J60" i="67" s="1"/>
  <c r="C31" i="15" l="1"/>
  <c r="C20" i="68"/>
  <c r="C25" i="68" s="1"/>
  <c r="C22" i="68" s="1"/>
  <c r="C41" i="68"/>
  <c r="C49" i="68" s="1"/>
  <c r="C51" i="68" s="1"/>
  <c r="C28" i="68"/>
  <c r="C27" i="68" s="1"/>
  <c r="C31" i="68" s="1"/>
  <c r="C46" i="69"/>
  <c r="C45" i="69" s="1"/>
  <c r="C49" i="69" s="1"/>
  <c r="C51" i="69" s="1"/>
  <c r="C52" i="69" s="1"/>
  <c r="B2" i="69" s="1"/>
  <c r="B3" i="69" s="1"/>
  <c r="B3" i="76"/>
  <c r="C27" i="12"/>
  <c r="C25" i="12" s="1"/>
  <c r="C32" i="12" s="1"/>
  <c r="B2" i="12" s="1"/>
  <c r="B3" i="12"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L51" i="67"/>
  <c r="C30" i="15" l="1"/>
  <c r="C39" i="15" s="1"/>
  <c r="C52" i="68"/>
  <c r="B2"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16" i="67"/>
  <c r="J25" i="67" s="1"/>
  <c r="C80" i="67"/>
  <c r="C79" i="67" s="1"/>
  <c r="C80" i="15"/>
  <c r="C79" i="15" s="1"/>
  <c r="C58" i="67"/>
  <c r="C67" i="67" s="1"/>
  <c r="C68" i="67" s="1"/>
  <c r="Q69" i="15"/>
  <c r="Q68" i="15" s="1"/>
  <c r="Q69" i="67"/>
  <c r="Q68" i="67" s="1"/>
  <c r="C40" i="67"/>
  <c r="C57" i="69"/>
  <c r="C56" i="69" s="1"/>
  <c r="L51" i="15"/>
  <c r="C19" i="9"/>
  <c r="C40" i="15" l="1"/>
  <c r="Q65" i="15" s="1"/>
  <c r="C21" i="9"/>
  <c r="C102" i="9"/>
  <c r="B3"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C20" i="9"/>
  <c r="C83" i="15" l="1"/>
  <c r="C82" i="15" s="1"/>
  <c r="C43" i="15"/>
  <c r="C46" i="15"/>
  <c r="Q47" i="15"/>
  <c r="Q53" i="15" s="1"/>
  <c r="B2" i="15"/>
  <c r="B3" i="15" s="1"/>
  <c r="C103" i="9"/>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D20" i="9"/>
  <c r="B6" i="70" l="1"/>
  <c r="B2" i="70" s="1"/>
  <c r="B3" i="70" s="1"/>
  <c r="D102" i="9"/>
  <c r="G19" i="9"/>
  <c r="G21" i="9" s="1"/>
  <c r="D21" i="9"/>
  <c r="D22" i="9"/>
  <c r="D103" i="9"/>
  <c r="G20" i="9"/>
  <c r="C32" i="9" s="1"/>
  <c r="C35" i="9" s="1"/>
  <c r="C34" i="9"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2" i="9"/>
  <c r="D53" i="9"/>
  <c r="C6" i="74"/>
  <c r="D6" i="74"/>
  <c r="C104" i="9"/>
  <c r="H4" i="52"/>
  <c r="I4" i="52"/>
  <c r="C105" i="9"/>
  <c r="P57" i="9"/>
  <c r="N58" i="9"/>
  <c r="D5" i="74"/>
  <c r="C5" i="74"/>
  <c r="N60" i="9"/>
  <c r="N61" i="9"/>
  <c r="F14" i="74"/>
  <c r="B5" i="74"/>
  <c r="D14" i="74"/>
  <c r="E14" i="74"/>
  <c r="N59" i="9"/>
  <c r="B32" i="72"/>
  <c r="C93" i="9"/>
  <c r="C86" i="9"/>
  <c r="M55" i="9"/>
  <c r="C81" i="9"/>
  <c r="B47" i="72"/>
  <c r="B21" i="72"/>
  <c r="B6" i="74"/>
  <c r="L68" i="9"/>
  <c r="M68" i="9"/>
  <c r="D59" i="9"/>
  <c r="B49" i="72"/>
  <c r="D8" i="52"/>
  <c r="G14" i="74"/>
  <c r="M48" i="9"/>
  <c r="L66" i="9"/>
  <c r="M66" i="9"/>
  <c r="B51" i="72"/>
  <c r="M54" i="9"/>
  <c r="B30" i="72"/>
  <c r="D13" i="53"/>
  <c r="D14" i="53"/>
  <c r="D4" i="52"/>
  <c r="H102" i="9"/>
  <c r="D7" i="53"/>
  <c r="B22" i="72"/>
  <c r="H119" i="9"/>
  <c r="H5" i="52"/>
  <c r="C67" i="9"/>
  <c r="C68" i="9"/>
  <c r="D54" i="9"/>
  <c r="C64" i="9"/>
  <c r="C63" i="9"/>
  <c r="D6" i="53"/>
  <c r="D5" i="53"/>
  <c r="B20" i="72"/>
  <c r="F4" i="52"/>
  <c r="G4" i="52"/>
  <c r="B52" i="72"/>
  <c r="M69" i="9"/>
  <c r="N69" i="9"/>
  <c r="D122" i="9"/>
  <c r="D123" i="9"/>
  <c r="D9" i="52"/>
  <c r="L64" i="9"/>
  <c r="M64" i="9"/>
  <c r="B48" i="72"/>
  <c r="C78" i="9"/>
  <c r="C73" i="9"/>
  <c r="L65" i="9"/>
  <c r="M65" i="9"/>
  <c r="L67" i="9"/>
  <c r="M67" i="9"/>
  <c r="E4" i="52"/>
  <c r="H108" i="9"/>
  <c r="D15" i="53"/>
  <c r="B31" i="72"/>
  <c r="C96" i="9"/>
  <c r="E96" i="9"/>
  <c r="E97" i="9"/>
  <c r="E118" i="9"/>
  <c r="D118" i="9"/>
  <c r="D119" i="9"/>
  <c r="D5" i="52"/>
  <c r="G118" i="9"/>
  <c r="F118" i="9"/>
  <c r="F119" i="9"/>
  <c r="F5" i="52"/>
  <c r="B53" i="72"/>
  <c r="C85" i="9"/>
  <c r="C95" i="9"/>
  <c r="C97" i="9"/>
  <c r="D58" i="9"/>
  <c r="D56" i="9"/>
  <c r="C72" i="9"/>
  <c r="C79" i="9"/>
  <c r="C80" i="9"/>
  <c r="E80" i="9"/>
  <c r="E81" i="9"/>
  <c r="H107" i="9"/>
  <c r="M49" i="9"/>
  <c r="L63" i="9"/>
  <c r="M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<sst xmlns="http://schemas.openxmlformats.org/spreadsheetml/2006/main" count="7399" uniqueCount="3159">
  <si>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</si>
  <si>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</si>
  <si>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</si>
  <si>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</si>
  <si>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</si>
  <si>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</si>
  <si>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</si>
  <si>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</si>
  <si>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</si>
  <si>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</si>
  <si>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</si>
  <si>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</si>
  <si>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</si>
  <si>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</si>
  <si>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</si>
  <si>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</si>
  <si>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</si>
  <si>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</si>
  <si>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</si>
  <si>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</si>
  <si>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</si>
  <si>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</si>
  <si>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</si>
  <si>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</si>
  <si>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</si>
  <si>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</si>
  <si>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</si>
  <si>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</si>
  <si>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</si>
  <si>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</si>
  <si>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</si>
  <si>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</si>
  <si>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</si>
  <si>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</si>
  <si>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</si>
  <si>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</si>
  <si>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</si>
  <si>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</si>
  <si>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</si>
  <si>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</si>
  <si>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</si>
  <si>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</si>
  <si>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</si>
  <si>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</si>
  <si>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</si>
  <si>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</si>
  <si>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</si>
  <si>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</si>
  <si>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</si>
  <si>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</si>
  <si>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</si>
  <si>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</si>
  <si>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</si>
  <si>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</si>
  <si>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</si>
  <si>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</si>
  <si>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</si>
  <si>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</si>
  <si>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</si>
  <si>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</si>
  <si>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</si>
  <si>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</si>
  <si>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</si>
  <si>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</si>
  <si>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</si>
  <si>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</si>
  <si>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</si>
  <si>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</si>
  <si>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</si>
  <si>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</si>
  <si>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</si>
  <si>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</si>
  <si>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</si>
  <si>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</si>
  <si>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</si>
  <si>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</si>
  <si>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</si>
  <si>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</si>
  <si>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</si>
  <si>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</si>
  <si>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</si>
  <si>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</si>
  <si>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</si>
  <si>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</si>
  <si>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</si>
  <si>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</si>
  <si>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</si>
  <si>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</si>
  <si>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</si>
  <si>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</si>
  <si>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</si>
  <si>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</si>
  <si>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</si>
  <si>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</si>
  <si>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</si>
  <si>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</si>
  <si>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</si>
  <si>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</si>
  <si>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</si>
  <si>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</si>
  <si>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</si>
  <si>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</si>
  <si>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</si>
  <si>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</si>
  <si>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</si>
  <si>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</si>
  <si>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</si>
  <si>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</si>
  <si>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</si>
  <si>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</si>
  <si>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</si>
  <si>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</si>
  <si>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</si>
  <si>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</si>
  <si>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</si>
  <si>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</si>
  <si>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</si>
  <si>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</si>
  <si>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</si>
  <si>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</si>
  <si>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</si>
  <si>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</si>
  <si>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</si>
  <si>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</si>
  <si>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</si>
  <si>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</si>
  <si>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</si>
  <si>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</si>
  <si>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</si>
  <si>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</si>
  <si>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</si>
  <si>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</si>
  <si>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</si>
  <si>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</si>
  <si>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</si>
  <si>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</si>
  <si>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</si>
  <si>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</si>
  <si>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</si>
  <si>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</si>
  <si>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</si>
  <si>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</si>
  <si>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</si>
  <si>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</si>
  <si>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</si>
  <si>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</si>
  <si>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</si>
  <si>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</si>
  <si>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</si>
  <si>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</si>
  <si>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</si>
  <si>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</si>
  <si>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</si>
  <si>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</si>
  <si>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</si>
  <si>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</si>
  <si>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</si>
  <si>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</si>
  <si>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</si>
  <si>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</si>
  <si>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</si>
  <si>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</si>
  <si>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</si>
  <si>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</si>
  <si>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</si>
  <si>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</si>
  <si>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</si>
  <si>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</si>
  <si>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</si>
  <si>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</si>
  <si>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</si>
  <si>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</si>
  <si>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</si>
  <si>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</si>
  <si>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</si>
  <si>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</si>
  <si>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</si>
  <si>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</si>
  <si>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</si>
  <si>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</si>
  <si>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</si>
  <si>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</si>
  <si>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</si>
  <si>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</si>
  <si>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</si>
  <si>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</si>
  <si>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</si>
  <si>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</si>
  <si>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</si>
  <si>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</si>
  <si>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</si>
  <si>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</si>
  <si>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</si>
  <si>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</si>
  <si>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</si>
  <si>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</si>
  <si>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</si>
  <si>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</si>
  <si>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</si>
  <si>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</si>
  <si>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</si>
  <si>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</si>
  <si>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</si>
  <si>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</si>
  <si>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</si>
  <si>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</si>
  <si>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</si>
  <si>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</si>
  <si>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</si>
  <si>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</si>
  <si>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</si>
  <si>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</si>
  <si>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</si>
  <si>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</si>
  <si>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</si>
  <si>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</si>
  <si>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</si>
  <si>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</si>
  <si>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</si>
  <si>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</si>
  <si>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</si>
  <si>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</si>
  <si>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</si>
  <si>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</si>
  <si>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</si>
  <si>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</si>
  <si>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</si>
  <si>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</si>
  <si>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</si>
  <si>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</si>
  <si>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</si>
  <si>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</si>
  <si>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</si>
  <si>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</si>
  <si>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</si>
  <si>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</si>
  <si>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</si>
  <si>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</si>
  <si>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</si>
  <si>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</si>
  <si>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</si>
  <si>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</si>
  <si>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</si>
  <si>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</si>
  <si>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</si>
  <si>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</si>
  <si>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</si>
  <si>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</si>
  <si>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</si>
  <si>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</si>
  <si>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</si>
  <si>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</si>
  <si>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</si>
  <si>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</si>
  <si>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</si>
  <si>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</si>
  <si>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</si>
  <si>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</si>
  <si>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</si>
  <si>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</si>
  <si>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</si>
  <si>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</si>
  <si>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</si>
  <si>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</si>
  <si>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</si>
  <si>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</si>
  <si>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</si>
  <si>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</si>
  <si>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</si>
  <si>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</si>
  <si>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</si>
  <si>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</si>
  <si>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</si>
  <si>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</si>
  <si>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</si>
  <si>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</si>
  <si>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</si>
  <si>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</si>
  <si>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</si>
  <si>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</si>
  <si>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</si>
  <si>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</si>
  <si>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</si>
  <si>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</si>
  <si>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</si>
  <si>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</si>
  <si>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</si>
  <si>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</si>
  <si>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</si>
  <si>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</si>
  <si>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</si>
  <si>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</si>
  <si>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</si>
  <si>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</si>
  <si>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</si>
  <si>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</si>
  <si>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</si>
  <si>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</si>
  <si>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</si>
  <si>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</si>
  <si>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</si>
  <si>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</si>
  <si>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</si>
  <si>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</si>
  <si>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</si>
  <si>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</si>
  <si>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</si>
  <si>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</si>
  <si>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</si>
  <si>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</si>
  <si>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</si>
  <si>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</si>
  <si>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</si>
  <si>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</si>
  <si>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</si>
  <si>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</si>
  <si>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</si>
  <si>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</si>
  <si>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</si>
  <si>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</si>
  <si>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</si>
  <si>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</si>
  <si>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</si>
  <si>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</si>
  <si>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</si>
  <si>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</si>
  <si>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</si>
  <si>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</si>
  <si>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</si>
  <si>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</si>
  <si>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</si>
  <si>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</si>
  <si>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</si>
  <si>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</si>
  <si>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</si>
  <si>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</si>
  <si>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</si>
  <si>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</si>
  <si>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</si>
  <si>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</si>
  <si>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</si>
  <si>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</si>
  <si>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</si>
  <si>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</si>
  <si>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</si>
  <si>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</si>
  <si>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</si>
  <si>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</si>
  <si>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</si>
  <si>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</si>
  <si>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</si>
  <si>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</si>
  <si>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</si>
  <si>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</si>
  <si>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</si>
  <si>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</si>
  <si>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</si>
  <si>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</si>
  <si>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</si>
  <si>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</si>
  <si>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</si>
  <si>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</si>
  <si>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</si>
  <si>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</si>
  <si>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</si>
  <si>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</si>
  <si>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</si>
  <si>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</si>
  <si>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</si>
  <si>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</si>
  <si>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</si>
  <si>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</si>
  <si>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</si>
  <si>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</si>
  <si>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</si>
  <si>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</si>
  <si>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</si>
  <si>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</si>
  <si>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</si>
  <si>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</si>
  <si>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</si>
  <si>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</si>
  <si>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</si>
  <si>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</si>
  <si>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</si>
  <si>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</si>
  <si>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</si>
  <si>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</si>
  <si>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</si>
  <si>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</si>
  <si>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</si>
  <si>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</si>
  <si>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</si>
  <si>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</si>
  <si>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</si>
  <si>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</si>
  <si>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</si>
  <si>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</si>
  <si>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</si>
  <si>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</si>
  <si>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</si>
  <si>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</si>
  <si>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</si>
  <si>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</si>
  <si>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</si>
  <si>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</si>
  <si>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</si>
  <si>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</si>
  <si>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</si>
  <si>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</si>
  <si>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</si>
  <si>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</si>
  <si>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</si>
  <si>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</si>
  <si>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</si>
  <si>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</si>
  <si>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</si>
  <si>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</si>
  <si>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</si>
  <si>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</si>
  <si>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</si>
  <si>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</si>
  <si>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</si>
  <si>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</si>
  <si>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</si>
  <si>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</si>
  <si>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</si>
  <si>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</si>
  <si>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</si>
  <si>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</si>
  <si>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</si>
  <si>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</si>
  <si>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</si>
  <si>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</si>
  <si>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</si>
  <si>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</si>
  <si>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</si>
  <si>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</si>
  <si>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</si>
  <si>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</si>
  <si>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</si>
  <si>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</si>
  <si>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</si>
  <si>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</si>
  <si>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</si>
  <si>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</si>
  <si>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</si>
  <si>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</si>
  <si>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</si>
  <si>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</si>
  <si>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</si>
  <si>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</si>
  <si>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</si>
  <si>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</si>
  <si>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</si>
  <si>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</si>
  <si>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</si>
  <si>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</si>
  <si>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</si>
  <si>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</si>
  <si>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</si>
  <si>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</si>
  <si>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</si>
  <si>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</si>
  <si>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</si>
  <si>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</si>
  <si>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</si>
  <si>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</si>
  <si>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</si>
  <si>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</si>
  <si>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</si>
  <si>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</si>
  <si>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</si>
  <si>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</si>
  <si>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</si>
  <si>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</si>
  <si>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</si>
  <si>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</si>
  <si>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</si>
  <si>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</si>
  <si>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</si>
  <si>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</si>
  <si>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</si>
  <si>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</si>
  <si>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</si>
  <si>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</si>
  <si>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</si>
  <si>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</si>
  <si>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</si>
  <si>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</si>
  <si>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</si>
  <si>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</si>
  <si>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</si>
  <si>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</si>
  <si>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</si>
  <si>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</si>
  <si>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</si>
  <si>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</si>
  <si>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</si>
  <si>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</si>
  <si>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</si>
  <si>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</si>
  <si>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</si>
  <si>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</si>
  <si>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</si>
  <si>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</si>
  <si>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</si>
  <si>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</si>
  <si>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</si>
  <si>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</si>
  <si>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</si>
  <si>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</si>
  <si>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</si>
  <si>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</si>
  <si>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</si>
  <si>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</si>
  <si>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</si>
  <si>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</si>
  <si>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</si>
  <si>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</si>
  <si>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</si>
  <si>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</si>
  <si>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</si>
  <si>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</si>
  <si>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</si>
  <si>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</si>
  <si>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</si>
  <si>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</si>
  <si>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</si>
  <si>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</si>
  <si>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</si>
  <si>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</si>
  <si>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</si>
  <si>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</si>
  <si>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</si>
  <si>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</si>
  <si>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</si>
  <si>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</si>
  <si>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</si>
  <si>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</si>
  <si>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</si>
  <si>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</si>
  <si>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</si>
  <si>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</si>
  <si>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</si>
  <si>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</si>
  <si>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</si>
  <si>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</si>
  <si>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</si>
  <si>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</si>
  <si>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</si>
  <si>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</si>
  <si>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</si>
  <si>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</si>
  <si>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</si>
  <si>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</si>
  <si>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</si>
  <si>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</si>
  <si>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</si>
  <si>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</si>
  <si>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</si>
  <si>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</si>
  <si>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</si>
  <si>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</si>
  <si>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</si>
  <si>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</si>
  <si>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</si>
  <si>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</si>
  <si>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</si>
  <si>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</si>
  <si>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</si>
  <si>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</si>
  <si>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</si>
  <si>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</si>
  <si>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</si>
  <si>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</si>
  <si>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</si>
  <si>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</si>
  <si>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</si>
  <si>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</si>
  <si>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</si>
  <si>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</si>
  <si>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</si>
  <si>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</si>
  <si>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</si>
  <si>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</si>
  <si>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</si>
  <si>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</si>
  <si>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</si>
  <si>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</si>
  <si>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</si>
  <si>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</si>
  <si>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</si>
  <si>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</si>
  <si>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</si>
  <si>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</si>
  <si>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</si>
  <si>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</si>
  <si>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</si>
  <si>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</si>
  <si>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</si>
  <si>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</si>
  <si>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</si>
  <si>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</si>
  <si>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</si>
  <si>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</si>
  <si>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</si>
  <si>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</si>
  <si>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</si>
  <si>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</si>
  <si>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</si>
  <si>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</si>
  <si>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</si>
  <si>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</si>
  <si>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</si>
  <si>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</si>
  <si>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</si>
  <si>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</si>
  <si>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</si>
  <si>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</si>
  <si>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</si>
  <si>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</si>
  <si>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</si>
  <si>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</si>
  <si>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</si>
  <si>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</si>
  <si>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</si>
  <si>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</si>
  <si>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</si>
  <si>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</si>
  <si>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</si>
  <si>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</si>
  <si>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</si>
  <si>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</si>
  <si>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</si>
  <si>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</si>
  <si>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</si>
  <si>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</si>
  <si>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</si>
  <si>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</si>
  <si>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</si>
  <si>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</si>
  <si>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</si>
  <si>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</si>
  <si>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</si>
  <si>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</si>
  <si>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</si>
  <si>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</si>
  <si>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</si>
  <si>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</si>
  <si>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</si>
  <si>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</si>
  <si>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</si>
  <si>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</si>
  <si>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</si>
  <si>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</si>
  <si>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</si>
  <si>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</si>
  <si>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</si>
  <si>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</si>
  <si>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</si>
  <si>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</si>
  <si>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</si>
  <si>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</si>
  <si>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</si>
  <si>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</si>
  <si>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</si>
  <si>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</si>
  <si>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</si>
  <si>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</si>
  <si>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</si>
  <si>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</si>
  <si>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</si>
  <si>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</si>
  <si>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</si>
  <si>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</si>
  <si>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</si>
  <si>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</si>
  <si>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</si>
  <si>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</si>
  <si>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</si>
  <si>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</si>
  <si>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</si>
  <si>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</si>
  <si>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</si>
  <si>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</si>
  <si>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</si>
  <si>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</si>
  <si>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</si>
  <si>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</si>
  <si>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</si>
  <si>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</si>
  <si>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</si>
  <si>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</si>
  <si>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</si>
  <si>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</si>
  <si>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</si>
  <si>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</si>
  <si>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</si>
  <si>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</si>
  <si>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</si>
  <si>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</si>
  <si>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</si>
  <si>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</si>
  <si>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</si>
  <si>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</si>
  <si>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</si>
  <si>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</si>
  <si>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</si>
  <si>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</si>
  <si>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</si>
  <si>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</si>
  <si>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</si>
  <si>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</si>
  <si>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</si>
  <si>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</si>
  <si>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</si>
  <si>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</si>
  <si>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</si>
  <si>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</si>
  <si>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</si>
  <si>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</si>
  <si>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</si>
  <si>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</si>
  <si>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</si>
  <si>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</si>
  <si>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</si>
  <si>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</si>
  <si>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</si>
  <si>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</si>
  <si>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</si>
  <si>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</si>
  <si>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</si>
  <si>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</si>
  <si>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</si>
  <si>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</si>
  <si>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</si>
  <si>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</si>
  <si>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</si>
  <si>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</si>
  <si>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</si>
  <si>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</si>
  <si>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</si>
  <si>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</si>
  <si>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</si>
  <si>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</si>
  <si>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</si>
  <si>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</si>
  <si>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</si>
  <si>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</si>
  <si>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</si>
  <si>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</si>
  <si>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</si>
  <si>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</si>
  <si>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</si>
  <si>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</si>
  <si>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</si>
  <si>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</si>
  <si>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</si>
  <si>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</si>
  <si>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</si>
  <si>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</si>
  <si>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</si>
  <si>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</si>
  <si>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</si>
  <si>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</si>
  <si>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</si>
  <si>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</si>
  <si>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</si>
  <si>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</si>
  <si>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</si>
  <si>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</si>
  <si>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</si>
  <si>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</si>
  <si>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</si>
  <si>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</si>
  <si>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</si>
  <si>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</si>
  <si>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</si>
  <si>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</si>
  <si>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</si>
  <si>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</si>
  <si>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</si>
  <si>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</si>
  <si>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</si>
  <si>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</si>
  <si>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</si>
  <si>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</si>
  <si>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</si>
  <si>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</si>
  <si>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</si>
  <si>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</si>
  <si>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</si>
  <si>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</si>
  <si>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</si>
  <si>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</si>
  <si>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</si>
  <si>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</si>
  <si>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</si>
  <si>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</si>
  <si>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</si>
  <si>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</si>
  <si>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</si>
  <si>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</si>
  <si>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</si>
  <si>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</si>
  <si>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</si>
  <si>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</si>
  <si>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</si>
  <si>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</si>
  <si>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</si>
  <si>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</si>
  <si>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</si>
  <si>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</si>
  <si>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</si>
  <si>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</si>
  <si>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</si>
  <si>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</si>
  <si>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</si>
  <si>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</si>
  <si>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</si>
  <si>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</si>
  <si>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</si>
  <si>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</si>
  <si>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</si>
  <si>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</si>
  <si>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</si>
  <si>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</si>
  <si>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</si>
  <si>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</si>
  <si>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</si>
  <si>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</si>
  <si>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</si>
  <si>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</si>
  <si>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</si>
  <si>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</si>
  <si>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</si>
  <si>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</si>
  <si>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</si>
  <si>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</si>
  <si>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</si>
  <si>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</si>
  <si>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</si>
  <si>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</si>
  <si>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</si>
  <si>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</si>
  <si>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</si>
  <si>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</si>
  <si>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</si>
  <si>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</si>
  <si>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</si>
  <si>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</si>
  <si>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</si>
  <si>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</si>
  <si>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</si>
  <si>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</si>
  <si>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</si>
  <si>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</si>
  <si>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</si>
  <si>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</si>
  <si>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</si>
  <si>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</si>
  <si>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</si>
  <si>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</si>
  <si>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</si>
  <si>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</si>
  <si>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</si>
  <si>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</si>
  <si>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</si>
  <si>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</si>
  <si>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</si>
  <si>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</si>
  <si>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</si>
  <si>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</si>
  <si>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</si>
  <si>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</si>
  <si>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</si>
  <si>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</si>
  <si>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</si>
  <si>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</si>
  <si>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</si>
  <si>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</si>
  <si>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</si>
  <si>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</si>
  <si>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</si>
  <si>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</si>
  <si>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</si>
  <si>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</si>
  <si>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</si>
  <si>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</si>
  <si>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</si>
  <si>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</si>
  <si>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</si>
  <si>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</si>
  <si>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</si>
  <si>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</si>
  <si>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</si>
  <si>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</si>
  <si>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</si>
  <si>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</si>
  <si>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</si>
  <si>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</si>
  <si>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</si>
  <si>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</si>
  <si>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</si>
  <si>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</si>
  <si>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</si>
  <si>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</si>
  <si>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</si>
  <si>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</si>
  <si>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</si>
  <si>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</si>
  <si>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</si>
  <si>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</si>
  <si>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</si>
  <si>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</si>
  <si>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</si>
  <si>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</si>
  <si>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</si>
  <si>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</si>
  <si>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</si>
  <si>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</si>
  <si>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</si>
  <si>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</si>
  <si>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</si>
  <si>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</si>
  <si>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</si>
  <si>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</si>
  <si>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</si>
  <si>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</si>
  <si>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</si>
  <si>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</si>
  <si>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</si>
  <si>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</si>
  <si>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</si>
  <si>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</si>
  <si>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</si>
  <si>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</si>
  <si>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</si>
  <si>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</si>
  <si>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</si>
  <si>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</si>
  <si>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</si>
  <si>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</si>
  <si>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</si>
  <si>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</si>
  <si>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</si>
  <si>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</si>
  <si>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</si>
  <si>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</si>
  <si>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</si>
  <si>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</si>
  <si>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</si>
  <si>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</si>
  <si>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</si>
  <si>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</si>
  <si>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</si>
  <si>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</si>
  <si>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</si>
  <si>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</si>
  <si>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</si>
  <si>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</si>
  <si>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</si>
  <si>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</si>
  <si>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</si>
  <si>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</si>
  <si>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</si>
  <si>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</si>
  <si>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</si>
  <si>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</si>
  <si>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</si>
  <si>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</si>
  <si>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</si>
  <si>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</si>
  <si>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</si>
  <si>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</si>
  <si>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</si>
  <si>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</si>
  <si>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</si>
  <si>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</si>
  <si>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</si>
  <si>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</si>
  <si>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</si>
  <si>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</si>
  <si>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</si>
  <si>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</si>
  <si>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</si>
  <si>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</si>
  <si>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</si>
  <si>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</si>
  <si>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</si>
  <si>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</si>
  <si>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</si>
  <si>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</si>
  <si>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</si>
  <si>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</si>
  <si>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</si>
  <si>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</si>
  <si>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</si>
  <si>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</si>
  <si>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</si>
  <si>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</si>
  <si>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</si>
  <si>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</si>
  <si>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</si>
  <si>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</si>
  <si>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</si>
  <si>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</si>
  <si>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</si>
  <si>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</si>
  <si>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</si>
  <si>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</si>
  <si>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</si>
  <si>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</si>
  <si>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</si>
  <si>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</si>
  <si>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</si>
  <si>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</si>
  <si>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</si>
  <si>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</si>
  <si>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</si>
  <si>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</si>
  <si>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</si>
  <si>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</si>
  <si>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</si>
  <si>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</si>
  <si>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</si>
  <si>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</si>
  <si>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</si>
  <si>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</si>
  <si>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</si>
  <si>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</si>
  <si>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</si>
  <si>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</si>
  <si>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</si>
  <si>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</si>
  <si>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</si>
  <si>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</si>
  <si>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</si>
  <si>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</si>
  <si>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</si>
  <si>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</si>
  <si>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</si>
  <si>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</si>
  <si>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</si>
  <si>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</si>
  <si>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</si>
  <si>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</si>
  <si>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</si>
  <si>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</si>
  <si>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</si>
  <si>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</si>
  <si>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</si>
  <si>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</si>
  <si>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</si>
  <si>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</si>
  <si>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</si>
  <si>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</si>
  <si>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</si>
  <si>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</si>
  <si>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</si>
  <si>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</si>
  <si>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</si>
  <si>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</si>
  <si>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</si>
  <si>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</si>
  <si>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</si>
  <si>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</si>
  <si>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</si>
  <si>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</si>
  <si>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</si>
  <si>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</si>
  <si>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</si>
  <si>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</si>
  <si>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</si>
  <si>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</si>
  <si>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</si>
  <si>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</si>
  <si>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</si>
  <si>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</si>
  <si>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</si>
  <si>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</si>
  <si>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</si>
  <si>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</si>
  <si>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</si>
  <si>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</si>
  <si>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</si>
  <si>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</si>
  <si>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</si>
  <si>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</si>
  <si>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</si>
  <si>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</si>
  <si>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</si>
  <si>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</si>
  <si>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</si>
  <si>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</si>
  <si>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</si>
  <si>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</si>
  <si>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</si>
  <si>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</si>
  <si>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</si>
  <si>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</si>
  <si>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</si>
  <si>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</si>
  <si>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</si>
  <si>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</si>
  <si>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</si>
  <si>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</si>
  <si>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</si>
  <si>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</si>
  <si>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</si>
  <si>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</si>
  <si>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</si>
  <si>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</si>
  <si>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</si>
  <si>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</si>
  <si>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</si>
  <si>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</si>
  <si>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</si>
  <si>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</si>
  <si>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</si>
  <si>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</si>
  <si>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</si>
  <si>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</si>
  <si>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</si>
  <si>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</si>
  <si>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</si>
  <si>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</si>
  <si>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</si>
  <si>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</si>
  <si>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</si>
  <si>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</si>
  <si>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</si>
  <si>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</si>
  <si>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</si>
  <si>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</si>
  <si>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</si>
  <si>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</si>
  <si>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</si>
  <si>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</si>
  <si>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</si>
  <si>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</si>
  <si>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</si>
  <si>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</si>
  <si>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</si>
  <si>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</si>
  <si>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</si>
  <si>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</si>
  <si>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</si>
  <si>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</si>
  <si>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</si>
  <si>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</si>
  <si>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</si>
  <si>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</si>
  <si>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</si>
  <si>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</si>
  <si>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</si>
  <si>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</si>
  <si>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</si>
  <si>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</si>
  <si>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</si>
  <si>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</si>
  <si>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</si>
  <si>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</si>
  <si>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</si>
  <si>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</si>
  <si>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</si>
  <si>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</si>
  <si>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</si>
  <si>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</si>
  <si>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</si>
  <si>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</si>
  <si>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</si>
  <si>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</si>
  <si>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</si>
  <si>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</si>
  <si>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</si>
  <si>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</si>
  <si>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</si>
  <si>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</si>
  <si>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</si>
  <si>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</si>
  <si>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</si>
  <si>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</si>
  <si>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</si>
  <si>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</si>
  <si>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</si>
  <si>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</si>
  <si>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</si>
  <si>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</si>
  <si>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</si>
  <si>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</si>
  <si>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</si>
  <si>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</si>
  <si>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</si>
  <si>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</si>
  <si>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</si>
  <si>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</si>
  <si>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</si>
  <si>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</si>
  <si>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</si>
  <si>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</si>
  <si>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</si>
  <si>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</si>
  <si>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</si>
  <si>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</si>
  <si>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</si>
  <si>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</si>
  <si>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</si>
  <si>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</si>
  <si>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</si>
  <si>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</si>
  <si>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</si>
  <si>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</si>
  <si>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</si>
  <si>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</si>
  <si>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</si>
  <si>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</si>
  <si>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</si>
  <si>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</si>
  <si>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</si>
  <si>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</si>
  <si>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</si>
  <si>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</si>
  <si>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</si>
  <si>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</si>
  <si>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</si>
  <si>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</si>
  <si>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</si>
  <si>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</si>
  <si>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</si>
  <si>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</si>
  <si>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</si>
  <si>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</si>
  <si>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</si>
  <si>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</si>
  <si>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</si>
  <si>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</si>
  <si>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</si>
  <si>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</si>
  <si>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</si>
  <si>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</si>
  <si>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</si>
  <si>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</si>
  <si>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</si>
  <si>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</si>
  <si>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</si>
  <si>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</si>
  <si>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</si>
  <si>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</si>
  <si>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</si>
  <si>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</si>
  <si>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</si>
  <si>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</si>
  <si>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</si>
  <si>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</si>
  <si>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</si>
  <si>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</si>
  <si>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</si>
  <si>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</si>
  <si>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</si>
  <si>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</si>
  <si>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</si>
  <si>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</si>
  <si>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</si>
  <si>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</si>
  <si>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</si>
  <si>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</si>
  <si>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</si>
  <si>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</si>
  <si>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</si>
  <si>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</si>
  <si>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</si>
  <si>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</si>
  <si>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</si>
  <si>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</si>
  <si>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</si>
  <si>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</si>
  <si>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</si>
  <si>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</si>
  <si>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</si>
  <si>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</si>
  <si>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</si>
  <si>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</si>
  <si>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</si>
  <si>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</si>
  <si>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</si>
  <si>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</si>
  <si>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</si>
  <si>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</si>
  <si>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</si>
  <si>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</si>
  <si>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</si>
  <si>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</si>
  <si>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</si>
  <si>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</si>
  <si>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</si>
  <si>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</si>
  <si>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</si>
  <si>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</si>
  <si>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</si>
  <si>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</si>
  <si>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</si>
  <si>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</si>
  <si>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</si>
  <si>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</si>
  <si>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</si>
  <si>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</si>
  <si>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</si>
  <si>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</si>
  <si>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</si>
  <si>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</si>
  <si>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</si>
  <si>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</si>
  <si>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</si>
  <si>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</si>
  <si>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</si>
  <si>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</si>
  <si>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</si>
  <si>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</si>
  <si>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</si>
  <si>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</si>
  <si>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</si>
  <si>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</si>
  <si>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</si>
  <si>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</si>
  <si>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</si>
  <si>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</si>
  <si>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</si>
  <si>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</si>
  <si>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</si>
  <si>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</si>
  <si>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</si>
  <si>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</si>
  <si>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</si>
  <si>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</si>
  <si>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</si>
  <si>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</si>
  <si>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</si>
  <si>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</si>
  <si>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</si>
  <si>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</si>
  <si>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</si>
  <si>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</si>
  <si>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</si>
  <si>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</si>
  <si>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</si>
  <si>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</si>
  <si>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</si>
  <si>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</si>
  <si>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</si>
  <si>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</si>
  <si>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</si>
  <si>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</si>
  <si>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</si>
  <si>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</si>
  <si>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</si>
  <si>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</si>
  <si>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</si>
  <si>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</si>
  <si>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</si>
  <si>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</si>
  <si>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</si>
  <si>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</si>
  <si>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</si>
  <si>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</si>
  <si>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</si>
  <si>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</si>
  <si>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</si>
  <si>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</si>
  <si>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</si>
  <si>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</si>
  <si>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</si>
  <si>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</si>
  <si>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</si>
  <si>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</si>
  <si>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</si>
  <si>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</si>
  <si>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</si>
  <si>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</si>
  <si>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</si>
  <si>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</si>
  <si>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</si>
  <si>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</si>
  <si>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</si>
  <si>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</si>
  <si>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</si>
  <si>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</si>
  <si>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</si>
  <si>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</si>
  <si>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</si>
  <si>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</si>
  <si>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</si>
  <si>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</si>
  <si>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</si>
  <si>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</si>
  <si>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</si>
  <si>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</si>
  <si>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</si>
  <si>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</si>
  <si>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</si>
  <si>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</si>
  <si>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</si>
  <si>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</si>
  <si>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</si>
  <si>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</si>
  <si>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</si>
  <si>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</si>
  <si>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</si>
  <si>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</si>
  <si>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</si>
  <si>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</si>
  <si>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</si>
  <si>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</si>
  <si>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</si>
  <si>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</si>
  <si>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</si>
  <si>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</si>
  <si>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</si>
  <si>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</si>
  <si>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</si>
  <si>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</si>
  <si>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</si>
  <si>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</si>
  <si>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</si>
  <si>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</si>
  <si>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</si>
  <si>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</si>
  <si>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</si>
  <si>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</si>
  <si>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</si>
  <si>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</si>
  <si>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</si>
  <si>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</si>
  <si>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</si>
  <si>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</si>
  <si>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</si>
  <si>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</si>
  <si>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</si>
  <si>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</si>
  <si>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</si>
  <si>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</si>
  <si>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</si>
  <si>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</si>
  <si>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</si>
  <si>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</si>
  <si>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</si>
  <si>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</si>
  <si>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</si>
  <si>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</si>
  <si>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</si>
  <si>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</si>
  <si>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</si>
  <si>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</si>
  <si>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</si>
  <si>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</si>
  <si>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</si>
  <si>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</si>
  <si>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</si>
  <si>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</si>
  <si>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</si>
  <si>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</si>
  <si>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</si>
  <si>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</si>
  <si>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</si>
  <si>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</si>
  <si>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</si>
  <si>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</si>
  <si>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</si>
  <si>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</si>
  <si>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</si>
  <si>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</si>
  <si>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</si>
  <si>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</si>
  <si>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</si>
  <si>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</si>
  <si>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</si>
  <si>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</si>
  <si>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</si>
  <si>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</si>
  <si>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</si>
  <si>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</si>
  <si>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</si>
  <si>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</si>
  <si>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</si>
  <si>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</si>
  <si>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</si>
  <si>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</si>
  <si>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</si>
  <si>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</si>
  <si>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</si>
  <si>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</si>
  <si>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</si>
  <si>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</si>
  <si>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</si>
  <si>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</si>
  <si>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</si>
  <si>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</si>
  <si>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</si>
  <si>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</si>
  <si>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</si>
  <si>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</si>
  <si>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</si>
  <si>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</si>
  <si>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</si>
  <si>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</si>
  <si>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</si>
  <si>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</si>
  <si>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</si>
  <si>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</si>
  <si>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</si>
  <si>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</si>
  <si>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</si>
  <si>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</si>
  <si>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</si>
  <si>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</si>
  <si>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</si>
  <si>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</si>
  <si>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</si>
  <si>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</si>
  <si>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</si>
  <si>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</si>
  <si>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</si>
  <si>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</si>
  <si>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</si>
  <si>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</si>
  <si>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</si>
  <si>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</si>
  <si>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</si>
  <si>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</si>
  <si>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</si>
  <si>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</si>
  <si>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</si>
  <si>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</si>
  <si>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</si>
  <si>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</si>
  <si>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</si>
  <si>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</si>
  <si>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</si>
  <si>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</si>
  <si>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</si>
  <si>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</si>
  <si>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</si>
  <si>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</si>
  <si>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</si>
  <si>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</si>
  <si>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</si>
  <si>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</si>
  <si>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</si>
  <si>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</si>
  <si>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</si>
  <si>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</si>
  <si>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</si>
  <si>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</si>
  <si>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</si>
  <si>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</si>
  <si>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</si>
  <si>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</si>
  <si>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</si>
  <si>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</si>
  <si>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</si>
  <si>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</si>
  <si>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</si>
  <si>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</si>
  <si>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</si>
  <si>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</si>
  <si>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</si>
  <si>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</si>
  <si>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</si>
  <si>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</si>
  <si>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</si>
  <si>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</si>
  <si>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</si>
  <si>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</si>
  <si>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</si>
  <si>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</si>
  <si>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</si>
  <si>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</si>
  <si>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</si>
  <si>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</si>
  <si>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</si>
  <si>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</si>
  <si>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</si>
  <si>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</si>
  <si>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</si>
  <si>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</si>
  <si>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</si>
  <si>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</si>
  <si>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</si>
  <si>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</si>
  <si>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</si>
  <si>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</si>
  <si>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</si>
  <si>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</si>
  <si>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</si>
  <si>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</si>
  <si>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</si>
  <si>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</si>
  <si>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</si>
  <si>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</si>
  <si>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</si>
  <si>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</si>
  <si>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</si>
  <si>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</si>
  <si>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</si>
  <si>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</si>
  <si>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</si>
  <si>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</si>
  <si>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</si>
  <si>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</si>
  <si>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</si>
  <si>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</si>
  <si>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</si>
  <si>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</si>
  <si>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</si>
  <si>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</si>
  <si>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</si>
  <si>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</si>
  <si>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</si>
  <si>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</si>
  <si>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</si>
  <si>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</si>
  <si>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</si>
  <si>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</si>
  <si>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</si>
  <si>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</si>
  <si>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</si>
  <si>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</si>
  <si>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</si>
  <si>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</si>
  <si>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</si>
  <si>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</si>
  <si>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</si>
  <si>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</si>
  <si>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</si>
  <si>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</si>
  <si>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</si>
  <si>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</si>
  <si>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</si>
  <si>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</si>
  <si>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</si>
  <si>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</si>
  <si>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</si>
  <si>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</si>
  <si>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</si>
  <si>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</si>
  <si>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</si>
  <si>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</si>
  <si>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</si>
  <si>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</si>
  <si>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</si>
  <si>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</si>
  <si>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</si>
  <si>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</si>
  <si>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</si>
  <si>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</si>
  <si>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</si>
  <si>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</si>
  <si>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</si>
  <si>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</si>
  <si>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</si>
  <si>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</si>
  <si>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</si>
  <si>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</si>
  <si>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</si>
  <si>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</si>
  <si>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</si>
  <si>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</si>
  <si>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</si>
  <si>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</si>
  <si>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</si>
  <si>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</si>
  <si>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</si>
  <si>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</si>
  <si>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</si>
  <si>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</si>
  <si>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</si>
  <si>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</si>
  <si>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</si>
  <si>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</si>
  <si>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</si>
  <si>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</si>
  <si>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</si>
  <si>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</si>
  <si>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</si>
  <si>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</si>
  <si>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</si>
  <si>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</si>
  <si>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</si>
  <si>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</si>
  <si>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</si>
  <si>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</si>
  <si>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</si>
  <si>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</si>
  <si>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</si>
  <si>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</si>
  <si>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</si>
  <si>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</si>
  <si>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</si>
  <si>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</si>
  <si>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</si>
  <si>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</si>
  <si>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</si>
  <si>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</si>
  <si>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</si>
  <si>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</si>
  <si>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</si>
  <si>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</si>
  <si>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</si>
  <si>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</si>
  <si>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</si>
  <si>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</si>
  <si>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</si>
  <si>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</si>
  <si>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</si>
  <si>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</si>
  <si>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</si>
  <si>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</si>
  <si>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</si>
  <si>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</si>
  <si>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</si>
  <si>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</si>
  <si>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</si>
  <si>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</si>
  <si>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</si>
  <si>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</si>
  <si>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</si>
  <si>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</si>
  <si>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</si>
  <si>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</si>
  <si>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</si>
  <si>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</si>
  <si>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</si>
  <si>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</si>
  <si>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</si>
  <si>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</si>
  <si>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</si>
  <si>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</si>
  <si>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</si>
  <si>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</si>
  <si>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</si>
  <si>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</si>
  <si>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</si>
  <si>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</si>
  <si>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</si>
  <si>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</si>
  <si>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</si>
  <si>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</si>
  <si>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</si>
  <si>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</si>
  <si>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</si>
  <si>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</si>
  <si>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</si>
  <si>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</si>
  <si>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</si>
  <si>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</si>
  <si>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</si>
  <si>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</si>
  <si>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</si>
  <si>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</si>
  <si>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</si>
  <si>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</si>
  <si>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</si>
  <si>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</si>
  <si>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</si>
  <si>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</si>
  <si>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</si>
  <si>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</si>
  <si>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</si>
  <si>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</si>
  <si>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</si>
  <si>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</si>
  <si>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</si>
  <si>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</si>
  <si>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</si>
  <si>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</si>
  <si>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</si>
  <si>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</si>
  <si>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</si>
  <si>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</si>
  <si>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</si>
  <si>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</si>
  <si>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</si>
  <si>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</si>
  <si>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</si>
  <si>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</si>
  <si>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</si>
  <si>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</si>
  <si>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</si>
  <si>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</si>
  <si>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</si>
  <si>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</si>
  <si>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</si>
  <si>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</si>
  <si>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</si>
  <si>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</si>
  <si>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</si>
  <si>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</si>
  <si>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</si>
  <si>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</si>
  <si>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</si>
  <si>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</si>
  <si>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</si>
  <si>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</si>
  <si>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</si>
  <si>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</si>
  <si>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</si>
  <si>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</si>
  <si>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</si>
  <si>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</si>
  <si>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</si>
  <si>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</si>
  <si>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</si>
  <si>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</si>
  <si>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</si>
  <si>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</si>
  <si>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</si>
  <si>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</si>
  <si>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</si>
  <si>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</si>
  <si>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</si>
  <si>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</si>
  <si>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</si>
  <si>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</si>
  <si>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</si>
  <si>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</si>
  <si>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</si>
  <si>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</si>
  <si>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</si>
  <si>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</si>
  <si>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</si>
  <si>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</si>
  <si>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</si>
  <si>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</si>
  <si>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</si>
  <si>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</si>
  <si>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</si>
  <si>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</si>
  <si>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</si>
  <si>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</si>
  <si>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</si>
  <si>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</si>
  <si>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</si>
  <si>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</si>
  <si>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</si>
  <si>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</si>
  <si>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</si>
  <si>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</si>
  <si>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</si>
  <si>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</si>
  <si>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</si>
  <si>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</si>
  <si>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</si>
  <si>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</si>
  <si>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</si>
  <si>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</si>
  <si>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</si>
  <si>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</si>
  <si>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</si>
  <si>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</si>
  <si>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</si>
  <si>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</si>
  <si>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</si>
  <si>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</si>
  <si>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</si>
  <si>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</si>
  <si>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</si>
  <si>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</si>
  <si>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</si>
  <si>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</si>
  <si>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</si>
  <si>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</si>
  <si>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</si>
  <si>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</si>
  <si>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</si>
  <si>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</si>
  <si>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</si>
  <si>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</si>
  <si>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</si>
  <si>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</si>
  <si>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</si>
  <si>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</si>
  <si>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</si>
  <si>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</si>
  <si>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</si>
  <si>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</si>
  <si>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</si>
  <si>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</si>
  <si>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</si>
  <si>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</si>
  <si>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</si>
  <si>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</si>
  <si>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</si>
  <si>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</si>
  <si>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</si>
  <si>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</si>
  <si>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</si>
  <si>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</si>
  <si>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</si>
  <si>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</si>
  <si>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</si>
  <si>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</si>
  <si>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</si>
  <si>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</si>
  <si>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</si>
  <si>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</si>
  <si>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</si>
  <si>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</si>
  <si>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</si>
  <si>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</si>
  <si>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</si>
  <si>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</si>
  <si>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</si>
  <si>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</si>
  <si>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</si>
  <si>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</si>
  <si>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</si>
  <si>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</si>
  <si>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</si>
  <si>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</si>
  <si>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</si>
  <si>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</si>
  <si>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</si>
  <si>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</si>
  <si>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</si>
  <si>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</si>
  <si>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</si>
  <si>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</si>
  <si>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</si>
  <si>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</si>
  <si>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</si>
  <si>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</si>
  <si>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</si>
  <si>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</si>
  <si>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</si>
  <si>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</si>
  <si>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</si>
  <si>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</si>
  <si>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</si>
  <si>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</si>
  <si>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</si>
  <si>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</si>
  <si>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</si>
  <si>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</si>
  <si>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</si>
  <si>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</si>
  <si>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</si>
  <si>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</si>
  <si>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</si>
  <si>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</si>
  <si>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</si>
  <si>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</si>
  <si>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</si>
  <si>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</si>
  <si>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</si>
  <si>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</si>
  <si>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</si>
  <si>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</si>
  <si>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</si>
  <si>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</si>
  <si>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</si>
  <si>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</si>
  <si>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</si>
  <si>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</si>
  <si>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</si>
  <si>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</si>
  <si>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</si>
  <si>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</si>
  <si>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</si>
  <si>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</si>
  <si>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</si>
  <si>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</si>
  <si>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</si>
  <si>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</si>
  <si>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</si>
  <si>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</si>
  <si>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</si>
  <si>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</si>
  <si>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</si>
  <si>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</si>
  <si>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</si>
  <si>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</si>
  <si>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</si>
  <si>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</si>
  <si>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</si>
  <si>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</si>
  <si>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</si>
  <si>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</si>
  <si>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</si>
  <si>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</si>
  <si>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</si>
  <si>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</si>
  <si>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</si>
  <si>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</si>
  <si>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</si>
  <si>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</si>
  <si>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</si>
  <si>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</si>
  <si>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</si>
  <si>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</si>
  <si>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</si>
  <si>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</si>
  <si>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</si>
  <si>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</si>
  <si>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</si>
  <si>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</si>
  <si>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</si>
  <si>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</si>
  <si>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</si>
  <si>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</si>
  <si>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</si>
  <si>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</si>
  <si>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</si>
  <si>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</si>
  <si>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</si>
  <si>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</si>
  <si>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</si>
  <si>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</si>
  <si>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</si>
  <si>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</si>
  <si>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</si>
  <si>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</si>
  <si>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</si>
  <si>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</si>
  <si>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</si>
  <si>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</si>
  <si>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</si>
  <si>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</si>
  <si>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</si>
  <si>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</si>
  <si>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</si>
  <si>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</si>
  <si>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</si>
  <si>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</si>
  <si>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</si>
  <si>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</si>
  <si>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</si>
  <si>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</si>
  <si>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</si>
  <si>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</si>
  <si>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</si>
  <si>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</si>
  <si>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</si>
  <si>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</si>
  <si>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</si>
  <si>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</si>
  <si>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</si>
  <si>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</si>
  <si>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</si>
  <si>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</si>
  <si>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</si>
  <si>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</si>
  <si>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</si>
  <si>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</si>
  <si>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</si>
  <si>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</si>
  <si>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</si>
  <si>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</si>
  <si>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</si>
  <si>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</si>
  <si>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</si>
  <si>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</si>
  <si>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</si>
  <si>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</si>
  <si>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</si>
  <si>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</si>
  <si>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</si>
  <si>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</si>
  <si>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</si>
  <si>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</si>
  <si>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</si>
  <si>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</si>
  <si>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</si>
  <si>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</si>
  <si>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</si>
  <si>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</si>
  <si>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</si>
  <si>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</si>
  <si>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</si>
  <si>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</si>
  <si>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</si>
  <si>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</si>
  <si>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</si>
  <si>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</si>
  <si>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</si>
  <si>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</si>
  <si>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</si>
  <si>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</si>
  <si>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</si>
  <si>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</si>
  <si>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</si>
  <si>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</si>
  <si>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</si>
  <si>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</si>
  <si>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</si>
  <si>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</si>
  <si>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</si>
  <si>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</si>
  <si>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</si>
  <si>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</si>
  <si>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</si>
  <si>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</si>
  <si>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</si>
  <si>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</si>
  <si>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</si>
  <si>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</si>
  <si>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</si>
  <si>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</si>
  <si>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</si>
  <si>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</si>
  <si>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</si>
  <si>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</si>
  <si>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</si>
  <si>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</si>
  <si>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</si>
  <si>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</si>
  <si>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</si>
  <si>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</si>
  <si>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</si>
  <si>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</si>
  <si>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</si>
  <si>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</si>
  <si>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</si>
  <si>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</si>
  <si>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</si>
  <si>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</si>
  <si>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</si>
  <si>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</si>
  <si>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</si>
  <si>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</si>
  <si>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</si>
  <si>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</si>
  <si>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</si>
  <si>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</si>
  <si>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</si>
  <si>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</si>
  <si>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</si>
  <si>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</si>
  <si>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</si>
  <si>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</si>
  <si>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</si>
  <si>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</si>
  <si>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</si>
  <si>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</si>
  <si>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</si>
  <si>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</si>
  <si>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</si>
  <si>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</si>
  <si>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</si>
  <si>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</si>
  <si>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</si>
  <si>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</si>
  <si>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</si>
  <si>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</si>
  <si>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</si>
  <si>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</si>
  <si>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</si>
  <si>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</si>
  <si>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</si>
  <si>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</si>
  <si>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</si>
  <si>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</si>
  <si>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</si>
  <si>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</si>
  <si>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</si>
  <si>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</si>
  <si>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</si>
  <si>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</si>
  <si>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</si>
  <si>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</si>
  <si>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</si>
  <si>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</si>
  <si>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</si>
  <si>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</si>
  <si>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</si>
  <si>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</si>
  <si>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</si>
  <si>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</si>
  <si>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</si>
  <si>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</si>
  <si>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</si>
  <si>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</si>
  <si>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</si>
  <si>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</si>
  <si>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</si>
  <si>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</si>
  <si>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</si>
  <si>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</si>
  <si>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</si>
  <si>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</si>
  <si>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</si>
  <si>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</si>
  <si>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</si>
  <si>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</si>
  <si>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</si>
  <si>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</si>
  <si>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</si>
  <si>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</si>
  <si>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</si>
  <si>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</si>
  <si>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</si>
  <si>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</si>
  <si>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</si>
  <si>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</si>
  <si>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</si>
  <si>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</si>
  <si>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</si>
  <si>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</si>
  <si>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</si>
  <si>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</si>
  <si>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</si>
  <si>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</si>
  <si>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</si>
  <si>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</si>
  <si>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</si>
  <si>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</si>
  <si>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</si>
  <si>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</si>
  <si>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</si>
  <si>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</si>
  <si>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</si>
  <si>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</si>
  <si>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</si>
  <si>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</si>
  <si>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</si>
  <si>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</si>
  <si>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</si>
  <si>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</si>
  <si>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</si>
  <si>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</si>
  <si>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</si>
  <si>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</si>
  <si>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</si>
  <si>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</si>
  <si>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</si>
  <si>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</si>
  <si>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</si>
  <si>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</si>
  <si>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</si>
  <si>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</si>
  <si>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</si>
  <si>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</si>
  <si>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</si>
  <si>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</si>
  <si>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</si>
  <si>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</si>
  <si>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</si>
  <si>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</si>
  <si>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</si>
  <si>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</si>
  <si>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</si>
  <si>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</si>
  <si>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</si>
  <si>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</si>
  <si>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</si>
  <si>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</si>
  <si>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</si>
  <si>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</si>
  <si>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</si>
  <si>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</si>
  <si>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</si>
  <si>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</si>
  <si>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</si>
  <si>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</si>
  <si>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</si>
  <si>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</si>
  <si>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</si>
  <si>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</si>
  <si>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</si>
  <si>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</si>
  <si>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</si>
  <si>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</si>
  <si>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</si>
  <si>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</si>
  <si>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</si>
  <si>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</si>
  <si>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</si>
  <si>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</si>
  <si>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</si>
  <si>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</si>
  <si>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</si>
  <si>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</si>
  <si>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</si>
  <si>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</si>
  <si>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</si>
  <si>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</si>
  <si>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</si>
  <si>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</si>
  <si>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</si>
  <si>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</si>
  <si>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</si>
  <si>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</si>
  <si>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</si>
  <si>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</si>
  <si>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</si>
  <si>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</si>
  <si>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</si>
  <si>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</si>
  <si>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</si>
  <si>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</si>
  <si>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</si>
  <si>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</si>
  <si>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</si>
  <si>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</si>
  <si>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</si>
  <si>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</si>
  <si>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</si>
  <si>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</si>
  <si>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</si>
  <si>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</si>
  <si>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</si>
  <si>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</si>
  <si>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</si>
  <si>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</si>
  <si>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</si>
  <si>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</si>
  <si>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</si>
  <si>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</si>
  <si>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</si>
  <si>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</si>
  <si>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</si>
  <si>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</si>
  <si>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</si>
  <si>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</si>
  <si>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</si>
  <si>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</si>
  <si>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</si>
  <si>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</si>
  <si>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</si>
  <si>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</si>
  <si>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</si>
  <si>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</si>
  <si>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</si>
  <si>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</si>
  <si>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</si>
  <si>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</si>
  <si>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</si>
  <si>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</si>
  <si>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</si>
  <si>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</si>
  <si>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</si>
  <si>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</si>
  <si>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</si>
  <si>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</si>
  <si>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</si>
  <si>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</si>
  <si>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</si>
  <si>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</si>
  <si>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</si>
  <si>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</si>
  <si>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</si>
  <si>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</si>
  <si>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</si>
  <si>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</si>
  <si>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</si>
  <si>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</si>
  <si>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</si>
  <si>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</si>
  <si>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</si>
  <si>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</si>
  <si>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</si>
  <si>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</si>
  <si>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</si>
  <si>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</si>
  <si>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</si>
  <si>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</si>
  <si>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</si>
  <si>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</si>
  <si>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</si>
  <si>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</si>
  <si>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</si>
  <si>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</si>
  <si>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</si>
  <si>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</si>
  <si>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</si>
  <si>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</si>
  <si>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</si>
  <si>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</si>
  <si>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</si>
  <si>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</si>
  <si>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</si>
  <si>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</si>
  <si>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</si>
  <si>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</si>
  <si>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</si>
  <si>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</si>
  <si>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</si>
  <si>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</si>
  <si>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</si>
  <si>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</si>
  <si>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</si>
  <si>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</si>
  <si>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</si>
  <si>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</si>
  <si>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</si>
  <si>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</si>
  <si>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</si>
  <si>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</si>
  <si>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</si>
  <si>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</si>
  <si>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</si>
  <si>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</si>
  <si>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</si>
  <si>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</si>
  <si>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</si>
  <si>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</si>
  <si>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</si>
  <si>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</si>
  <si>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</si>
  <si>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</si>
  <si>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</si>
  <si>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</si>
  <si>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</si>
  <si>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</si>
  <si>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</si>
  <si>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</si>
  <si>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</si>
  <si>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</si>
  <si>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</si>
  <si>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</si>
  <si>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</si>
  <si>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</si>
  <si>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</si>
  <si>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</si>
  <si>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</si>
  <si>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</si>
  <si>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</si>
  <si>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</si>
  <si>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</si>
  <si>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</si>
  <si>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</si>
  <si>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</si>
  <si>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</si>
  <si>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</si>
  <si>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</si>
  <si>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</si>
  <si>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</si>
  <si>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</si>
  <si>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</si>
  <si>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</si>
  <si>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</si>
  <si>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</si>
  <si>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</si>
  <si>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</si>
  <si>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</si>
  <si>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</si>
  <si>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</si>
  <si>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</si>
  <si>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</si>
  <si>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</si>
  <si>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</si>
  <si>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</si>
  <si>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</si>
  <si>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</si>
  <si>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</si>
  <si>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</si>
  <si>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</si>
  <si>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</si>
  <si>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</si>
  <si>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</si>
  <si>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</si>
  <si>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</si>
  <si>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</si>
  <si>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</si>
  <si>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</si>
  <si>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</si>
  <si>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</si>
  <si>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</si>
  <si>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</si>
  <si>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</si>
  <si>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</si>
  <si>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</si>
  <si>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</si>
  <si>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</si>
  <si>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</si>
  <si>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</si>
  <si>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</si>
  <si>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</si>
  <si>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</si>
  <si>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</si>
  <si>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</si>
  <si>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</si>
  <si>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</si>
  <si>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</si>
  <si>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</si>
  <si>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</si>
  <si>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</si>
  <si>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</si>
  <si>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</si>
  <si>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</si>
  <si>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</si>
  <si>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</si>
  <si>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</si>
  <si>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</si>
  <si>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</si>
  <si>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</si>
  <si>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</si>
  <si>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</si>
  <si>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</si>
  <si>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</si>
  <si>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</si>
  <si>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</si>
  <si>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</si>
  <si>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</si>
  <si>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</si>
  <si>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</si>
  <si>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</si>
  <si>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</si>
  <si>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</si>
  <si>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</si>
  <si>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</si>
  <si>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</si>
  <si>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</si>
  <si>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</si>
  <si>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</si>
  <si>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</si>
  <si>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</si>
  <si>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</si>
  <si>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</si>
  <si>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</si>
  <si>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</si>
  <si>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</si>
  <si>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</si>
  <si>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</si>
  <si>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</si>
  <si>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</si>
  <si>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</si>
  <si>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</si>
  <si>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</si>
  <si>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</si>
  <si>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</si>
  <si>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</si>
  <si>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</si>
  <si>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</si>
  <si>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</si>
  <si>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</si>
  <si>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</si>
  <si>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</si>
  <si>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</si>
  <si>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</si>
  <si>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</si>
  <si>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</si>
  <si>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</si>
  <si>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</si>
  <si>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</si>
  <si>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</si>
  <si>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</si>
  <si>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</si>
  <si>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</si>
  <si>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</si>
  <si>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</si>
  <si>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</si>
  <si>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</si>
  <si>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</si>
  <si>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</si>
  <si>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</si>
  <si>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</si>
  <si>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</si>
  <si>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</si>
  <si>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</si>
  <si>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</si>
  <si>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</si>
  <si>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</si>
  <si>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</si>
  <si>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</si>
  <si>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</si>
  <si>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</si>
  <si>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</si>
  <si>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</si>
  <si>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</si>
  <si>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</si>
  <si>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</si>
  <si>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</si>
  <si>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</si>
  <si>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</si>
  <si>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</si>
  <si>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</si>
  <si>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</si>
  <si>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</si>
  <si>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</si>
  <si>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</si>
  <si>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</si>
  <si>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</si>
  <si>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</si>
  <si>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</si>
  <si>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</si>
  <si>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</si>
  <si>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</si>
  <si>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</si>
  <si>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</si>
  <si>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</si>
  <si>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</si>
  <si>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</si>
  <si>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</si>
  <si>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</si>
  <si>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</si>
  <si>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</si>
  <si>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</si>
  <si>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</si>
  <si>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</si>
  <si>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</si>
  <si>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</si>
  <si>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</si>
  <si>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</si>
  <si>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</si>
  <si>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</si>
  <si>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</si>
  <si>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</si>
  <si>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</si>
  <si>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</si>
  <si>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</si>
  <si>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</si>
  <si>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</si>
  <si>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</si>
  <si>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</si>
  <si>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</si>
  <si>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</si>
  <si>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</si>
  <si>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</si>
  <si>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</si>
  <si>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</si>
  <si>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</si>
  <si>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</si>
  <si>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</si>
  <si>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</si>
  <si>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</si>
  <si>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</si>
  <si>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</si>
  <si>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</si>
  <si>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</si>
  <si>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</si>
  <si>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</si>
  <si>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</si>
  <si>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</si>
  <si>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</si>
  <si>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</si>
  <si>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</si>
  <si>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</si>
  <si>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</si>
  <si>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</si>
  <si>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</si>
  <si>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</si>
  <si>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</si>
  <si>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</si>
  <si>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</si>
  <si>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</si>
  <si>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</si>
  <si>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</si>
  <si>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</si>
  <si>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</si>
  <si>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</si>
  <si>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</si>
  <si>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</si>
  <si>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</si>
  <si>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</si>
  <si>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</si>
  <si>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</si>
  <si>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</si>
  <si>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</si>
  <si>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</si>
  <si>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</si>
  <si>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</si>
  <si>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</si>
  <si>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</si>
  <si>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</si>
  <si>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</si>
  <si>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</si>
  <si>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</si>
  <si>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</si>
  <si>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</si>
  <si>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</si>
  <si>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</si>
  <si>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</si>
  <si>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</si>
  <si>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</si>
  <si>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</si>
  <si>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</si>
  <si>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</si>
  <si>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</si>
  <si>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</si>
  <si>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</si>
  <si>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</si>
  <si>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</si>
  <si>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</si>
  <si>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</si>
  <si>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</si>
  <si>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</si>
  <si>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</si>
  <si>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</si>
  <si>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</si>
  <si>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</si>
  <si>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</si>
  <si>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</si>
  <si>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</si>
  <si>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</si>
  <si>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</si>
  <si>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</si>
  <si>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</si>
  <si>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</si>
  <si>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</si>
  <si>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</si>
  <si>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</si>
  <si>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</si>
  <si>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</si>
  <si>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</si>
  <si>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</si>
  <si>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</si>
  <si>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</si>
  <si>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</si>
  <si>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</si>
  <si>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</si>
  <si>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</si>
  <si>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</si>
  <si>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</si>
  <si>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</si>
  <si>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</si>
  <si>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</si>
  <si>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</si>
  <si>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</si>
  <si>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</si>
  <si>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</si>
  <si>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</si>
  <si>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</si>
  <si>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</si>
  <si>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</si>
  <si>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</si>
  <si>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</si>
  <si>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</si>
  <si>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</si>
  <si>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</si>
  <si>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</si>
  <si>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</si>
  <si>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</si>
  <si>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</si>
  <si>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</si>
  <si>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</si>
  <si>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</si>
  <si>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</si>
  <si>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</si>
  <si>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</si>
  <si>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</si>
  <si>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</si>
  <si>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</si>
  <si>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</si>
  <si>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</si>
  <si>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</si>
  <si>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</si>
  <si>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</si>
  <si>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</si>
  <si>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</si>
  <si>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</si>
  <si>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</si>
  <si>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</si>
  <si>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</si>
  <si>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</si>
  <si>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</si>
  <si>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</si>
  <si>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</si>
  <si>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</si>
  <si>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</si>
  <si>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</si>
  <si>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</si>
  <si>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</si>
  <si>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</si>
  <si>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</si>
  <si>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</si>
  <si>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</si>
  <si>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</si>
  <si>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</si>
  <si>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</si>
  <si>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</si>
  <si>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</si>
  <si>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</si>
  <si>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</si>
  <si>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</si>
  <si>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</si>
  <si>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</si>
  <si>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</si>
  <si>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</si>
  <si>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</si>
  <si>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</si>
  <si>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</si>
  <si>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</si>
  <si>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</si>
  <si>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</si>
  <si>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</si>
  <si>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</si>
  <si>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</si>
  <si>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</si>
  <si>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</si>
  <si>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</si>
  <si>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</si>
  <si>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</si>
  <si>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</si>
  <si>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</si>
  <si>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</si>
  <si>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</si>
  <si>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</si>
  <si>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</si>
  <si>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</si>
  <si>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</si>
  <si>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</si>
  <si>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</si>
  <si>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</si>
  <si>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</si>
  <si>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</si>
  <si>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</si>
  <si>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</si>
  <si>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</si>
  <si>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</si>
  <si>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</si>
  <si>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</si>
  <si>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</si>
  <si>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</si>
  <si>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</si>
  <si>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</si>
  <si>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</si>
  <si>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</si>
  <si>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</si>
  <si>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</si>
  <si>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</si>
  <si>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</si>
  <si>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</si>
  <si>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</si>
  <si>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</si>
  <si>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</si>
  <si>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</si>
  <si>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</si>
  <si>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</si>
  <si>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</si>
  <si>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</si>
  <si>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</si>
  <si>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</si>
  <si>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</si>
  <si>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</si>
  <si>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</si>
  <si>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</si>
  <si>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</si>
  <si>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</si>
  <si>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</si>
  <si>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</si>
  <si>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</si>
  <si>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</si>
  <si>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</si>
  <si>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</si>
  <si>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</si>
  <si>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</si>
  <si>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</si>
  <si>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</si>
  <si>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</si>
  <si>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</si>
  <si>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</si>
  <si>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</si>
  <si>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</si>
  <si>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</si>
  <si>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</si>
  <si>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</si>
  <si>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</si>
  <si>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</si>
  <si>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</si>
  <si>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</si>
  <si>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</si>
  <si>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</si>
  <si>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</si>
  <si>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</si>
  <si>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</si>
  <si>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</si>
  <si>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</si>
  <si>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</si>
  <si>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</si>
  <si>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</si>
  <si>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</si>
  <si>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</si>
  <si>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</si>
  <si>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</si>
  <si>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</si>
  <si>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</si>
  <si>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</si>
  <si>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</si>
  <si>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</si>
  <si>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</si>
  <si>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</si>
  <si>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</si>
  <si>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</si>
  <si>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</si>
  <si>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</si>
  <si>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</si>
  <si>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</si>
  <si>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</si>
  <si>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</si>
  <si>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</si>
  <si>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</si>
  <si>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</si>
  <si>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</si>
  <si>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</si>
  <si>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</si>
  <si>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</si>
  <si>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</si>
  <si>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</si>
  <si>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</si>
  <si>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</si>
  <si>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</si>
  <si>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</si>
  <si>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</si>
  <si>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</si>
  <si>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</si>
  <si>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</si>
  <si>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</si>
  <si>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</si>
  <si>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</si>
  <si>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</si>
  <si>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</si>
  <si>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</si>
  <si>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</si>
  <si>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</si>
  <si>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</si>
  <si>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</si>
  <si>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</si>
  <si>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</si>
  <si>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</si>
  <si>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</si>
  <si>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</si>
  <si>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</si>
  <si>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</si>
  <si>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</si>
  <si>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</si>
  <si>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</si>
  <si>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</si>
  <si>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</si>
  <si>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</si>
  <si>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</si>
  <si>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</si>
  <si>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</si>
  <si>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</si>
  <si>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</si>
  <si>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</si>
  <si>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</si>
  <si>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</si>
  <si>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</si>
  <si>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</si>
  <si>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</si>
  <si>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</si>
  <si>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</si>
  <si>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</si>
  <si>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</si>
  <si>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</si>
  <si>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</si>
  <si>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</si>
  <si>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</si>
  <si>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</si>
  <si>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</si>
  <si>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</si>
  <si>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</si>
  <si>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</si>
  <si>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</si>
  <si>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</si>
  <si>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</si>
  <si>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</si>
  <si>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</si>
  <si>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</si>
  <si>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</si>
  <si>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</si>
  <si>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</si>
  <si>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</si>
  <si>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</si>
  <si>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</si>
  <si>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</si>
  <si>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</si>
  <si>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</si>
  <si>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</si>
  <si>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</si>
  <si>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</si>
  <si>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</si>
  <si>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</si>
  <si>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</si>
  <si>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</si>
  <si>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</si>
  <si>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</si>
  <si>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</si>
  <si>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</si>
  <si>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</si>
  <si>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</si>
  <si>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</si>
  <si>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</si>
  <si>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</si>
  <si>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</si>
  <si>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</si>
  <si>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</si>
  <si>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</si>
  <si>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</si>
  <si>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</si>
  <si>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</si>
  <si>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</si>
  <si>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</si>
  <si>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</si>
  <si>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</si>
  <si>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</si>
  <si>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</si>
  <si>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</si>
  <si>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</si>
  <si>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</si>
  <si>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</si>
  <si>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</si>
  <si>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</si>
  <si>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</si>
  <si>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</si>
  <si>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</si>
  <si>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</si>
  <si>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</si>
  <si>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</si>
  <si>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</si>
  <si>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</si>
  <si>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</si>
  <si>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</si>
  <si>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</si>
  <si>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</si>
  <si>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</si>
  <si>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</si>
  <si>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</si>
  <si>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</si>
  <si>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</si>
  <si>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</si>
  <si>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</si>
  <si>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</si>
  <si>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</si>
  <si>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</si>
  <si>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</si>
  <si>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</si>
  <si>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</si>
  <si>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</si>
  <si>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</si>
  <si>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</si>
  <si>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</si>
  <si>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</si>
  <si>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</si>
  <si>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</si>
  <si>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</si>
  <si>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</si>
  <si>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</si>
  <si>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</si>
  <si>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</si>
  <si>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</si>
  <si>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</si>
  <si>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</si>
  <si>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</si>
  <si>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</si>
  <si>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</si>
  <si>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</si>
  <si>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</si>
  <si>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</si>
  <si>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</si>
  <si>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</si>
  <si>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</si>
  <si>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</si>
  <si>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</si>
  <si>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</si>
  <si>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</si>
  <si>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</si>
  <si>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</si>
  <si>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</si>
  <si>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</si>
  <si>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</si>
  <si>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</si>
  <si>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</si>
  <si>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</si>
  <si>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</si>
  <si>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</si>
  <si>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</si>
  <si>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</si>
  <si>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</si>
  <si>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</si>
  <si>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</si>
  <si>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</si>
  <si>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</si>
  <si>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</si>
  <si>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</si>
  <si>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</si>
  <si>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</si>
  <si>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</si>
  <si>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</si>
  <si>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</si>
  <si>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</si>
  <si>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</si>
  <si>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</si>
  <si>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</si>
  <si>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</si>
  <si>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</si>
  <si>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</si>
  <si>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</si>
  <si>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</si>
  <si>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</si>
  <si>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</si>
  <si>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</si>
  <si>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</si>
  <si>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</si>
  <si>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</si>
  <si>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</si>
  <si>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</si>
  <si>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</si>
  <si>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</si>
  <si>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</si>
  <si>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</si>
  <si>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</si>
  <si>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</si>
  <si>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</si>
  <si>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</si>
  <si>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</si>
  <si>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</si>
  <si>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</si>
  <si>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</si>
  <si>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</si>
  <si>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</si>
  <si>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</si>
  <si>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</si>
  <si>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</si>
  <si>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</si>
  <si>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</si>
  <si>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</si>
  <si>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</si>
  <si>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</si>
  <si>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</si>
  <si>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</si>
  <si>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</si>
  <si>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</si>
  <si>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</si>
  <si>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</si>
  <si>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</si>
  <si>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</si>
  <si>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</si>
  <si>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抵押</t>
  </si>
  <si>
    <t>房地产抵押价值</t>
  </si>
  <si>
    <t>地上</t>
  </si>
  <si>
    <t>是</t>
  </si>
  <si>
    <t>商业</t>
    <phoneticPr fontId="7" type="noConversion"/>
  </si>
  <si>
    <t>利息：取LPR加浮动点数</t>
  </si>
  <si>
    <t>成新度</t>
  </si>
  <si>
    <t>Ⅹ-延1</t>
  </si>
  <si>
    <t>住宿餐饮用地</t>
  </si>
  <si>
    <t>不临58条商业街</t>
  </si>
  <si>
    <t>通路</t>
  </si>
  <si>
    <t>通电</t>
  </si>
  <si>
    <t>通讯</t>
  </si>
  <si>
    <t>通上水</t>
  </si>
  <si>
    <t>通下水</t>
  </si>
  <si>
    <t>平整</t>
  </si>
  <si>
    <t>与级别开发程度一致</t>
  </si>
  <si>
    <t>按公示增长率计算</t>
  </si>
  <si>
    <t>楼层修正</t>
  </si>
  <si>
    <t>较差</t>
  </si>
  <si>
    <t>一般</t>
  </si>
  <si>
    <t>较好</t>
  </si>
  <si>
    <t>未包含在土地购买价格中</t>
  </si>
  <si>
    <t>全部缴纳</t>
  </si>
  <si>
    <t>已包含在土地取得成本中</t>
  </si>
  <si>
    <t>成本法</t>
  </si>
  <si>
    <t>收益法</t>
  </si>
  <si>
    <t>押一</t>
  </si>
  <si>
    <t>砖混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</si>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</sst>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46" fillId="16"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估价对象为房地产，为所有。根据《国有土地使用证》[]，估价对象（分摊）出让国有建设用地使用权面积为5499.09平方米，建筑面积为1299.84平方米。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估价对象为房地产,属开发建设的，该项目尚在开发建设中。根据《国有土地使用证》[]，估价对象（分摊）出让国有建设用地使用权面积为5499.09平方米，规划建筑面积为1299.84平方米。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2022年3月18日</v>
      </c>
    </row>
    <row r="13" spans="1:2" s="1337" customFormat="1">
      <c r="A13" s="1335" t="s">
        <v>1135</v>
      </c>
      <c r="B13" s="1336"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1299.8399999999999</v>
      </c>
    </row>
    <row r="44" spans="1:2" s="1337" customFormat="1">
      <c r="A44" s="1335" t="s">
        <v>1181</v>
      </c>
      <c r="B44" s="1336" t="str">
        <f>'预评函-3'!C2</f>
        <v>(分摊)土地面积</v>
      </c>
    </row>
    <row r="45" spans="1:2" s="1337" customFormat="1">
      <c r="A45" s="1335" t="s">
        <v>1153</v>
      </c>
      <c r="B45" s="1336">
        <f>'预评函-3'!C4</f>
        <v>5499.09</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F37" sqref="F37"/>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0" t="str">
        <f>IF(B10="北京市","北京市",C10)&amp;F10&amp;IF(结果表!G1="在建","出让国有建设用地使用权及在建建筑物",IF(结果表!G1="土地","出让国有建设用地使用权",))&amp;B9&amp;"预评估"</f>
        <v>房地产抵押价值预评估</v>
      </c>
      <c r="C1" s="3251"/>
      <c r="D1" s="3251"/>
      <c r="E1" s="3251"/>
      <c r="F1" s="3251"/>
      <c r="G1" s="3251"/>
      <c r="H1" s="3251"/>
      <c r="I1" s="325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c r="C3" s="2568" t="s">
        <v>2857</v>
      </c>
      <c r="D3" s="2567">
        <v>44638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3129</v>
      </c>
      <c r="C8" s="2584"/>
      <c r="D8" s="3253" t="s">
        <v>2863</v>
      </c>
      <c r="E8" s="2585" t="s">
        <v>3130</v>
      </c>
      <c r="F8" s="2586"/>
      <c r="G8" s="2860"/>
      <c r="H8" s="2860"/>
      <c r="I8" s="2860"/>
      <c r="J8" s="2635"/>
      <c r="K8" s="2810"/>
      <c r="L8" s="2809"/>
      <c r="M8" s="2809"/>
      <c r="N8" s="2635"/>
      <c r="O8" s="2646"/>
      <c r="P8" s="2635"/>
      <c r="Q8" s="2635"/>
      <c r="R8" s="2635"/>
    </row>
    <row r="9" spans="1:28" ht="13.5" thickBot="1">
      <c r="A9" s="2587" t="s">
        <v>2864</v>
      </c>
      <c r="B9" s="2588" t="s">
        <v>3130</v>
      </c>
      <c r="C9" s="2589"/>
      <c r="D9" s="3254"/>
      <c r="E9" s="2588" t="s">
        <v>70</v>
      </c>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3128</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v>52163</v>
      </c>
      <c r="F13" s="965"/>
      <c r="G13" s="965"/>
      <c r="H13" s="965"/>
      <c r="I13" s="965"/>
      <c r="J13" s="2635"/>
      <c r="K13" s="2812"/>
      <c r="L13" s="2809"/>
      <c r="M13" s="2809"/>
      <c r="N13" s="2635"/>
      <c r="O13" s="2646"/>
      <c r="P13" s="2635"/>
      <c r="Q13" s="2635"/>
      <c r="R13" s="2635"/>
    </row>
    <row r="14" spans="1:28">
      <c r="A14" s="1213"/>
      <c r="B14" s="2601"/>
      <c r="C14" s="2602" t="s">
        <v>2877</v>
      </c>
      <c r="D14" s="2603"/>
      <c r="E14" s="2603">
        <v>40</v>
      </c>
      <c r="F14" s="2603"/>
      <c r="G14" s="2603"/>
      <c r="H14" s="2603"/>
      <c r="I14" s="2603"/>
      <c r="J14" s="2635"/>
      <c r="K14" s="2813"/>
      <c r="L14" s="2809"/>
      <c r="M14" s="2809"/>
      <c r="N14" s="2635"/>
      <c r="O14" s="2646"/>
      <c r="P14" s="2635"/>
      <c r="Q14" s="2635"/>
      <c r="R14" s="2635"/>
    </row>
    <row r="15" spans="1:28">
      <c r="A15" s="326"/>
      <c r="B15" s="2604"/>
      <c r="C15" s="2605" t="s">
        <v>2878</v>
      </c>
      <c r="D15" s="2606" t="str">
        <f>IF(B12="出让",IF(D13="","",ROUNDDOWN(MIN((D13-$D$3)/365,D14),2)),D14)</f>
        <v/>
      </c>
      <c r="E15" s="2606">
        <f>IF(B12="出让",IF(E13="","",ROUNDDOWN(MIN((E13-$D$3)/365,E14),2)),E14)</f>
        <v>20.61</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2879</v>
      </c>
      <c r="B16" s="3260"/>
      <c r="C16" s="3261"/>
      <c r="D16" s="3262"/>
      <c r="E16" s="2609" t="s">
        <v>2880</v>
      </c>
      <c r="F16" s="3263"/>
      <c r="G16" s="3264"/>
      <c r="H16" s="3264"/>
      <c r="I16" s="3265"/>
      <c r="J16" s="2635"/>
      <c r="K16" s="2814"/>
      <c r="L16" s="2647"/>
      <c r="M16" s="2647"/>
      <c r="N16" s="2705"/>
      <c r="O16" s="2647"/>
      <c r="P16" s="2705"/>
      <c r="Q16" s="2635"/>
      <c r="R16" s="2635"/>
    </row>
    <row r="17" spans="1:28">
      <c r="A17" s="319" t="s">
        <v>2881</v>
      </c>
      <c r="B17" s="308" t="s">
        <v>2882</v>
      </c>
      <c r="C17" s="11">
        <f>'数据-汇总表'!E3</f>
        <v>1299.8399999999999</v>
      </c>
      <c r="D17" s="2515" t="s">
        <v>2883</v>
      </c>
      <c r="E17" s="3266" t="s">
        <v>2884</v>
      </c>
      <c r="F17" s="3267"/>
      <c r="G17" s="3267"/>
      <c r="H17" s="3267"/>
      <c r="I17" s="3268"/>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5499.09</v>
      </c>
      <c r="D18" s="1224" t="s">
        <v>2887</v>
      </c>
      <c r="E18" s="3269" t="s">
        <v>2888</v>
      </c>
      <c r="F18" s="3270"/>
      <c r="G18" s="3270"/>
      <c r="H18" s="3270"/>
      <c r="I18" s="3271"/>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56" t="s">
        <v>2892</v>
      </c>
      <c r="C20" s="3257"/>
      <c r="D20" s="3258" t="s">
        <v>2893</v>
      </c>
      <c r="E20" s="3259"/>
      <c r="F20" s="2844" t="s">
        <v>1682</v>
      </c>
      <c r="G20" s="2861"/>
      <c r="H20" s="2861"/>
      <c r="I20" s="2861"/>
      <c r="J20" s="2635"/>
      <c r="K20" s="325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3"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3"/>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3"/>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4"/>
      <c r="B30" s="308" t="s">
        <v>2904</v>
      </c>
      <c r="C30" s="3275"/>
      <c r="D30" s="3276"/>
      <c r="E30" s="2861"/>
      <c r="F30" s="2861"/>
      <c r="G30" s="2861"/>
      <c r="H30" s="2861"/>
      <c r="I30" s="2861"/>
      <c r="J30" s="2635"/>
      <c r="K30" s="2812"/>
      <c r="L30" s="2809"/>
      <c r="M30" s="2809"/>
      <c r="N30" s="2635"/>
      <c r="O30" s="2646"/>
      <c r="P30" s="2635"/>
      <c r="Q30" s="2635"/>
      <c r="R30" s="2635"/>
      <c r="S30" s="2635"/>
      <c r="T30" s="2635"/>
      <c r="U30" s="2635"/>
      <c r="V30" s="2635"/>
    </row>
    <row r="31" spans="1:28">
      <c r="A31" s="3277"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72" t="s">
        <v>2914</v>
      </c>
      <c r="T34" s="2624" t="str">
        <f>NUMBERSTRING(7-K34,1)&amp;"通"</f>
        <v>七通</v>
      </c>
      <c r="U34" s="2635"/>
      <c r="V34" s="2635"/>
    </row>
    <row r="35" spans="1:30">
      <c r="A35" s="2625"/>
      <c r="B35" s="3279" t="s">
        <v>2915</v>
      </c>
      <c r="C35" s="3279"/>
      <c r="D35" s="3279"/>
      <c r="E35" s="3279"/>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2"/>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t="s">
        <v>534</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t="s">
        <v>3136</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5499.09</v>
      </c>
      <c r="B3" s="14">
        <f>IF(C3="否",G5-AT5,G5)</f>
        <v>1299.8399999999999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1299.8399999999999</v>
      </c>
      <c r="H5" s="16">
        <f t="shared" ref="H5:AT5" si="0">SUM(H13:H656)</f>
        <v>1299.8399999999999</v>
      </c>
      <c r="I5" s="16">
        <f t="shared" si="0"/>
        <v>1299.8399999999999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1299.8399999999999</v>
      </c>
      <c r="BA5" s="18">
        <f t="shared" si="1"/>
        <v>1299.8399999999999</v>
      </c>
      <c r="BB5" s="18">
        <f t="shared" si="1"/>
        <v>1299.8399999999999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5499.09</v>
      </c>
      <c r="F6" s="16" t="s">
        <v>1</v>
      </c>
      <c r="G6" s="16" t="s">
        <v>2</v>
      </c>
      <c r="H6" s="20">
        <f>SUMIF(I$12:AB$12,"总值",I6:AB6)</f>
        <v>5499.09</v>
      </c>
      <c r="I6" s="16">
        <f t="shared" ref="I6:AB6" si="2">ROUND($A$3*I5/$B$3,2)</f>
        <v>5499.09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5499.09</v>
      </c>
      <c r="AZ6" s="16" t="s">
        <v>3</v>
      </c>
      <c r="BA6" s="16">
        <f>ROUND($AY$6*BA5/$AZ$5,2)</f>
        <v>5499.09</v>
      </c>
      <c r="BB6" s="16">
        <f>ROUND($AY$6*BB5/$AZ$5,2)</f>
        <v>5499.09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3131</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3132</v>
      </c>
      <c r="E13" s="16">
        <f>IF($C$3="是",ROUND($A$3*G13/$B$3,2),ROUND($A$3*(G13-AT13)/$B$3,2))</f>
        <v>5499.09</v>
      </c>
      <c r="F13" s="32"/>
      <c r="G13" s="33">
        <f>H13+AC13+AT13</f>
        <v>1299.8399999999999</v>
      </c>
      <c r="H13" s="20">
        <f>SUMIF(I$12:AB$12,"总值",I13:AB13)</f>
        <v>1299.8399999999999</v>
      </c>
      <c r="I13" s="1781">
        <v>1299.8399999999999</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5499.09</v>
      </c>
      <c r="AZ13" s="16">
        <f>BA13+BL13</f>
        <v>1299.8399999999999</v>
      </c>
      <c r="BA13" s="16">
        <f>SUM(BB13:BK13)</f>
        <v>1299.8399999999999</v>
      </c>
      <c r="BB13" s="16">
        <f>IF($D13="是",I13-J13,0)</f>
        <v>1299.8399999999999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28.5">
      <c r="A3" s="3280"/>
      <c r="B3" s="3280"/>
      <c r="C3" s="3280"/>
      <c r="D3" s="3281"/>
      <c r="E3" s="32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1" t="s">
        <v>1757</v>
      </c>
      <c r="B2" s="3291"/>
      <c r="C2" s="3291"/>
      <c r="D2" s="904" t="s">
        <v>1733</v>
      </c>
      <c r="E2" s="1794" t="s">
        <v>1734</v>
      </c>
      <c r="F2" s="2856"/>
      <c r="G2" s="2847"/>
      <c r="H2" s="2848"/>
      <c r="I2" s="2518" t="s">
        <v>1758</v>
      </c>
      <c r="J2" s="2856"/>
      <c r="K2" s="2856"/>
      <c r="L2" s="2856"/>
      <c r="M2" s="2856"/>
      <c r="N2" s="2858"/>
      <c r="O2" s="2856"/>
      <c r="P2" s="2856"/>
    </row>
    <row r="3" spans="1:16" ht="15.75" thickBot="1">
      <c r="A3" s="3292" t="s">
        <v>1731</v>
      </c>
      <c r="B3" s="3292"/>
      <c r="C3" s="3292"/>
      <c r="D3" s="46">
        <f>'数据-基础表'!AY6</f>
        <v>5499.09</v>
      </c>
      <c r="E3" s="46">
        <f>'数据-基础表'!AZ5</f>
        <v>1299.8399999999999</v>
      </c>
      <c r="F3" s="2856"/>
      <c r="G3" s="1279"/>
      <c r="H3" s="1157" t="s">
        <v>1732</v>
      </c>
      <c r="I3" s="964">
        <f>ROUND('数据-基础表'!B3/'数据-基础表'!A3,2)</f>
        <v>0.24</v>
      </c>
      <c r="J3" s="2856"/>
      <c r="K3" s="2856"/>
      <c r="L3" s="2856"/>
      <c r="M3" s="2856"/>
      <c r="N3" s="2858"/>
      <c r="O3" s="2856"/>
      <c r="P3" s="2856"/>
    </row>
    <row r="4" spans="1:16" ht="15">
      <c r="A4" s="3293"/>
      <c r="B4" s="3294"/>
      <c r="C4" s="3295"/>
      <c r="D4" s="1796" t="s">
        <v>1733</v>
      </c>
      <c r="E4" s="1797" t="s">
        <v>1734</v>
      </c>
      <c r="F4" s="2856"/>
      <c r="G4" s="2849" t="s">
        <v>1759</v>
      </c>
      <c r="H4" s="1157" t="s">
        <v>1739</v>
      </c>
      <c r="I4" s="964">
        <f>ROUND(SUMIF('数据-基础表'!I9:AS9,"地上",'数据-基础表'!I5:AS5)/'数据-基础表'!A3,2)</f>
        <v>0.24</v>
      </c>
      <c r="J4" s="2856"/>
      <c r="K4" s="2856"/>
      <c r="L4" s="2856"/>
      <c r="M4" s="2856"/>
      <c r="N4" s="2858"/>
      <c r="O4" s="2856"/>
      <c r="P4" s="2856"/>
    </row>
    <row r="5" spans="1:16">
      <c r="A5" s="47" t="s">
        <v>1735</v>
      </c>
      <c r="B5" s="3296" t="s">
        <v>1736</v>
      </c>
      <c r="C5" s="3296"/>
      <c r="D5" s="48">
        <f>ROUND($D$3*E5/$E$3,2)</f>
        <v>0</v>
      </c>
      <c r="E5" s="49">
        <f>SUMIF('数据-基础表'!$11:$11,"住宅",'数据-基础表'!$5:$5)</f>
        <v>0</v>
      </c>
      <c r="F5" s="2856"/>
      <c r="G5" s="1279"/>
      <c r="H5" s="1157" t="s">
        <v>1732</v>
      </c>
      <c r="I5" s="964">
        <f>ROUND(E31/D31,2)</f>
        <v>0.24</v>
      </c>
      <c r="J5" s="2856"/>
      <c r="K5" s="2856"/>
      <c r="L5" s="2856"/>
      <c r="M5" s="2856"/>
      <c r="N5" s="2856"/>
      <c r="O5" s="2856"/>
      <c r="P5" s="2856"/>
    </row>
    <row r="6" spans="1:16" ht="15" thickBot="1">
      <c r="A6" s="1799"/>
      <c r="B6" s="3296" t="s">
        <v>1737</v>
      </c>
      <c r="C6" s="3296"/>
      <c r="D6" s="48">
        <f>ROUND($D$3*E6/$E$3,2)</f>
        <v>5499.09</v>
      </c>
      <c r="E6" s="49">
        <f>E3-E5</f>
        <v>1299.8399999999999</v>
      </c>
      <c r="F6" s="2856"/>
      <c r="G6" s="2850" t="s">
        <v>1738</v>
      </c>
      <c r="H6" s="1280" t="s">
        <v>1739</v>
      </c>
      <c r="I6" s="2851">
        <f>ROUND(F31/D31,2)</f>
        <v>0.24</v>
      </c>
      <c r="J6" s="2856"/>
      <c r="K6" s="2856"/>
      <c r="L6" s="2856"/>
      <c r="M6" s="2856"/>
      <c r="N6" s="2856"/>
      <c r="O6" s="2856"/>
      <c r="P6" s="2856"/>
    </row>
    <row r="7" spans="1:16" ht="15.75" thickBot="1">
      <c r="A7" s="3288"/>
      <c r="B7" s="3289"/>
      <c r="C7" s="3290"/>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5499.09</v>
      </c>
      <c r="E8" s="51">
        <f>SUMIF('数据-基础表'!BB10:BK10,"地上",'数据-基础表'!BB5:BK5)</f>
        <v>1299.8399999999999</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5499.09</v>
      </c>
      <c r="E16" s="53">
        <f>SUM(E8:E15)</f>
        <v>1299.8399999999999</v>
      </c>
      <c r="F16" s="2856"/>
      <c r="G16" s="2857"/>
      <c r="H16" s="1803" t="s">
        <v>1761</v>
      </c>
      <c r="I16" s="1804"/>
      <c r="J16" s="1273"/>
      <c r="K16" s="3285" t="s">
        <v>1761</v>
      </c>
      <c r="L16" s="3286"/>
      <c r="M16" s="3286"/>
      <c r="N16" s="3286"/>
      <c r="O16" s="3286"/>
      <c r="P16" s="3287"/>
    </row>
    <row r="17" spans="1:19" ht="15">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544" t="s">
        <v>3133</v>
      </c>
      <c r="D19" s="48">
        <f>ROUND($D$3*E19/$E$3,2)</f>
        <v>5499.09</v>
      </c>
      <c r="E19" s="56">
        <f t="shared" ref="E19:E26" si="1">SUM(F19:G19)</f>
        <v>1299.8399999999999</v>
      </c>
      <c r="F19" s="2996">
        <f>'数据-基础表'!I13</f>
        <v>1299.8399999999999</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5499.09</v>
      </c>
      <c r="S19" s="1158">
        <f t="shared" si="5"/>
        <v>1299.8399999999999</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5499.09</v>
      </c>
      <c r="E27" s="1275">
        <f>IF(SUM(E19:E26)='数据-基础表'!BA5,SUM(E19:E26),IF(F27="地上面积有误","面积有误","地下面积有误"))</f>
        <v>1299.8399999999999</v>
      </c>
      <c r="F27" s="1274">
        <f>IF(SUM(F19:F26)=E8,SUM(F19:F26),"地上面积有误")</f>
        <v>1299.8399999999999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5499.09</v>
      </c>
      <c r="S27" s="1157">
        <f>IF(SUM(S19:S26)=$E$3,SUM(S19:S26),SUM(S19:S26)&amp;"误差"&amp;ROUND(SUM(S19:S26)-E3,2))</f>
        <v>1299.8399999999999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5499.09</v>
      </c>
      <c r="E31" s="685">
        <f>E27+E30</f>
        <v>1299.8399999999999</v>
      </c>
      <c r="F31" s="686">
        <f>F27+F30</f>
        <v>1299.8399999999999</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44638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52163</v>
      </c>
      <c r="F6" s="68">
        <f>SUMIF(项目基本情况!D$12:I$12,C6,项目基本情况!D$15:I$15)</f>
        <v>20.61</v>
      </c>
      <c r="G6" s="69">
        <f>IF(ISERROR(ROUND(POWER(1+H6,D6-F6)*(POWER(1+H6,F6)-1)/(POWER(1+H6,D6)-1),3)),0,ROUND(POWER(1+H6,D6-F6)*(POWER(1+H6,F6)-1)/(POWER(1+H6,D6)-1),3))</f>
        <v>0.73899999999999999</v>
      </c>
      <c r="H6" s="741">
        <v>0.05</v>
      </c>
      <c r="I6" s="741">
        <v>5.5E-2</v>
      </c>
      <c r="J6" s="70">
        <v>8.5000000000000006E-2</v>
      </c>
      <c r="K6" s="1161">
        <f>SUMIF('数据-汇总表'!C$19:C$33,A6,'数据-汇总表'!E$19:E$33)</f>
        <v>1299.8399999999999</v>
      </c>
      <c r="L6" s="742">
        <v>2000</v>
      </c>
      <c r="M6" s="71">
        <f t="shared" ref="M6:M14" si="0">ROUND(K6*L6/10000,0)</f>
        <v>260</v>
      </c>
      <c r="N6" s="740">
        <v>0.7</v>
      </c>
      <c r="O6" s="71" t="str">
        <f>IF($N$5="成新度","——",ROUND(M6*N6,0))</f>
        <v>——</v>
      </c>
      <c r="P6" s="72" t="str">
        <f>IF($N$5="成新度","——",M6-O6)</f>
        <v>——</v>
      </c>
      <c r="Q6" s="743">
        <v>0.15</v>
      </c>
      <c r="R6" s="73">
        <f ca="1">SUMIF('数据-汇总表'!C$19:C$33,A6,'数据-汇总表'!R$19:R$27)</f>
        <v>5499.09</v>
      </c>
      <c r="S6" s="54">
        <f>IF('数据-汇总表'!$I$17="按面积比例",SUMIF('数据-汇总表'!C$19:C$33,A6,'数据-汇总表'!K$19:K$33),SUMIF('数据-汇总表'!C$19:C$33,A6,'数据-汇总表'!N$19:N$33))</f>
        <v>0</v>
      </c>
      <c r="T6" s="1306">
        <f>ROUND($L$14*S6/10000,0)</f>
        <v>0</v>
      </c>
      <c r="U6" s="3545">
        <v>1.8</v>
      </c>
      <c r="V6" s="75">
        <v>2.5000000000000001E-2</v>
      </c>
      <c r="W6" s="75">
        <v>0.1</v>
      </c>
      <c r="X6" s="1171"/>
      <c r="Y6" s="76">
        <f>N6</f>
        <v>0.7</v>
      </c>
      <c r="Z6" s="77"/>
      <c r="AA6" s="70"/>
      <c r="AB6" s="70"/>
      <c r="AC6" s="1171"/>
      <c r="AD6" s="78"/>
      <c r="AE6" s="1172">
        <f ca="1">IF(AN6="",0,SUMIF(INDIRECT("'"&amp;AN6&amp;"'"&amp;"!E:E"),$AE$5,INDIRECT("'"&amp;AN6&amp;"'"&amp;"!F:F")))</f>
        <v>20.61</v>
      </c>
      <c r="AF6" s="1502"/>
      <c r="AG6" s="143">
        <f>IF(AF6="",0,AE6-AF6)</f>
        <v>0</v>
      </c>
      <c r="AH6" s="79"/>
      <c r="AI6" s="81">
        <v>365</v>
      </c>
      <c r="AJ6" s="82"/>
      <c r="AK6" s="83">
        <v>0.01</v>
      </c>
      <c r="AL6" s="84">
        <v>1E-3</v>
      </c>
      <c r="AM6" s="85">
        <v>0.01</v>
      </c>
      <c r="AN6" s="1871" t="s">
        <v>3155</v>
      </c>
      <c r="AO6" s="55">
        <f ca="1">SUMIF(INDIRECT("'"&amp;AN6&amp;"'"&amp;"!A:A"),"总价",INDIRECT("'"&amp;AN6&amp;"'"&amp;"!B:B"))</f>
        <v>956</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0.73899999999999999</v>
      </c>
      <c r="H16" s="95">
        <f>ROUND(SUMPRODUCT(H6:H13,K6:K13)/SUMPRODUCT((H6:H13&gt;0)*(K6:K13)),3)</f>
        <v>0.05</v>
      </c>
      <c r="I16" s="96"/>
      <c r="J16" s="96"/>
      <c r="K16" s="97">
        <f>SUM(K6:K15)</f>
        <v>1299.8399999999999</v>
      </c>
      <c r="L16" s="98">
        <f>ROUND(M16*10000/SUM(K6:K14),0)</f>
        <v>2000</v>
      </c>
      <c r="M16" s="98">
        <f>SUM(M6:M14)</f>
        <v>260</v>
      </c>
      <c r="N16" s="99">
        <f>ROUND(SUMPRODUCT(M6:M14,N6:N14)/M16,3)</f>
        <v>0.7</v>
      </c>
      <c r="O16" s="98">
        <f>SUM(O6:O14)</f>
        <v>0</v>
      </c>
      <c r="P16" s="98">
        <f>SUM(P6:P14)</f>
        <v>0</v>
      </c>
      <c r="Q16" s="100">
        <f>ROUND(SUMPRODUCT(Q6:Q13,K6:K13)/SUMPRODUCT((Q6:Q13&gt;0)*(K6:K13)),2)</f>
        <v>0.15</v>
      </c>
      <c r="R16" s="1165">
        <f ca="1">SUM(R6:R13)</f>
        <v>5499.09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2989</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160</v>
      </c>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26</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v>0</v>
      </c>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f>C59</f>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7" t="s">
        <v>2972</v>
      </c>
      <c r="B1" s="3298"/>
      <c r="C1" s="3298"/>
      <c r="D1" s="3298"/>
      <c r="E1" s="3298"/>
      <c r="F1" s="3298"/>
      <c r="G1" s="329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1299.8399999999999</v>
      </c>
      <c r="C1" s="2885"/>
      <c r="D1" s="2885"/>
      <c r="E1" s="2885"/>
      <c r="F1" s="2885"/>
      <c r="G1" s="2886"/>
      <c r="H1" s="2887"/>
      <c r="I1" s="2887"/>
      <c r="J1" s="2887"/>
      <c r="K1" s="2887"/>
    </row>
    <row r="2" spans="1:11" ht="16.5">
      <c r="A2" s="2708" t="s">
        <v>1259</v>
      </c>
      <c r="B2" s="2708">
        <f>SUM(C14:C23)</f>
        <v>5499.09</v>
      </c>
      <c r="C2" s="2885"/>
      <c r="D2" s="2885"/>
      <c r="E2" s="2885"/>
      <c r="F2" s="2885"/>
      <c r="G2" s="2886"/>
      <c r="H2" s="2887"/>
      <c r="I2" s="2887"/>
      <c r="J2" s="2887"/>
      <c r="K2" s="2887"/>
    </row>
    <row r="3" spans="1:11" ht="16.5">
      <c r="A3" s="2708" t="s">
        <v>1268</v>
      </c>
      <c r="B3" s="2710">
        <f>项目基本情况!D3</f>
        <v>44638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t="e">
        <f ca="1">SUM(D14:D23)</f>
        <v>#REF!</v>
      </c>
      <c r="C5" s="2708" t="e">
        <f ca="1">ROUND(B5*10000/$B$1,0)</f>
        <v>#REF!</v>
      </c>
      <c r="D5" s="2708" t="e">
        <f ca="1">ROUND(B5*10000/$B$2,0)</f>
        <v>#REF!</v>
      </c>
      <c r="E5" s="2885"/>
      <c r="F5" s="2886"/>
      <c r="G5" s="2886"/>
      <c r="H5" s="2887"/>
      <c r="I5" s="2887"/>
      <c r="J5" s="2887"/>
      <c r="K5" s="2887"/>
    </row>
    <row r="6" spans="1:11" ht="16.5">
      <c r="A6" s="2708" t="s">
        <v>1262</v>
      </c>
      <c r="B6" s="2708" t="e">
        <f ca="1">SUM(G14:G23)</f>
        <v>#REF!</v>
      </c>
      <c r="C6" s="2708" t="e">
        <f ca="1">ROUND(B6*10000/$B$1,0)</f>
        <v>#REF!</v>
      </c>
      <c r="D6" s="2708" t="e">
        <f ca="1">ROUND(B6*10000/$B$2,0)</f>
        <v>#REF!</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1299.8399999999999</v>
      </c>
      <c r="C14" s="2714">
        <f>结果表!C118</f>
        <v>5499.09</v>
      </c>
      <c r="D14" s="2714" t="e">
        <f ca="1">结果表!H118</f>
        <v>#REF!</v>
      </c>
      <c r="E14" s="2714" t="e">
        <f ca="1">ROUND(D14*10000/B14,0)</f>
        <v>#REF!</v>
      </c>
      <c r="F14" s="2714" t="e">
        <f ca="1">ROUND(D14*10000/C14,0)</f>
        <v>#REF!</v>
      </c>
      <c r="G14" s="2714" t="e">
        <f ca="1">结果表!D122</f>
        <v>#REF!</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69" t="str">
        <f>项目基本情况!S2</f>
        <v>房地产</v>
      </c>
      <c r="B2" s="3370"/>
      <c r="C2" s="3370"/>
      <c r="D2" s="3370"/>
      <c r="E2" s="3370"/>
      <c r="F2" s="3370"/>
      <c r="G2" s="3370"/>
      <c r="H2" s="3370"/>
      <c r="I2" s="3371"/>
    </row>
    <row r="3" spans="1:12" ht="12.75">
      <c r="A3" s="3373" t="s">
        <v>1890</v>
      </c>
      <c r="B3" s="3374"/>
      <c r="C3" s="3374"/>
      <c r="D3" s="3374"/>
      <c r="E3" s="3374"/>
      <c r="F3" s="3374"/>
      <c r="G3" s="3374"/>
      <c r="H3" s="3374"/>
      <c r="I3" s="3374"/>
    </row>
    <row r="4" spans="1:12" ht="14.25">
      <c r="A4" s="1910" t="s">
        <v>1891</v>
      </c>
      <c r="B4" s="1911" t="s">
        <v>1892</v>
      </c>
      <c r="C4" s="1912" t="s">
        <v>3154</v>
      </c>
      <c r="D4" s="1912" t="s">
        <v>3155</v>
      </c>
      <c r="E4" s="3378" t="s">
        <v>1893</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4" t="s">
        <v>1894</v>
      </c>
      <c r="B5" s="3372">
        <v>25</v>
      </c>
      <c r="C5" s="3375"/>
      <c r="D5" s="3363"/>
      <c r="E5" s="136" t="s">
        <v>1895</v>
      </c>
      <c r="F5" s="1913"/>
      <c r="G5" s="1913"/>
      <c r="H5" s="1913"/>
      <c r="I5" s="1527"/>
    </row>
    <row r="6" spans="1:12" ht="12.75">
      <c r="A6" s="3314"/>
      <c r="B6" s="3372"/>
      <c r="C6" s="3377"/>
      <c r="D6" s="3363"/>
      <c r="E6" s="136" t="s">
        <v>1896</v>
      </c>
      <c r="F6" s="1913"/>
      <c r="G6" s="1913"/>
      <c r="H6" s="1913"/>
      <c r="I6" s="1527"/>
    </row>
    <row r="7" spans="1:12" ht="12.75">
      <c r="A7" s="3314"/>
      <c r="B7" s="3372"/>
      <c r="C7" s="3376"/>
      <c r="D7" s="3363"/>
      <c r="E7" s="136" t="s">
        <v>1897</v>
      </c>
      <c r="F7" s="1913"/>
      <c r="G7" s="1913"/>
      <c r="H7" s="1913"/>
      <c r="I7" s="1527"/>
    </row>
    <row r="8" spans="1:12" ht="12.75">
      <c r="A8" s="3314" t="s">
        <v>1898</v>
      </c>
      <c r="B8" s="3372">
        <v>15</v>
      </c>
      <c r="C8" s="3375"/>
      <c r="D8" s="3363"/>
      <c r="E8" s="136" t="s">
        <v>1899</v>
      </c>
      <c r="F8" s="1913"/>
      <c r="G8" s="1913"/>
      <c r="H8" s="1913"/>
      <c r="I8" s="1527"/>
    </row>
    <row r="9" spans="1:12" ht="12.75">
      <c r="A9" s="3314"/>
      <c r="B9" s="3372"/>
      <c r="C9" s="3376"/>
      <c r="D9" s="3363"/>
      <c r="E9" s="136" t="s">
        <v>1900</v>
      </c>
      <c r="F9" s="1913"/>
      <c r="G9" s="1913"/>
      <c r="H9" s="1913"/>
      <c r="I9" s="1527"/>
    </row>
    <row r="10" spans="1:12" ht="12.75">
      <c r="A10" s="3314" t="s">
        <v>1901</v>
      </c>
      <c r="B10" s="3372">
        <v>15</v>
      </c>
      <c r="C10" s="3375"/>
      <c r="D10" s="3363"/>
      <c r="E10" s="136" t="s">
        <v>1902</v>
      </c>
      <c r="F10" s="1913"/>
      <c r="G10" s="1913"/>
      <c r="H10" s="1913"/>
      <c r="I10" s="1527"/>
    </row>
    <row r="11" spans="1:12" ht="12.75">
      <c r="A11" s="3314"/>
      <c r="B11" s="3372"/>
      <c r="C11" s="3376"/>
      <c r="D11" s="3363"/>
      <c r="E11" s="136" t="s">
        <v>1903</v>
      </c>
      <c r="F11" s="1913"/>
      <c r="G11" s="1913"/>
      <c r="H11" s="1913"/>
      <c r="I11" s="1527"/>
    </row>
    <row r="12" spans="1:12" ht="12.75">
      <c r="A12" s="3314" t="s">
        <v>1904</v>
      </c>
      <c r="B12" s="3372">
        <v>15</v>
      </c>
      <c r="C12" s="3375"/>
      <c r="D12" s="3363"/>
      <c r="E12" s="136" t="s">
        <v>1905</v>
      </c>
      <c r="F12" s="1913"/>
      <c r="G12" s="1913"/>
      <c r="H12" s="1913"/>
      <c r="I12" s="1527"/>
    </row>
    <row r="13" spans="1:12" ht="12.75">
      <c r="A13" s="3314"/>
      <c r="B13" s="3372"/>
      <c r="C13" s="3376"/>
      <c r="D13" s="3363"/>
      <c r="E13" s="136" t="s">
        <v>1906</v>
      </c>
      <c r="F13" s="1913"/>
      <c r="G13" s="1913"/>
      <c r="H13" s="1913"/>
      <c r="I13" s="1527"/>
    </row>
    <row r="14" spans="1:12" ht="12.75">
      <c r="A14" s="3314" t="s">
        <v>1907</v>
      </c>
      <c r="B14" s="3372">
        <v>30</v>
      </c>
      <c r="C14" s="3375">
        <v>45</v>
      </c>
      <c r="D14" s="3363">
        <v>55</v>
      </c>
      <c r="E14" s="136" t="s">
        <v>1908</v>
      </c>
      <c r="F14" s="1913"/>
      <c r="G14" s="1913"/>
      <c r="H14" s="1913"/>
      <c r="I14" s="1527"/>
    </row>
    <row r="15" spans="1:12" ht="12.75">
      <c r="A15" s="3314"/>
      <c r="B15" s="3372"/>
      <c r="C15" s="3377"/>
      <c r="D15" s="3363"/>
      <c r="E15" s="136" t="s">
        <v>1909</v>
      </c>
      <c r="F15" s="1913"/>
      <c r="G15" s="1913"/>
      <c r="H15" s="1913"/>
      <c r="I15" s="1527"/>
    </row>
    <row r="16" spans="1:12" ht="12.75">
      <c r="A16" s="3314"/>
      <c r="B16" s="3372"/>
      <c r="C16" s="3376"/>
      <c r="D16" s="3363"/>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94" t="s">
        <v>2813</v>
      </c>
      <c r="F18" s="3395"/>
      <c r="G18" s="3395"/>
      <c r="H18" s="3395"/>
      <c r="I18" s="3395"/>
      <c r="K18" s="308" t="s">
        <v>1915</v>
      </c>
      <c r="L18" s="308">
        <f>IF(C1="",'数据-汇总表'!E3,SUMIF(项目类型,C1,'数据-汇总表'!E17:E26)+SUMIF(项目类型,C1,'数据-汇总表'!I17:I26))</f>
        <v>1299.8399999999999</v>
      </c>
      <c r="M18" s="308">
        <f>IF(C1="",'数据-汇总表'!E3,SUMIF(项目类型,C1,'数据-汇总表'!E17:E26))</f>
        <v>1299.8399999999999</v>
      </c>
    </row>
    <row r="19" spans="1:36" ht="15">
      <c r="A19" s="1917" t="s">
        <v>1916</v>
      </c>
      <c r="B19" s="1918" t="s">
        <v>1917</v>
      </c>
      <c r="C19" s="139">
        <f ca="1">SUMIF(INDIRECT("'"&amp;C4&amp;"'"&amp;"!A:A"),结果表!B19,INDIRECT("'"&amp;C4&amp;"'"&amp;"!B:B"))</f>
        <v>2800</v>
      </c>
      <c r="D19" s="140">
        <f ca="1">SUMIF(INDIRECT("'"&amp;D4&amp;"'"&amp;"!A:A"),结果表!B19,INDIRECT("'"&amp;D4&amp;"'"&amp;"!B:B"))</f>
        <v>956</v>
      </c>
      <c r="E19" s="1917" t="s">
        <v>1918</v>
      </c>
      <c r="F19" s="1918" t="s">
        <v>1917</v>
      </c>
      <c r="G19" s="141">
        <f ca="1">ROUND(C19*$C$18+D19*$D$18,0)</f>
        <v>1786</v>
      </c>
      <c r="H19" s="1919" t="s">
        <v>1919</v>
      </c>
      <c r="I19" s="134"/>
      <c r="K19" s="308" t="s">
        <v>1920</v>
      </c>
      <c r="L19" s="308">
        <f>IF(C1="",'数据-汇总表'!D3,SUMIF(项目类型,C1,'数据-汇总表'!D17:D26)+SUMIF(项目类型,C1,'数据-汇总表'!H17:H27))</f>
        <v>5499.09</v>
      </c>
      <c r="M19" s="308">
        <f>IF(C1="",'数据-汇总表'!D3,SUMIF(项目类型,C1,'数据-汇总表'!D17:D26))</f>
        <v>5499.09</v>
      </c>
    </row>
    <row r="20" spans="1:36" ht="15">
      <c r="A20" s="1920"/>
      <c r="B20" s="1157" t="s">
        <v>1921</v>
      </c>
      <c r="C20" s="142">
        <f ca="1">SUMIF(INDIRECT("'"&amp;C4&amp;"'"&amp;"!A:A"),结果表!B20,INDIRECT("'"&amp;C4&amp;"'"&amp;"!B:B"))</f>
        <v>21541</v>
      </c>
      <c r="D20" s="143">
        <f ca="1">SUMIF(INDIRECT("'"&amp;D4&amp;"'"&amp;"!A:A"),结果表!B20,INDIRECT("'"&amp;D4&amp;"'"&amp;"!B:B"))</f>
        <v>7355</v>
      </c>
      <c r="E20" s="1920"/>
      <c r="F20" s="1157" t="s">
        <v>1921</v>
      </c>
      <c r="G20" s="144">
        <f ca="1">ROUND(C20*$C$18+D20*$D$18,0)</f>
        <v>13739</v>
      </c>
      <c r="H20" s="917" t="s">
        <v>1922</v>
      </c>
      <c r="I20" s="134"/>
    </row>
    <row r="21" spans="1:36" ht="15" customHeight="1" thickBot="1">
      <c r="A21" s="937"/>
      <c r="B21" s="1921" t="s">
        <v>1923</v>
      </c>
      <c r="C21" s="728">
        <f ca="1">ROUND(C19*10000/L19,0)</f>
        <v>5092</v>
      </c>
      <c r="D21" s="729">
        <f ca="1">ROUND(D19*10000/L19,0)</f>
        <v>1738</v>
      </c>
      <c r="E21" s="937"/>
      <c r="F21" s="1921" t="s">
        <v>1923</v>
      </c>
      <c r="G21" s="145">
        <f ca="1">ROUND(G19*10000/L19,0)</f>
        <v>3248</v>
      </c>
      <c r="H21" s="1922" t="s">
        <v>1922</v>
      </c>
      <c r="I21" s="134"/>
    </row>
    <row r="22" spans="1:36" ht="15" thickBot="1">
      <c r="A22" s="1844" t="s">
        <v>1924</v>
      </c>
      <c r="B22" s="1923"/>
      <c r="C22" s="1924"/>
      <c r="D22" s="730">
        <f ca="1">IF(C19&lt;D19,D19/C19-1,C19/D19-1)</f>
        <v>1.9288702928870292</v>
      </c>
      <c r="E22" s="134"/>
      <c r="F22" s="134"/>
      <c r="G22" s="134"/>
      <c r="H22" s="134"/>
      <c r="I22" s="134"/>
    </row>
    <row r="23" spans="1:36" ht="13.5" thickBot="1">
      <c r="A23" s="1903"/>
      <c r="B23" s="1903"/>
      <c r="C23" s="1903"/>
      <c r="D23" s="1903"/>
      <c r="E23" s="134"/>
      <c r="F23" s="134"/>
      <c r="G23" s="134"/>
      <c r="H23" s="134"/>
      <c r="I23" s="134"/>
    </row>
    <row r="24" spans="1:36" ht="14.25">
      <c r="A24" s="3387" t="s">
        <v>1925</v>
      </c>
      <c r="B24" s="1918" t="s">
        <v>1917</v>
      </c>
      <c r="C24" s="141">
        <f>IF(B30=0,0,D30)</f>
        <v>0</v>
      </c>
      <c r="D24" s="1925"/>
      <c r="E24" s="134"/>
      <c r="F24" s="134"/>
      <c r="G24" s="134"/>
      <c r="H24" s="134"/>
      <c r="I24" s="134"/>
    </row>
    <row r="25" spans="1:36" ht="14.25">
      <c r="A25" s="338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13739</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64" t="s">
        <v>1938</v>
      </c>
      <c r="B36" s="1943" t="s">
        <v>1939</v>
      </c>
      <c r="C36" s="150"/>
      <c r="D36" s="1944"/>
      <c r="E36" s="1945"/>
      <c r="F36" s="1946"/>
      <c r="G36" s="134"/>
      <c r="H36" s="134"/>
      <c r="I36" s="134"/>
    </row>
    <row r="37" spans="1:15" ht="15.75" thickBot="1">
      <c r="A37" s="3365"/>
      <c r="B37" s="1830" t="s">
        <v>1940</v>
      </c>
      <c r="C37" s="152"/>
      <c r="D37" s="1273"/>
      <c r="E37" s="1273"/>
      <c r="F37" s="1946"/>
      <c r="G37" s="134"/>
      <c r="H37" s="134"/>
      <c r="I37" s="134"/>
    </row>
    <row r="38" spans="1:15" ht="15.75" thickBot="1">
      <c r="A38" s="336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4" t="s">
        <v>1952</v>
      </c>
      <c r="B45" s="3385"/>
      <c r="C45" s="3386"/>
      <c r="D45" s="160" t="e">
        <f ca="1">ROUND(H101*F45,0)</f>
        <v>#REF!</v>
      </c>
      <c r="E45" s="161" t="s">
        <v>1953</v>
      </c>
      <c r="F45" s="162">
        <v>1</v>
      </c>
      <c r="G45" s="163" t="s">
        <v>1954</v>
      </c>
      <c r="H45" s="134"/>
      <c r="I45" s="134"/>
      <c r="J45" s="3301" t="s">
        <v>1955</v>
      </c>
      <c r="K45" s="3301"/>
      <c r="L45" s="3301"/>
      <c r="M45" s="3301"/>
      <c r="N45" s="3301"/>
      <c r="O45" s="3301"/>
    </row>
    <row r="46" spans="1:15" ht="14.25" customHeight="1">
      <c r="A46" s="3381" t="s">
        <v>1956</v>
      </c>
      <c r="B46" s="3382"/>
      <c r="C46" s="3382"/>
      <c r="D46" s="3382"/>
      <c r="E46" s="3382"/>
      <c r="F46" s="3382"/>
      <c r="G46" s="3383"/>
      <c r="H46" s="1962"/>
      <c r="I46" s="164"/>
      <c r="J46" s="2719">
        <v>1</v>
      </c>
      <c r="K46" s="3302" t="s">
        <v>1957</v>
      </c>
      <c r="L46" s="3302"/>
      <c r="M46" s="3303"/>
      <c r="N46" s="3303"/>
      <c r="O46" s="3303"/>
    </row>
    <row r="47" spans="1:15" ht="12" customHeight="1">
      <c r="A47" s="165" t="s">
        <v>1958</v>
      </c>
      <c r="B47" s="166"/>
      <c r="C47" s="167"/>
      <c r="D47" s="1219" t="s">
        <v>1959</v>
      </c>
      <c r="E47" s="308" t="s">
        <v>1960</v>
      </c>
      <c r="F47" s="168" t="s">
        <v>1961</v>
      </c>
      <c r="G47" s="2742" t="s">
        <v>1962</v>
      </c>
      <c r="H47" s="2743"/>
      <c r="I47" s="164"/>
      <c r="J47" s="2719">
        <v>2</v>
      </c>
      <c r="K47" s="3302" t="s">
        <v>1963</v>
      </c>
      <c r="L47" s="3302"/>
      <c r="M47" s="3304">
        <f>'数据-取费表'!B2</f>
        <v>44638</v>
      </c>
      <c r="N47" s="3304"/>
      <c r="O47" s="3304"/>
    </row>
    <row r="48" spans="1:15" ht="25.5">
      <c r="A48" s="3367" t="s">
        <v>1964</v>
      </c>
      <c r="B48" s="3368"/>
      <c r="C48" s="3368"/>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02" t="s">
        <v>1966</v>
      </c>
      <c r="L48" s="3302"/>
      <c r="M48" s="3305" t="e">
        <f ca="1">H101</f>
        <v>#REF!</v>
      </c>
      <c r="N48" s="3305"/>
      <c r="O48" s="3305"/>
    </row>
    <row r="49" spans="1:35" ht="25.5" customHeight="1">
      <c r="A49" s="2526" t="s">
        <v>1967</v>
      </c>
      <c r="B49" s="3350" t="s">
        <v>1968</v>
      </c>
      <c r="C49" s="3350"/>
      <c r="D49" s="1745">
        <v>0</v>
      </c>
      <c r="E49" s="330" t="s">
        <v>1969</v>
      </c>
      <c r="F49" s="2620" t="s">
        <v>34</v>
      </c>
      <c r="G49" s="3333"/>
      <c r="H49" s="2498" t="s">
        <v>2816</v>
      </c>
      <c r="I49" s="2499"/>
      <c r="J49" s="2719">
        <v>4</v>
      </c>
      <c r="K49" s="3302" t="str">
        <f>IF(项目基本情况!E8="房地产抵押价值","房地产抵押价值","抵押担保权已注销时的房地产抵押价值")</f>
        <v>房地产抵押价值</v>
      </c>
      <c r="L49" s="3302"/>
      <c r="M49" s="3305" t="str">
        <f ca="1">IF(项目基本情况!E8="房地产抵押价值",H107,H109)</f>
        <v>——</v>
      </c>
      <c r="N49" s="3305"/>
      <c r="O49" s="3305"/>
    </row>
    <row r="50" spans="1:35" ht="25.5" customHeight="1">
      <c r="A50" s="2747"/>
      <c r="B50" s="3350" t="s">
        <v>1970</v>
      </c>
      <c r="C50" s="3350"/>
      <c r="D50" s="2748"/>
      <c r="E50" s="338"/>
      <c r="F50" s="2620"/>
      <c r="G50" s="3334"/>
      <c r="H50" s="2500" t="s">
        <v>2817</v>
      </c>
      <c r="I50" s="2499"/>
      <c r="J50" s="3301" t="s">
        <v>1971</v>
      </c>
      <c r="K50" s="3301"/>
      <c r="L50" s="3301"/>
      <c r="M50" s="3301"/>
      <c r="N50" s="3301"/>
      <c r="O50" s="3301"/>
    </row>
    <row r="51" spans="1:35" ht="20.45" customHeight="1">
      <c r="A51" s="2749"/>
      <c r="B51" s="3350" t="s">
        <v>1972</v>
      </c>
      <c r="C51" s="3350"/>
      <c r="D51" s="1219"/>
      <c r="E51" s="333"/>
      <c r="F51" s="2620"/>
      <c r="G51" s="3335"/>
      <c r="H51" s="2500" t="s">
        <v>2818</v>
      </c>
      <c r="I51" s="2499"/>
      <c r="J51" s="2720" t="s">
        <v>1973</v>
      </c>
      <c r="K51" s="3302" t="s">
        <v>1974</v>
      </c>
      <c r="L51" s="3302"/>
      <c r="M51" s="2720" t="s">
        <v>1975</v>
      </c>
      <c r="N51" s="2720" t="s">
        <v>1976</v>
      </c>
      <c r="O51" s="2720" t="s">
        <v>1977</v>
      </c>
    </row>
    <row r="52" spans="1:35" ht="24" customHeight="1">
      <c r="A52" s="2528" t="s">
        <v>1978</v>
      </c>
      <c r="B52" s="3350" t="s">
        <v>1979</v>
      </c>
      <c r="C52" s="3350"/>
      <c r="D52" s="1219" t="e">
        <f ca="1">ROUND(D45*'数据-取费表'!B41/(1+'数据-取费表'!C42),0)</f>
        <v>#REF!</v>
      </c>
      <c r="E52" s="2527" t="s">
        <v>1980</v>
      </c>
      <c r="F52" s="2750">
        <f>'数据-取费表'!B41</f>
        <v>5.6000000000000001E-2</v>
      </c>
      <c r="G52" s="2751"/>
      <c r="H52" s="2740"/>
      <c r="I52" s="1963"/>
      <c r="J52" s="2719">
        <v>1</v>
      </c>
      <c r="K52" s="3327" t="s">
        <v>1981</v>
      </c>
      <c r="L52" s="3327"/>
      <c r="M52" s="2721" t="b">
        <f>D48</f>
        <v>0</v>
      </c>
      <c r="N52" s="2719" t="str">
        <f>E48</f>
        <v>销售额×税（费）率</v>
      </c>
      <c r="O52" s="2722">
        <f>F48</f>
        <v>5.6000000000000001E-2</v>
      </c>
    </row>
    <row r="53" spans="1:35" ht="12" customHeight="1">
      <c r="A53" s="2528" t="s">
        <v>1982</v>
      </c>
      <c r="B53" s="3351" t="s">
        <v>2977</v>
      </c>
      <c r="C53" s="3352"/>
      <c r="D53" s="1219" t="e">
        <f ca="1">ROUND(D45*'数据-取费表'!B41/(1+'数据-取费表'!C42),0)</f>
        <v>#REF!</v>
      </c>
      <c r="E53" s="2527" t="s">
        <v>1980</v>
      </c>
      <c r="F53" s="2750">
        <f>'数据-取费表'!B41</f>
        <v>5.6000000000000001E-2</v>
      </c>
      <c r="G53" s="2751"/>
      <c r="H53" s="2740"/>
      <c r="I53" s="1963"/>
      <c r="J53" s="2719">
        <v>2</v>
      </c>
      <c r="K53" s="3327" t="s">
        <v>1983</v>
      </c>
      <c r="L53" s="3327"/>
      <c r="M53" s="2721" t="e">
        <f t="shared" ref="M53:O54" ca="1" si="0">D55</f>
        <v>#REF!</v>
      </c>
      <c r="N53" s="2719" t="str">
        <f t="shared" si="0"/>
        <v>销售额×税（费）率</v>
      </c>
      <c r="O53" s="2722" t="str">
        <f t="shared" si="0"/>
        <v>免征</v>
      </c>
    </row>
    <row r="54" spans="1:35" ht="12" customHeight="1">
      <c r="A54" s="2528" t="s">
        <v>1984</v>
      </c>
      <c r="B54" s="3351" t="s">
        <v>2978</v>
      </c>
      <c r="C54" s="3352"/>
      <c r="D54" s="1219" t="e">
        <f ca="1">C68</f>
        <v>#REF!</v>
      </c>
      <c r="E54" s="333" t="s">
        <v>1985</v>
      </c>
      <c r="F54" s="2750">
        <f>'数据-取费表'!B41</f>
        <v>5.6000000000000001E-2</v>
      </c>
      <c r="G54" s="2751"/>
      <c r="H54" s="2752"/>
      <c r="I54" s="1963"/>
      <c r="J54" s="2719">
        <v>3</v>
      </c>
      <c r="K54" s="3327" t="s">
        <v>1986</v>
      </c>
      <c r="L54" s="3327"/>
      <c r="M54" s="2721" t="e">
        <f t="shared" ca="1" si="0"/>
        <v>#REF!</v>
      </c>
      <c r="N54" s="2719" t="str">
        <f t="shared" si="0"/>
        <v>增值额×税（费）率</v>
      </c>
      <c r="O54" s="2723" t="str">
        <f t="shared" si="0"/>
        <v>免征</v>
      </c>
    </row>
    <row r="55" spans="1:35" ht="24" customHeight="1">
      <c r="A55" s="3390" t="s">
        <v>1987</v>
      </c>
      <c r="B55" s="3368"/>
      <c r="C55" s="3368"/>
      <c r="D55" s="2517" t="e">
        <f ca="1">IF(H55="个人住宅",0,ROUND(D45*I55,0))</f>
        <v>#REF!</v>
      </c>
      <c r="E55" s="2527" t="s">
        <v>1988</v>
      </c>
      <c r="F55" s="2750" t="str">
        <f>IF(H55="正常",I55,"免征")</f>
        <v>免征</v>
      </c>
      <c r="G55" s="2751"/>
      <c r="H55" s="2746"/>
      <c r="I55" s="170">
        <f>'数据-取费表'!B49</f>
        <v>5.0000000000000001E-4</v>
      </c>
      <c r="J55" s="2719">
        <f>IF(H59="非个人房产","",4)</f>
        <v>4</v>
      </c>
      <c r="K55" s="3327" t="str">
        <f>IF(H59="非个人房产","——","个人所得税")</f>
        <v>个人所得税</v>
      </c>
      <c r="L55" s="3327"/>
      <c r="M55" s="2724" t="e">
        <f ca="1">D59</f>
        <v>#REF!</v>
      </c>
      <c r="N55" s="2198" t="str">
        <f>E59</f>
        <v>差额计税</v>
      </c>
      <c r="O55" s="2725">
        <f>F59</f>
        <v>0.01</v>
      </c>
    </row>
    <row r="56" spans="1:35" ht="24.75">
      <c r="A56" s="3390" t="s">
        <v>1989</v>
      </c>
      <c r="B56" s="3368"/>
      <c r="C56" s="3368"/>
      <c r="D56" s="2517" t="e">
        <f ca="1">IF(H56="个人住宅",D57,D58)</f>
        <v>#REF!</v>
      </c>
      <c r="E56" s="2527" t="s">
        <v>1990</v>
      </c>
      <c r="F56" s="2750" t="str">
        <f>IF(H56="正常",F58,"免征")</f>
        <v>免征</v>
      </c>
      <c r="G56" s="2753" t="s">
        <v>1991</v>
      </c>
      <c r="H56" s="2754"/>
      <c r="I56" s="1964"/>
      <c r="J56" s="2719" t="str">
        <f>IF(项目基本情况!K6="上海银行",IF(J55="",4,J55+1),"")</f>
        <v/>
      </c>
      <c r="K56" s="3308" t="str">
        <f>IF(项目基本情况!K6="上海银行","其他处置费用","")</f>
        <v/>
      </c>
      <c r="L56" s="3309"/>
      <c r="M56" s="2721" t="str">
        <f>IF(项目基本情况!K6="上海银行",M69,"")</f>
        <v/>
      </c>
      <c r="N56" s="3308" t="str">
        <f>IF(项目基本情况!K6="上海银行","包含处置中涉及的律师、诉讼、拍卖、评估等费用","")</f>
        <v/>
      </c>
      <c r="O56" s="3311"/>
    </row>
    <row r="57" spans="1:35" ht="12.75">
      <c r="A57" s="2528" t="s">
        <v>1967</v>
      </c>
      <c r="B57" s="3351" t="s">
        <v>1992</v>
      </c>
      <c r="C57" s="3352"/>
      <c r="D57" s="1745">
        <v>0</v>
      </c>
      <c r="E57" s="330" t="s">
        <v>1969</v>
      </c>
      <c r="F57" s="308"/>
      <c r="G57" s="2751"/>
      <c r="H57" s="2755"/>
      <c r="I57" s="1964"/>
      <c r="J57" s="3327">
        <f>IF(AND(J55="",J56=""),4,IF(项目基本情况!K6="上海银行",结果表!J56+1,结果表!J55+1))</f>
        <v>5</v>
      </c>
      <c r="K57" s="3327" t="s">
        <v>1993</v>
      </c>
      <c r="L57" s="2726" t="s">
        <v>1994</v>
      </c>
      <c r="M57" s="2727"/>
      <c r="N57" s="2728">
        <f ca="1">SUMIF(M52:M56,"&lt;9e307")</f>
        <v>0</v>
      </c>
      <c r="O57" s="2729"/>
      <c r="P57" s="2889" t="e">
        <f ca="1">N57/M49</f>
        <v>#VALUE!</v>
      </c>
    </row>
    <row r="58" spans="1:35" ht="24.75">
      <c r="A58" s="2528" t="s">
        <v>1978</v>
      </c>
      <c r="B58" s="3351" t="s">
        <v>1995</v>
      </c>
      <c r="C58" s="3350"/>
      <c r="D58" s="2517" t="e">
        <f ca="1">IF(H58="转让取得",C81,C97)</f>
        <v>#REF!</v>
      </c>
      <c r="E58" s="2527" t="s">
        <v>1990</v>
      </c>
      <c r="F58" s="308" t="s">
        <v>34</v>
      </c>
      <c r="G58" s="2751"/>
      <c r="H58" s="2754"/>
      <c r="I58" s="1964"/>
      <c r="J58" s="3327"/>
      <c r="K58" s="3327"/>
      <c r="L58" s="2726" t="s">
        <v>1996</v>
      </c>
      <c r="M58" s="2730"/>
      <c r="N58" s="2731" t="str">
        <f ca="1">NUMBERSTRING(INT(N57*10000),2)&amp;"元整"</f>
        <v>零元整</v>
      </c>
      <c r="O58" s="2732"/>
    </row>
    <row r="59" spans="1:35" ht="24.75" thickBot="1">
      <c r="A59" s="3331" t="s">
        <v>1997</v>
      </c>
      <c r="B59" s="3332"/>
      <c r="C59" s="3332"/>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29">
        <f>J57+1</f>
        <v>6</v>
      </c>
      <c r="K59" s="3327" t="s">
        <v>1998</v>
      </c>
      <c r="L59" s="2719" t="s">
        <v>1994</v>
      </c>
      <c r="M59" s="2733"/>
      <c r="N59" s="2734" t="e">
        <f ca="1">M49-N57</f>
        <v>#VALUE!</v>
      </c>
      <c r="O59" s="2735"/>
    </row>
    <row r="60" spans="1:35" ht="12" customHeight="1">
      <c r="A60" s="1965"/>
      <c r="B60" s="1903"/>
      <c r="C60" s="1903"/>
      <c r="D60" s="1903"/>
      <c r="E60" s="1733"/>
      <c r="F60" s="1964"/>
      <c r="G60" s="1964"/>
      <c r="H60" s="1966"/>
      <c r="I60" s="134"/>
      <c r="J60" s="3330"/>
      <c r="K60" s="3327"/>
      <c r="L60" s="2726" t="s">
        <v>1996</v>
      </c>
      <c r="M60" s="2730"/>
      <c r="N60" s="2731" t="e">
        <f ca="1">NUMBERSTRING(INT(N59*10000),2)&amp;"元整"</f>
        <v>#VALUE!</v>
      </c>
      <c r="O60" s="2732"/>
    </row>
    <row r="61" spans="1:35" ht="13.5" thickBot="1">
      <c r="A61" s="3389" t="s">
        <v>1999</v>
      </c>
      <c r="B61" s="3389"/>
      <c r="C61" s="3389"/>
      <c r="D61" s="3389"/>
      <c r="E61" s="3389"/>
      <c r="F61" s="1964"/>
      <c r="G61" s="1964"/>
      <c r="H61" s="1966"/>
      <c r="I61" s="134"/>
      <c r="J61" s="2719">
        <f>J59+1</f>
        <v>7</v>
      </c>
      <c r="K61" s="3327" t="s">
        <v>2000</v>
      </c>
      <c r="L61" s="3327"/>
      <c r="M61" s="2736"/>
      <c r="N61" s="2737" t="e">
        <f ca="1">ROUND(N59*10000/'数据-汇总表'!E3,0)</f>
        <v>#VALUE!</v>
      </c>
      <c r="O61" s="2738"/>
    </row>
    <row r="62" spans="1:35" ht="12.75">
      <c r="A62" s="3346" t="s">
        <v>2001</v>
      </c>
      <c r="B62" s="3347"/>
      <c r="C62" s="2179"/>
      <c r="D62" s="2179" t="s">
        <v>2002</v>
      </c>
      <c r="E62" s="171" t="s">
        <v>2003</v>
      </c>
      <c r="F62" s="1964"/>
      <c r="G62" s="1964"/>
      <c r="H62" s="1966"/>
      <c r="I62" s="134"/>
    </row>
    <row r="63" spans="1:35" ht="12.75">
      <c r="A63" s="178" t="s">
        <v>775</v>
      </c>
      <c r="B63" s="172" t="s">
        <v>2004</v>
      </c>
      <c r="C63" s="2760" t="e">
        <f ca="1">ROUND((C64+C65)/(1+'数据-取费表'!C42),0)</f>
        <v>#REF!</v>
      </c>
      <c r="D63" s="172"/>
      <c r="E63" s="173"/>
      <c r="F63" s="1964"/>
      <c r="G63" s="1964"/>
      <c r="H63" s="1966"/>
      <c r="I63" s="134"/>
      <c r="J63" s="3310" t="s">
        <v>2005</v>
      </c>
      <c r="K63" s="1472" t="s">
        <v>2006</v>
      </c>
      <c r="L63" s="1472" t="e">
        <f ca="1">IF(M49&gt;10000,M49*0.5%,IF(AND(M49&gt;1000,M49&lt;=10000),M49*1%,IF(AND(M49&gt;100,M49&lt;=1000),M49*3%,IF(AND(M49&gt;10,M49&lt;=100),M49*5%,M49*8%))))</f>
        <v>#VALUE!</v>
      </c>
      <c r="M63" s="308" t="e">
        <f ca="1">ROUND(L63,1)</f>
        <v>#VALUE!</v>
      </c>
      <c r="N63" s="2739"/>
      <c r="Z63" s="1908"/>
      <c r="AI63" s="1909"/>
    </row>
    <row r="64" spans="1:35" ht="14.25" customHeight="1">
      <c r="A64" s="174" t="s">
        <v>770</v>
      </c>
      <c r="B64" s="175" t="s">
        <v>2007</v>
      </c>
      <c r="C64" s="2761" t="e">
        <f ca="1">D45</f>
        <v>#REF!</v>
      </c>
      <c r="D64" s="175" t="s">
        <v>32</v>
      </c>
      <c r="E64" s="177"/>
      <c r="F64" s="1964"/>
      <c r="G64" s="1964"/>
      <c r="H64" s="1966"/>
      <c r="I64" s="134"/>
      <c r="J64" s="3310"/>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40" t="s">
        <v>2009</v>
      </c>
      <c r="Z64" s="1908"/>
      <c r="AI64" s="1909"/>
    </row>
    <row r="65" spans="1:35" ht="14.25" customHeight="1">
      <c r="A65" s="174" t="s">
        <v>771</v>
      </c>
      <c r="B65" s="175" t="s">
        <v>2010</v>
      </c>
      <c r="C65" s="2762"/>
      <c r="D65" s="175"/>
      <c r="E65" s="177"/>
      <c r="F65" s="1964"/>
      <c r="G65" s="1964"/>
      <c r="H65" s="1966"/>
      <c r="I65" s="134"/>
      <c r="J65" s="3310"/>
      <c r="K65" s="1472" t="s">
        <v>2011</v>
      </c>
      <c r="L65" s="1472" t="e">
        <f ca="1">IF(M49&gt;1000,M49*0.1%,IF(AND(M49&gt;500,M49&lt;=1000),M49*0.5%,IF(AND(M49&gt;50,M49&lt;=500),M49*1%,IF(AND(M49&gt;1,M49&lt;=50),M49*1.5%))))</f>
        <v>#VALUE!</v>
      </c>
      <c r="M65" s="308" t="e">
        <f t="shared" ca="1" si="1"/>
        <v>#VALUE!</v>
      </c>
      <c r="N65" s="2740" t="s">
        <v>2009</v>
      </c>
      <c r="Z65" s="1908"/>
      <c r="AI65" s="1909"/>
    </row>
    <row r="66" spans="1:35" ht="14.25" customHeight="1">
      <c r="A66" s="178" t="s">
        <v>772</v>
      </c>
      <c r="B66" s="179" t="s">
        <v>2012</v>
      </c>
      <c r="C66" s="2763"/>
      <c r="D66" s="179" t="s">
        <v>32</v>
      </c>
      <c r="E66" s="1479" t="s">
        <v>1277</v>
      </c>
      <c r="F66" s="1964"/>
      <c r="G66" s="1964"/>
      <c r="H66" s="1966"/>
      <c r="I66" s="134"/>
      <c r="J66" s="3310"/>
      <c r="K66" s="1472" t="s">
        <v>2013</v>
      </c>
      <c r="L66" s="1472" t="e">
        <f ca="1">M49*0.5%</f>
        <v>#VALUE!</v>
      </c>
      <c r="M66" s="308" t="e">
        <f ca="1">IF(L66&gt;0.5,0.5,ROUND(L66,0))</f>
        <v>#VALUE!</v>
      </c>
      <c r="N66" s="2740" t="s">
        <v>2014</v>
      </c>
      <c r="Z66" s="1908"/>
      <c r="AI66" s="1909"/>
    </row>
    <row r="67" spans="1:35" ht="14.25" customHeight="1">
      <c r="A67" s="178" t="s">
        <v>773</v>
      </c>
      <c r="B67" s="179" t="s">
        <v>2015</v>
      </c>
      <c r="C67" s="2764" t="e">
        <f ca="1">C63-C66</f>
        <v>#REF!</v>
      </c>
      <c r="D67" s="175" t="s">
        <v>32</v>
      </c>
      <c r="E67" s="177"/>
      <c r="F67" s="1964"/>
      <c r="G67" s="1964"/>
      <c r="H67" s="1966"/>
      <c r="I67" s="134"/>
      <c r="J67" s="3310"/>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9"/>
      <c r="Z67" s="1908"/>
      <c r="AI67" s="1909"/>
    </row>
    <row r="68" spans="1:35" ht="14.25" customHeight="1" thickBot="1">
      <c r="A68" s="181" t="s">
        <v>774</v>
      </c>
      <c r="B68" s="182" t="s">
        <v>2017</v>
      </c>
      <c r="C68" s="2765" t="e">
        <f ca="1">IF(C67&lt;=0,0,ROUND(C67*D68,0))</f>
        <v>#REF!</v>
      </c>
      <c r="D68" s="2766">
        <f>'数据-取费表'!B41</f>
        <v>5.6000000000000001E-2</v>
      </c>
      <c r="E68" s="184"/>
      <c r="F68" s="1964"/>
      <c r="G68" s="1964"/>
      <c r="H68" s="1966"/>
      <c r="I68" s="134"/>
      <c r="J68" s="3310"/>
      <c r="K68" s="1472" t="s">
        <v>2018</v>
      </c>
      <c r="L68" s="1472" t="e">
        <f ca="1">IF(M49&gt;10000,M49*0.5%,IF(AND(M49&gt;5000,M49&lt;=10000),M49*1%,IF(AND(M49&gt;1000,M49&lt;=5000),M49*2%,IF(AND(M49&gt;200,M49&lt;=1000),M49*3%,M49*5%))))</f>
        <v>#VALUE!</v>
      </c>
      <c r="M68" s="308" t="e">
        <f ca="1">ROUND(L68,1)</f>
        <v>#VALUE!</v>
      </c>
      <c r="N68" s="2739"/>
      <c r="Z68" s="1908"/>
      <c r="AI68" s="1909"/>
    </row>
    <row r="69" spans="1:35" s="1928" customFormat="1" ht="16.5" customHeight="1">
      <c r="A69" s="1967"/>
      <c r="B69" s="1968"/>
      <c r="C69" s="1969"/>
      <c r="D69" s="1970"/>
      <c r="E69" s="1971"/>
      <c r="F69" s="1733"/>
      <c r="G69" s="1733"/>
      <c r="H69" s="1732"/>
      <c r="I69" s="1903"/>
      <c r="J69" s="3310"/>
      <c r="K69" s="1472" t="s">
        <v>2019</v>
      </c>
      <c r="L69" s="1472"/>
      <c r="M69" s="308" t="e">
        <f ca="1">ROUND(SUM(M63:M68),0)</f>
        <v>#VALUE!</v>
      </c>
      <c r="N69" s="2741"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2020</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6" t="s">
        <v>2001</v>
      </c>
      <c r="B71" s="3347"/>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1" t="s">
        <v>2028</v>
      </c>
      <c r="F76" s="3350"/>
      <c r="G76" s="3350"/>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t="e">
        <f ca="1">ROUND(D45*D78/(1+'数据-取费表'!C42),0)</f>
        <v>#REF!</v>
      </c>
      <c r="D78" s="2773">
        <f>'数据-取费表'!B43</f>
        <v>6.000000000000001E-3</v>
      </c>
      <c r="E78" s="3343" t="s">
        <v>2032</v>
      </c>
      <c r="F78" s="3344"/>
      <c r="G78" s="3344"/>
      <c r="H78" s="334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2036</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6" t="s">
        <v>2001</v>
      </c>
      <c r="B84" s="334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2" t="s">
        <v>2811</v>
      </c>
      <c r="H90" s="3313"/>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3" t="s">
        <v>2045</v>
      </c>
      <c r="F91" s="3344"/>
      <c r="G91" s="334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3" t="s">
        <v>2048</v>
      </c>
      <c r="F92" s="3344"/>
      <c r="G92" s="3344"/>
      <c r="H92" s="3345"/>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t="e">
        <f ca="1">ROUND(D45*D93/(1+'数据-取费表'!C42),0)</f>
        <v>#REF!</v>
      </c>
      <c r="D93" s="2773">
        <f>'数据-取费表'!B43</f>
        <v>6.000000000000001E-3</v>
      </c>
      <c r="E93" s="3343" t="s">
        <v>2032</v>
      </c>
      <c r="F93" s="3344"/>
      <c r="G93" s="3344"/>
      <c r="H93" s="334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1" t="s">
        <v>2052</v>
      </c>
      <c r="F94" s="3392"/>
      <c r="G94" s="3392"/>
      <c r="H94" s="339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28"/>
      <c r="E100" s="3294" t="s">
        <v>2055</v>
      </c>
      <c r="F100" s="3294"/>
      <c r="G100" s="3294"/>
      <c r="H100" s="3328"/>
      <c r="I100" s="134"/>
    </row>
    <row r="101" spans="1:35" ht="18.75" customHeight="1">
      <c r="A101" s="3336" t="s">
        <v>2056</v>
      </c>
      <c r="B101" s="3337"/>
      <c r="C101" s="2781" t="str">
        <f>C4</f>
        <v>成本法</v>
      </c>
      <c r="D101" s="2782" t="str">
        <f>D4</f>
        <v>收益法</v>
      </c>
      <c r="E101" s="3306" t="s">
        <v>2057</v>
      </c>
      <c r="F101" s="3307"/>
      <c r="G101" s="1983" t="s">
        <v>2058</v>
      </c>
      <c r="H101" s="2791" t="e">
        <f ca="1">H118</f>
        <v>#REF!</v>
      </c>
      <c r="I101" s="134"/>
    </row>
    <row r="102" spans="1:35" ht="18.75" customHeight="1">
      <c r="A102" s="3338" t="s">
        <v>2059</v>
      </c>
      <c r="B102" s="2780" t="s">
        <v>2058</v>
      </c>
      <c r="C102" s="2781">
        <f ca="1">C19</f>
        <v>2800</v>
      </c>
      <c r="D102" s="2782">
        <f ca="1">D19</f>
        <v>956</v>
      </c>
      <c r="E102" s="3306"/>
      <c r="F102" s="3307"/>
      <c r="G102" s="1983" t="s">
        <v>2060</v>
      </c>
      <c r="H102" s="2751" t="e">
        <f ca="1">I118</f>
        <v>#REF!</v>
      </c>
      <c r="I102" s="134"/>
    </row>
    <row r="103" spans="1:35" ht="42.75" customHeight="1">
      <c r="A103" s="3338"/>
      <c r="B103" s="2780" t="s">
        <v>2060</v>
      </c>
      <c r="C103" s="2783">
        <f ca="1">C20</f>
        <v>21541</v>
      </c>
      <c r="D103" s="2784">
        <f ca="1">D20</f>
        <v>7355</v>
      </c>
      <c r="E103" s="3299" t="s">
        <v>2061</v>
      </c>
      <c r="F103" s="3300"/>
      <c r="G103" s="1984" t="s">
        <v>2062</v>
      </c>
      <c r="H103" s="2791">
        <f>IF(D36="正常操作",H104+H105+H106,H105+H106)</f>
        <v>0</v>
      </c>
      <c r="I103" s="134"/>
    </row>
    <row r="104" spans="1:35" ht="18.75" customHeight="1">
      <c r="A104" s="3338" t="s">
        <v>2063</v>
      </c>
      <c r="B104" s="2785" t="s">
        <v>2058</v>
      </c>
      <c r="C104" s="2786" t="e">
        <f ca="1">H118</f>
        <v>#REF!</v>
      </c>
      <c r="D104" s="2787"/>
      <c r="E104" s="1830" t="s">
        <v>2064</v>
      </c>
      <c r="F104" s="1821"/>
      <c r="G104" s="1984" t="s">
        <v>2062</v>
      </c>
      <c r="H104" s="2792">
        <f>IF(D36="同一抵押权人同一抵押物续贷",C36&amp;"（续贷，未扣减，详见特别提示）",C36)</f>
        <v>0</v>
      </c>
      <c r="I104" s="134"/>
    </row>
    <row r="105" spans="1:35" ht="18.75" customHeight="1" thickBot="1">
      <c r="A105" s="3348"/>
      <c r="B105" s="2788" t="s">
        <v>2060</v>
      </c>
      <c r="C105" s="2789" t="e">
        <f ca="1">I118</f>
        <v>#REF!</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39" t="str">
        <f>IF(项目基本情况!E8="已注销","——","3.房地产抵押价值")</f>
        <v>3.房地产抵押价值</v>
      </c>
      <c r="F107" s="3307"/>
      <c r="G107" s="1983" t="s">
        <v>2058</v>
      </c>
      <c r="H107" s="2791" t="e">
        <f ca="1">IF(E107="——","——",H101-H103)</f>
        <v>#REF!</v>
      </c>
      <c r="I107" s="134"/>
    </row>
    <row r="108" spans="1:35" ht="18.75" customHeight="1">
      <c r="A108" s="134"/>
      <c r="B108" s="134"/>
      <c r="C108" s="134"/>
      <c r="D108" s="134"/>
      <c r="E108" s="3339"/>
      <c r="F108" s="3307"/>
      <c r="G108" s="1983" t="s">
        <v>2060</v>
      </c>
      <c r="H108" s="2751" t="e">
        <f ca="1">ROUND(H107*10000/'数据-汇总表'!E3,0)</f>
        <v>#REF!</v>
      </c>
      <c r="I108" s="134"/>
    </row>
    <row r="109" spans="1:35" ht="18.75" customHeight="1">
      <c r="A109" s="134"/>
      <c r="B109" s="134"/>
      <c r="C109" s="134"/>
      <c r="D109" s="134"/>
      <c r="E109" s="3339" t="str">
        <f>IF(项目基本情况!E8="已注销及未注销","4.抵押担保权已注销时的房地产抵押价值",IF(项目基本情况!E8="已注销","3.抵押担保权已注销时的房地产抵押价值","——"))</f>
        <v>——</v>
      </c>
      <c r="F109" s="3307"/>
      <c r="G109" s="1983" t="s">
        <v>2058</v>
      </c>
      <c r="H109" s="2794" t="str">
        <f>IF(E109="——","——",H101-H105-H106)</f>
        <v>——</v>
      </c>
      <c r="I109" s="134"/>
    </row>
    <row r="110" spans="1:35" ht="18.75" customHeight="1">
      <c r="A110" s="134"/>
      <c r="B110" s="134"/>
      <c r="C110" s="134"/>
      <c r="D110" s="134"/>
      <c r="E110" s="3339"/>
      <c r="F110" s="3307"/>
      <c r="G110" s="1983" t="s">
        <v>2060</v>
      </c>
      <c r="H110" s="2751"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v>
      </c>
      <c r="F111" s="3326"/>
      <c r="G111" s="1983" t="s">
        <v>2058</v>
      </c>
      <c r="H111" s="2791" t="str">
        <f>IF(E111="——","——",N59)</f>
        <v>——</v>
      </c>
      <c r="I111" s="134"/>
    </row>
    <row r="112" spans="1:35" ht="18.75" customHeight="1" thickBot="1">
      <c r="A112" s="134"/>
      <c r="B112" s="134"/>
      <c r="C112" s="134"/>
      <c r="D112" s="134"/>
      <c r="E112" s="3341"/>
      <c r="F112" s="3342"/>
      <c r="G112" s="1986" t="s">
        <v>2060</v>
      </c>
      <c r="H112" s="2795" t="str">
        <f>IF(E111="——","——",N61)</f>
        <v>——</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4" t="s">
        <v>2069</v>
      </c>
      <c r="B116" s="3318" t="s">
        <v>2070</v>
      </c>
      <c r="C116" s="3318" t="s">
        <v>2071</v>
      </c>
      <c r="D116" s="3324" t="s">
        <v>2072</v>
      </c>
      <c r="E116" s="3325"/>
      <c r="F116" s="3356" t="s">
        <v>2073</v>
      </c>
      <c r="G116" s="3356"/>
      <c r="H116" s="3314" t="s">
        <v>2074</v>
      </c>
      <c r="I116" s="3314"/>
    </row>
    <row r="117" spans="1:27" ht="18.75" customHeight="1">
      <c r="A117" s="3314"/>
      <c r="B117" s="3319"/>
      <c r="C117" s="3319"/>
      <c r="D117" s="2522" t="s">
        <v>2075</v>
      </c>
      <c r="E117" s="2522" t="s">
        <v>2076</v>
      </c>
      <c r="F117" s="2522" t="s">
        <v>2075</v>
      </c>
      <c r="G117" s="2522" t="s">
        <v>2077</v>
      </c>
      <c r="H117" s="2522" t="s">
        <v>2075</v>
      </c>
      <c r="I117" s="2522" t="s">
        <v>2077</v>
      </c>
    </row>
    <row r="118" spans="1:27" ht="24.75" customHeight="1">
      <c r="A118" s="2796" t="str">
        <f>项目基本情况!S2</f>
        <v>房地产</v>
      </c>
      <c r="B118" s="2522">
        <f>M18</f>
        <v>1299.8399999999999</v>
      </c>
      <c r="C118" s="2522">
        <f>M19</f>
        <v>5499.09</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4" t="s">
        <v>2078</v>
      </c>
      <c r="B119" s="3314"/>
      <c r="C119" s="3314"/>
      <c r="D119" s="3320" t="e">
        <f ca="1">NUMBERSTRING(INT(D118*10000),2)&amp;"元整"</f>
        <v>#REF!</v>
      </c>
      <c r="E119" s="3321"/>
      <c r="F119" s="3320" t="e">
        <f ca="1">NUMBERSTRING(INT(F118*10000),2)&amp;"元整"</f>
        <v>#REF!</v>
      </c>
      <c r="G119" s="3321"/>
      <c r="H119" s="3320" t="e">
        <f ca="1">NUMBERSTRING(INT(H118*10000),2)&amp;"元整"</f>
        <v>#REF!</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20" t="str">
        <f>IF(D120=0,"零元整",NUMBERSTRING(INT(D120*10000),2)&amp;"元整")</f>
        <v>零元整</v>
      </c>
      <c r="E121" s="3322"/>
      <c r="F121" s="3322"/>
      <c r="G121" s="3322"/>
      <c r="H121" s="3322"/>
      <c r="I121" s="3321"/>
      <c r="AA121" s="734"/>
    </row>
    <row r="122" spans="1:27" ht="18.75" customHeight="1">
      <c r="A122" s="3326" t="str">
        <f>IF(项目基本情况!B9="房地产市场价值","",MID(E107,3,LEN(E107)-2))</f>
        <v>房地产抵押价值</v>
      </c>
      <c r="B122" s="3326"/>
      <c r="C122" s="3326"/>
      <c r="D122" s="3315" t="e">
        <f ca="1">H107</f>
        <v>#REF!</v>
      </c>
      <c r="E122" s="3316"/>
      <c r="F122" s="3316"/>
      <c r="G122" s="3316"/>
      <c r="H122" s="3316"/>
      <c r="I122" s="3317"/>
      <c r="AA122" s="734"/>
    </row>
    <row r="123" spans="1:27" ht="18.75" customHeight="1">
      <c r="A123" s="3314" t="s">
        <v>2078</v>
      </c>
      <c r="B123" s="3314"/>
      <c r="C123" s="3314"/>
      <c r="D123" s="3320" t="e">
        <f ca="1">NUMBERSTRING(INT(D122*10000),2)&amp;"元整"</f>
        <v>#REF!</v>
      </c>
      <c r="E123" s="3322"/>
      <c r="F123" s="3322"/>
      <c r="G123" s="3322"/>
      <c r="H123" s="3322"/>
      <c r="I123" s="3321"/>
      <c r="AA123" s="734"/>
    </row>
    <row r="124" spans="1:27" ht="18.75" customHeight="1">
      <c r="A124" s="3326" t="str">
        <f>IF(项目基本情况!B9="房地产市场价值","",MID(E109,3,LEN(E109)-2))</f>
        <v/>
      </c>
      <c r="B124" s="3326"/>
      <c r="C124" s="3326"/>
      <c r="D124" s="3315" t="str">
        <f>H109</f>
        <v>——</v>
      </c>
      <c r="E124" s="3316"/>
      <c r="F124" s="3316"/>
      <c r="G124" s="3316"/>
      <c r="H124" s="3316"/>
      <c r="I124" s="3317"/>
      <c r="AA124" s="734"/>
    </row>
    <row r="125" spans="1:27" ht="18.75" customHeight="1">
      <c r="A125" s="3314" t="s">
        <v>2078</v>
      </c>
      <c r="B125" s="3314"/>
      <c r="C125" s="3314"/>
      <c r="D125" s="3320" t="e">
        <f>NUMBERSTRING(INT(D124*10000),2)&amp;"元整"</f>
        <v>#VALUE!</v>
      </c>
      <c r="E125" s="3322"/>
      <c r="F125" s="3322"/>
      <c r="G125" s="3322"/>
      <c r="H125" s="3322"/>
      <c r="I125" s="3321"/>
      <c r="AA125" s="734"/>
    </row>
    <row r="126" spans="1:27" ht="18.75" customHeight="1">
      <c r="A126" s="3326" t="str">
        <f>IF(项目基本情况!B9="房地产市场价值","",MID(E111,3,LEN(E111)-2))</f>
        <v/>
      </c>
      <c r="B126" s="3326"/>
      <c r="C126" s="3326"/>
      <c r="D126" s="3315" t="str">
        <f>H111</f>
        <v>——</v>
      </c>
      <c r="E126" s="3316"/>
      <c r="F126" s="3316"/>
      <c r="G126" s="3316"/>
      <c r="H126" s="3316"/>
      <c r="I126" s="3317"/>
      <c r="AA126" s="734"/>
    </row>
    <row r="127" spans="1:27" ht="18.75" customHeight="1">
      <c r="A127" s="3314" t="s">
        <v>2078</v>
      </c>
      <c r="B127" s="3314"/>
      <c r="C127" s="3314"/>
      <c r="D127" s="3320" t="e">
        <f>NUMBERSTRING(INT(D126*10000),2)&amp;"元整"</f>
        <v>#VALUE!</v>
      </c>
      <c r="E127" s="3322"/>
      <c r="F127" s="3322"/>
      <c r="G127" s="3322"/>
      <c r="H127" s="3322"/>
      <c r="I127" s="3321"/>
      <c r="AA127" s="734"/>
    </row>
    <row r="128" spans="1:27" ht="21.75" customHeight="1">
      <c r="A128" s="3323" t="s">
        <v>2079</v>
      </c>
      <c r="B128" s="3323"/>
      <c r="C128" s="3323"/>
      <c r="D128" s="3323"/>
      <c r="E128" s="3323"/>
      <c r="F128" s="3323"/>
      <c r="G128" s="3323"/>
      <c r="H128" s="3323"/>
      <c r="I128" s="332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29" sqref="H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2800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21541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1922</v>
      </c>
      <c r="D5" s="217" t="s">
        <v>2095</v>
      </c>
      <c r="E5" s="218" t="s">
        <v>2096</v>
      </c>
      <c r="F5" s="218" t="s">
        <v>2097</v>
      </c>
      <c r="G5" s="219"/>
    </row>
    <row r="6" spans="1:9" s="220" customFormat="1" ht="13.5" customHeight="1">
      <c r="A6" s="886" t="s">
        <v>2098</v>
      </c>
      <c r="B6" s="221" t="s">
        <v>2099</v>
      </c>
      <c r="C6" s="222">
        <f>基准地价修正!B2</f>
        <v>1840</v>
      </c>
      <c r="D6" s="223"/>
      <c r="E6" s="224"/>
      <c r="F6" s="224"/>
      <c r="G6" s="225"/>
    </row>
    <row r="7" spans="1:9" s="220" customFormat="1" ht="13.5" customHeight="1">
      <c r="A7" s="886" t="s">
        <v>2100</v>
      </c>
      <c r="B7" s="221" t="s">
        <v>2101</v>
      </c>
      <c r="C7" s="226">
        <f>ROUND(C6*F7,0)</f>
        <v>56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26</v>
      </c>
      <c r="D8" s="228"/>
      <c r="E8" s="226"/>
      <c r="F8" s="227"/>
      <c r="G8" s="2012" t="s">
        <v>3151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3152</v>
      </c>
      <c r="H9" s="1271"/>
      <c r="I9" s="2014" t="s">
        <v>2105</v>
      </c>
    </row>
    <row r="10" spans="1:9" s="220" customFormat="1" ht="13.5" customHeight="1">
      <c r="A10" s="887" t="s">
        <v>801</v>
      </c>
      <c r="B10" s="230" t="s">
        <v>2106</v>
      </c>
      <c r="C10" s="231">
        <f ca="1">ROUND(D10*E10/10000,0)</f>
        <v>26</v>
      </c>
      <c r="D10" s="954">
        <f ca="1">IF(B1="",'数据-汇总表'!E6,IF(INDIRECT("'数据-取费表'!c"&amp;$G$1)="住宅",INDIRECT("'数据-取费表'!s"&amp;$G$1),INDIRECT("'数据-取费表'!k"&amp;$G$1)+INDIRECT("'数据-取费表'!s"&amp;$G$1)))</f>
        <v>1299.8399999999999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1299.8399999999999</v>
      </c>
      <c r="E19" s="217">
        <f>'数据-取费表'!B31</f>
        <v>200</v>
      </c>
      <c r="F19" s="237"/>
      <c r="G19" s="2012" t="s">
        <v>3153</v>
      </c>
    </row>
    <row r="20" spans="1:7" s="220" customFormat="1" ht="13.5" customHeight="1">
      <c r="A20" s="261" t="s">
        <v>2119</v>
      </c>
      <c r="B20" s="216" t="s">
        <v>2120</v>
      </c>
      <c r="C20" s="238">
        <f ca="1">ROUND((C5+C19)*F20,0)</f>
        <v>38</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82</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81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294</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294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2530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298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260</v>
      </c>
      <c r="D34" s="223"/>
      <c r="E34" s="226"/>
      <c r="F34" s="263">
        <f ca="1">IF('数据-取费表'!B24=0,1,IF(B1="",'数据-取费表'!N16,INDIRECT("'数据-取费表'!n"&amp;$G$1)))</f>
        <v>1</v>
      </c>
      <c r="G34" s="225" t="s">
        <v>2152</v>
      </c>
    </row>
    <row r="35" spans="1:7" ht="13.5" customHeight="1">
      <c r="A35" s="888" t="s">
        <v>796</v>
      </c>
      <c r="B35" s="221" t="s">
        <v>2153</v>
      </c>
      <c r="C35" s="226">
        <f ca="1">ROUND(C34*F35,0)</f>
        <v>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26</v>
      </c>
      <c r="D37" s="223">
        <f ca="1">D19</f>
        <v>1299.8399999999999</v>
      </c>
      <c r="E37" s="255">
        <f>'数据-取费表'!B35</f>
        <v>200</v>
      </c>
      <c r="F37" s="265"/>
      <c r="G37" s="267" t="s">
        <v>2158</v>
      </c>
    </row>
    <row r="38" spans="1:7" ht="13.5" customHeight="1">
      <c r="A38" s="888" t="s">
        <v>799</v>
      </c>
      <c r="B38" s="221" t="s">
        <v>2159</v>
      </c>
      <c r="C38" s="226">
        <f ca="1">ROUND(C34*F38,0)</f>
        <v>4</v>
      </c>
      <c r="D38" s="226"/>
      <c r="E38" s="226"/>
      <c r="F38" s="265">
        <f>'数据-取费表'!B36</f>
        <v>1.4999999999999999E-2</v>
      </c>
      <c r="G38" s="225" t="s">
        <v>2154</v>
      </c>
    </row>
    <row r="39" spans="1:7" s="220" customFormat="1" ht="13.5" customHeight="1">
      <c r="A39" s="261" t="s">
        <v>2160</v>
      </c>
      <c r="B39" s="216" t="s">
        <v>2161</v>
      </c>
      <c r="C39" s="238">
        <f ca="1">ROUND(C33*F20,0)</f>
        <v>6</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6</v>
      </c>
      <c r="D42" s="244"/>
      <c r="E42" s="244"/>
      <c r="F42" s="245"/>
      <c r="G42" s="3396" t="s">
        <v>2170</v>
      </c>
    </row>
    <row r="43" spans="1:7" ht="13.5" customHeight="1">
      <c r="A43" s="888" t="s">
        <v>792</v>
      </c>
      <c r="B43" s="221" t="s">
        <v>2171</v>
      </c>
      <c r="C43" s="244">
        <f ca="1">ROUND(IF('数据-取费表'!B22&lt;=1,C39*F22*'数据-取费表'!B21/2,C39*(POWER((1+F22),'数据-取费表'!B21/2)-1)),0)</f>
        <v>0</v>
      </c>
      <c r="D43" s="244"/>
      <c r="E43" s="244"/>
      <c r="F43" s="245"/>
      <c r="G43" s="3397"/>
    </row>
    <row r="44" spans="1:7" ht="13.5" customHeight="1">
      <c r="A44" s="888" t="s">
        <v>793</v>
      </c>
      <c r="B44" s="221" t="s">
        <v>2172</v>
      </c>
      <c r="C44" s="244">
        <f ca="1">ROUND(IF('数据-取费表'!B22&lt;=1,C40*F22*'数据-取费表'!B21/2,C40*(POWER((1+F22),'数据-取费表'!B21/2)-1)),4)</f>
        <v>4.0000000000000002E-4</v>
      </c>
      <c r="D44" s="244"/>
      <c r="E44" s="244"/>
      <c r="F44" s="245"/>
      <c r="G44" s="3398"/>
    </row>
    <row r="45" spans="1:7" s="220" customFormat="1" ht="13.5" customHeight="1">
      <c r="A45" s="261" t="s">
        <v>2173</v>
      </c>
      <c r="B45" s="250" t="s">
        <v>2139</v>
      </c>
      <c r="C45" s="251">
        <f ca="1">C46</f>
        <v>46</v>
      </c>
      <c r="D45" s="241">
        <f ca="1">C47</f>
        <v>3.0000000000000001E-3</v>
      </c>
      <c r="E45" s="242" t="s">
        <v>2165</v>
      </c>
      <c r="F45" s="2507">
        <f ca="1">F27</f>
        <v>0.15</v>
      </c>
      <c r="G45" s="253" t="s">
        <v>2174</v>
      </c>
    </row>
    <row r="46" spans="1:7" s="220" customFormat="1" ht="13.5" customHeight="1">
      <c r="A46" s="888" t="s">
        <v>791</v>
      </c>
      <c r="B46" s="254" t="s">
        <v>2175</v>
      </c>
      <c r="C46" s="255">
        <f ca="1">ROUND((C33+C39)*F27,0)</f>
        <v>46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386</v>
      </c>
      <c r="D49" s="238"/>
      <c r="E49" s="238"/>
      <c r="F49" s="270"/>
      <c r="G49" s="240" t="s">
        <v>2180</v>
      </c>
    </row>
    <row r="50" spans="1:7" s="264" customFormat="1" ht="24">
      <c r="A50" s="261" t="s">
        <v>2181</v>
      </c>
      <c r="B50" s="216" t="s">
        <v>2182</v>
      </c>
      <c r="C50" s="238"/>
      <c r="D50" s="238"/>
      <c r="E50" s="238"/>
      <c r="F50" s="270">
        <f>IF('数据-取费表'!B24=0,'数据-取费表'!N16,1)</f>
        <v>0.7</v>
      </c>
      <c r="G50" s="253" t="s">
        <v>2183</v>
      </c>
    </row>
    <row r="51" spans="1:7" ht="16.5" customHeight="1">
      <c r="A51" s="261" t="s">
        <v>2184</v>
      </c>
      <c r="B51" s="216" t="s">
        <v>2185</v>
      </c>
      <c r="C51" s="238">
        <f ca="1">ROUND(C49*F50,0)</f>
        <v>270</v>
      </c>
      <c r="D51" s="238"/>
      <c r="E51" s="238"/>
      <c r="F51" s="270"/>
      <c r="G51" s="240" t="s">
        <v>2186</v>
      </c>
    </row>
    <row r="52" spans="1:7" s="214" customFormat="1" ht="16.5" thickBot="1">
      <c r="A52" s="271" t="s">
        <v>2187</v>
      </c>
      <c r="B52" s="272"/>
      <c r="C52" s="273">
        <f ca="1">C31+C51</f>
        <v>2800</v>
      </c>
      <c r="D52" s="272"/>
      <c r="E52" s="272"/>
      <c r="F52" s="272"/>
      <c r="G52" s="274"/>
    </row>
    <row r="55" spans="1:7" ht="15">
      <c r="B55" s="276" t="s">
        <v>2188</v>
      </c>
      <c r="C55" s="277"/>
    </row>
    <row r="56" spans="1:7">
      <c r="B56" s="279" t="s">
        <v>1418</v>
      </c>
      <c r="C56" s="281">
        <f ca="1">1-C57</f>
        <v>0.90400000000000003</v>
      </c>
    </row>
    <row r="57" spans="1:7">
      <c r="B57" s="279" t="s">
        <v>1419</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7" t="str">
        <f>项目基本情况!B1</f>
        <v>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2600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259968</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259968</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259968</v>
      </c>
      <c r="D10" s="954">
        <f ca="1">IF(B1="",'数据-汇总表'!E6,IF(INDIRECT("'数据-取费表'!c"&amp;$G$1)="住宅",INDIRECT("'数据-取费表'!s"&amp;$G$1),INDIRECT("'数据-取费表'!k"&amp;$G$1)+INDIRECT("'数据-取费表'!s"&amp;$G$1)))</f>
        <v>1299.8399999999999</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259968</v>
      </c>
      <c r="D19" s="958">
        <f ca="1">D9+D10</f>
        <v>1299.8399999999999</v>
      </c>
      <c r="E19" s="217">
        <f>'数据-取费表'!B31</f>
        <v>200</v>
      </c>
      <c r="F19" s="237"/>
      <c r="G19" s="2012"/>
    </row>
    <row r="20" spans="1:7" s="220" customFormat="1" ht="13.5" customHeight="1">
      <c r="A20" s="261" t="s">
        <v>2200</v>
      </c>
      <c r="B20" s="216" t="s">
        <v>2201</v>
      </c>
      <c r="C20" s="238">
        <f ca="1">ROUND((C5+C19)*F20,0)</f>
        <v>10399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22056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10919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10919</v>
      </c>
      <c r="D24" s="244"/>
      <c r="E24" s="244"/>
      <c r="F24" s="245"/>
      <c r="G24" s="246" t="s">
        <v>2212</v>
      </c>
    </row>
    <row r="25" spans="1:7" s="220" customFormat="1" ht="24">
      <c r="A25" s="888" t="s">
        <v>2102</v>
      </c>
      <c r="B25" s="221" t="s">
        <v>2213</v>
      </c>
      <c r="C25" s="1262">
        <f ca="1">ROUND(IF('数据-取费表'!B22&lt;=1,C20*F22*'数据-取费表'!B22/2,C20*(POWER((1+F22),'数据-取费表'!B22/2)-1)),0)</f>
        <v>218</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79550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79550</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684437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2976633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2599680</v>
      </c>
      <c r="D34" s="223"/>
      <c r="E34" s="226"/>
      <c r="F34" s="263"/>
      <c r="G34" s="225"/>
    </row>
    <row r="35" spans="1:7" ht="13.5" customHeight="1">
      <c r="A35" s="888" t="s">
        <v>796</v>
      </c>
      <c r="B35" s="221" t="s">
        <v>2153</v>
      </c>
      <c r="C35" s="226">
        <f ca="1">ROUND(C34*F35,0)</f>
        <v>77990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259968</v>
      </c>
      <c r="D37" s="223">
        <f ca="1">D19</f>
        <v>1299.8399999999999</v>
      </c>
      <c r="E37" s="255">
        <f>'数据-取费表'!B35</f>
        <v>200</v>
      </c>
      <c r="F37" s="265"/>
      <c r="G37" s="267"/>
    </row>
    <row r="38" spans="1:7" ht="13.5" customHeight="1">
      <c r="A38" s="888" t="s">
        <v>799</v>
      </c>
      <c r="B38" s="221" t="s">
        <v>2159</v>
      </c>
      <c r="C38" s="226">
        <f ca="1">ROUND(C34*F38,0)</f>
        <v>38995</v>
      </c>
      <c r="D38" s="226"/>
      <c r="E38" s="226"/>
      <c r="F38" s="265">
        <f>'数据-取费表'!B36</f>
        <v>1.4999999999999999E-2</v>
      </c>
      <c r="G38" s="225" t="s">
        <v>2154</v>
      </c>
    </row>
    <row r="39" spans="1:7" s="220" customFormat="1" ht="13.5" customHeight="1">
      <c r="A39" s="261" t="s">
        <v>2160</v>
      </c>
      <c r="B39" s="216" t="s">
        <v>2161</v>
      </c>
      <c r="C39" s="238">
        <f ca="1">ROUND(C33*F20,0)</f>
        <v>59533</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63759</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62509</v>
      </c>
      <c r="D42" s="244"/>
      <c r="E42" s="244"/>
      <c r="F42" s="245"/>
      <c r="G42" s="3396" t="s">
        <v>2217</v>
      </c>
    </row>
    <row r="43" spans="1:7" ht="13.5" customHeight="1">
      <c r="A43" s="888" t="s">
        <v>792</v>
      </c>
      <c r="B43" s="221" t="s">
        <v>2171</v>
      </c>
      <c r="C43" s="244">
        <f ca="1">ROUND(IF('数据-取费表'!B22&lt;=1,C39*F22*'数据-取费表'!B20/2,C39*(POWER((1+F22),'数据-取费表'!B20/2)-1)),0)</f>
        <v>1250</v>
      </c>
      <c r="D43" s="244"/>
      <c r="E43" s="244"/>
      <c r="F43" s="245"/>
      <c r="G43" s="3397"/>
    </row>
    <row r="44" spans="1:7" ht="13.5" customHeight="1">
      <c r="A44" s="888" t="s">
        <v>793</v>
      </c>
      <c r="B44" s="221" t="s">
        <v>2172</v>
      </c>
      <c r="C44" s="244">
        <f ca="1">ROUND(IF('数据-取费表'!B22&lt;=1,C40*F22*'数据-取费表'!B20/2,C40*(POWER((1+F22),'数据-取费表'!B20/2)-1)),4)</f>
        <v>4.0000000000000002E-4</v>
      </c>
      <c r="D44" s="244"/>
      <c r="E44" s="244"/>
      <c r="F44" s="245"/>
      <c r="G44" s="3398"/>
    </row>
    <row r="45" spans="1:7" s="220" customFormat="1" ht="13.5" customHeight="1">
      <c r="A45" s="261" t="s">
        <v>2173</v>
      </c>
      <c r="B45" s="250" t="s">
        <v>2139</v>
      </c>
      <c r="C45" s="251">
        <f ca="1">C46</f>
        <v>455425</v>
      </c>
      <c r="D45" s="241">
        <f ca="1">C47</f>
        <v>3.0000000000000001E-3</v>
      </c>
      <c r="E45" s="242" t="s">
        <v>2165</v>
      </c>
      <c r="F45" s="2507">
        <f ca="1">F27</f>
        <v>0.15</v>
      </c>
      <c r="G45" s="253" t="s">
        <v>2174</v>
      </c>
    </row>
    <row r="46" spans="1:7" s="220" customFormat="1" ht="13.5" customHeight="1">
      <c r="A46" s="888" t="s">
        <v>791</v>
      </c>
      <c r="B46" s="254" t="s">
        <v>2175</v>
      </c>
      <c r="C46" s="255">
        <f ca="1">ROUND((C33+C39)*F27,0)</f>
        <v>455425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3850699</v>
      </c>
      <c r="D49" s="238"/>
      <c r="E49" s="238"/>
      <c r="F49" s="270"/>
      <c r="G49" s="240" t="s">
        <v>2180</v>
      </c>
    </row>
    <row r="50" spans="1:7" s="264" customFormat="1">
      <c r="A50" s="261" t="s">
        <v>2181</v>
      </c>
      <c r="B50" s="216" t="s">
        <v>2182</v>
      </c>
      <c r="C50" s="238"/>
      <c r="D50" s="238"/>
      <c r="E50" s="238"/>
      <c r="F50" s="270">
        <f>IF('数据-取费表'!B24=0,'数据-取费表'!N16,1)</f>
        <v>0.7</v>
      </c>
      <c r="G50" s="253"/>
    </row>
    <row r="51" spans="1:7" ht="16.5" customHeight="1">
      <c r="A51" s="261" t="s">
        <v>2184</v>
      </c>
      <c r="B51" s="216" t="s">
        <v>2219</v>
      </c>
      <c r="C51" s="238">
        <f ca="1">ROUND(C49*F50,0)</f>
        <v>2695489</v>
      </c>
      <c r="D51" s="238"/>
      <c r="E51" s="238"/>
      <c r="F51" s="270"/>
      <c r="G51" s="240" t="s">
        <v>2186</v>
      </c>
    </row>
    <row r="52" spans="1:7" s="214" customFormat="1" ht="16.5" thickBot="1">
      <c r="A52" s="271" t="s">
        <v>2187</v>
      </c>
      <c r="B52" s="272"/>
      <c r="C52" s="273">
        <f ca="1">C31+C51</f>
        <v>3379926</v>
      </c>
      <c r="D52" s="272"/>
      <c r="E52" s="272"/>
      <c r="F52" s="272"/>
      <c r="G52" s="274"/>
    </row>
    <row r="55" spans="1:7" ht="15">
      <c r="B55" s="276" t="s">
        <v>2188</v>
      </c>
      <c r="C55" s="277"/>
    </row>
    <row r="56" spans="1:7">
      <c r="B56" s="279" t="s">
        <v>1418</v>
      </c>
      <c r="C56" s="281">
        <f ca="1">1-C57</f>
        <v>0.20299999999999996</v>
      </c>
    </row>
    <row r="57" spans="1:7">
      <c r="B57" s="279" t="s">
        <v>1419</v>
      </c>
      <c r="C57" s="280">
        <f ca="1">ROUND(C51/C52,3)</f>
        <v>0.79700000000000004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1299.8399999999999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1299.8399999999999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26</v>
      </c>
      <c r="D20" s="955">
        <f ca="1">IF(C1="",'数据-汇总表'!E6,IF(INDIRECT("'数据-取费表'!c"&amp;$K$1)="住宅",INDIRECT("'数据-取费表'!s"&amp;$K$1),INDIRECT("'数据-取费表'!k"&amp;$K$1)+INDIRECT("'数据-取费表'!s"&amp;$K$1)))</f>
        <v>1299.8399999999999</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7" sqref="K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20.61</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956</v>
      </c>
      <c r="C2" s="1541" t="s">
        <v>1421</v>
      </c>
      <c r="D2" s="1541"/>
      <c r="E2" s="1542"/>
      <c r="F2" s="1543"/>
      <c r="G2" s="2905"/>
      <c r="H2" s="2894"/>
      <c r="I2" s="2894"/>
      <c r="J2" s="2894"/>
      <c r="K2" s="2895"/>
      <c r="L2" s="2894"/>
      <c r="M2" s="2894"/>
    </row>
    <row r="3" spans="1:37" ht="18" customHeight="1" thickBot="1">
      <c r="A3" s="1544" t="s">
        <v>1422</v>
      </c>
      <c r="B3" s="1545">
        <f ca="1">IF(ISERROR(B2*10000/F43),0,ROUND(B2*10000/F43,0))</f>
        <v>7355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77</v>
      </c>
      <c r="D5" s="1518" t="s">
        <v>1307</v>
      </c>
      <c r="E5" s="1203"/>
      <c r="F5" s="1204"/>
      <c r="G5" s="1538"/>
      <c r="H5" s="305">
        <v>1</v>
      </c>
      <c r="I5" s="306" t="s">
        <v>1306</v>
      </c>
      <c r="J5" s="1202">
        <f ca="1">J6+J10+J12</f>
        <v>0</v>
      </c>
      <c r="K5" s="1518" t="s">
        <v>1307</v>
      </c>
      <c r="L5" s="1203"/>
      <c r="M5" s="1204"/>
    </row>
    <row r="6" spans="1:37" ht="18" customHeight="1">
      <c r="A6" s="1201" t="s">
        <v>1003</v>
      </c>
      <c r="B6" s="3401" t="s">
        <v>1308</v>
      </c>
      <c r="C6" s="1206">
        <f ca="1">ROUND(F6*F8*F7*(1-F9)/10000,0)</f>
        <v>77</v>
      </c>
      <c r="D6" s="160" t="s">
        <v>2790</v>
      </c>
      <c r="E6" s="308" t="s">
        <v>1310</v>
      </c>
      <c r="F6" s="309">
        <f ca="1">INDIRECT("'数据-取费表'!u"&amp;$G$1)</f>
        <v>1.8</v>
      </c>
      <c r="G6" s="1538"/>
      <c r="H6" s="1201" t="s">
        <v>1003</v>
      </c>
      <c r="I6" s="3401" t="s">
        <v>1308</v>
      </c>
      <c r="J6" s="307">
        <f ca="1">ROUND(M6*M8*M7*(1-M9)/10000,0)</f>
        <v>0</v>
      </c>
      <c r="K6" s="160" t="s">
        <v>2789</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1299.8399999999999</v>
      </c>
      <c r="G7" s="1538"/>
      <c r="H7" s="310"/>
      <c r="I7" s="3402"/>
      <c r="J7" s="312"/>
      <c r="K7" s="313"/>
      <c r="L7" s="308" t="s">
        <v>1311</v>
      </c>
      <c r="M7" s="309">
        <f ca="1">F7</f>
        <v>1299.8399999999999</v>
      </c>
    </row>
    <row r="8" spans="1:37" ht="18" customHeight="1">
      <c r="A8" s="310"/>
      <c r="B8" s="3402"/>
      <c r="C8" s="312"/>
      <c r="D8" s="313"/>
      <c r="E8" s="308" t="s">
        <v>1312</v>
      </c>
      <c r="F8" s="309">
        <f ca="1">INDIRECT("'数据-取费表'!ai"&amp;$G$1)</f>
        <v>365</v>
      </c>
      <c r="G8" s="1538"/>
      <c r="H8" s="310"/>
      <c r="I8" s="3402"/>
      <c r="J8" s="312"/>
      <c r="K8" s="313"/>
      <c r="L8" s="308" t="s">
        <v>1312</v>
      </c>
      <c r="M8" s="309">
        <f ca="1">INDIRECT("'数据-取费表'!ai"&amp;$G$1)</f>
        <v>365</v>
      </c>
    </row>
    <row r="9" spans="1:37" ht="18" customHeight="1">
      <c r="A9" s="310"/>
      <c r="B9" s="3403"/>
      <c r="C9" s="312"/>
      <c r="D9" s="313"/>
      <c r="E9" s="308" t="s">
        <v>1313</v>
      </c>
      <c r="F9" s="318">
        <f ca="1">INDIRECT("'数据-取费表'!w"&amp;$G$1)</f>
        <v>0.1</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3156</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270</v>
      </c>
      <c r="D13" s="1213" t="s">
        <v>1320</v>
      </c>
      <c r="E13" s="1213" t="s">
        <v>1321</v>
      </c>
      <c r="F13" s="1214">
        <f ca="1">INDIRECT("'数据-取费表'!y"&amp;$G$1)</f>
        <v>0.7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260</v>
      </c>
      <c r="D14" s="1499" t="s">
        <v>1323</v>
      </c>
      <c r="E14" s="1496"/>
      <c r="F14" s="325"/>
      <c r="G14" s="1538"/>
      <c r="H14" s="1113" t="s">
        <v>1003</v>
      </c>
      <c r="I14" s="308" t="s">
        <v>1324</v>
      </c>
      <c r="J14" s="24">
        <f ca="1">C29</f>
        <v>386</v>
      </c>
      <c r="K14" s="15"/>
      <c r="L14" s="916"/>
      <c r="M14" s="917"/>
    </row>
    <row r="15" spans="1:37" s="1551" customFormat="1" ht="18" customHeight="1" thickBot="1">
      <c r="A15" s="1113" t="s">
        <v>1004</v>
      </c>
      <c r="B15" s="308" t="s">
        <v>1325</v>
      </c>
      <c r="C15" s="24">
        <f ca="1">ROUND(C14*F15,0)</f>
        <v>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v>
      </c>
      <c r="K16" s="1219" t="s">
        <v>1330</v>
      </c>
      <c r="L16" s="1220"/>
      <c r="M16" s="1204"/>
    </row>
    <row r="17" spans="1:37" s="1551" customFormat="1" ht="18" customHeight="1">
      <c r="A17" s="1113" t="s">
        <v>1295</v>
      </c>
      <c r="B17" s="308" t="s">
        <v>1331</v>
      </c>
      <c r="C17" s="24">
        <f ca="1">ROUND(F17*(F43+INDIRECT("'数据-取费表'!S"&amp;$G$1))/10000,0)</f>
        <v>26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298</v>
      </c>
      <c r="D19" s="136" t="s">
        <v>1341</v>
      </c>
      <c r="E19" s="1514"/>
      <c r="F19" s="26"/>
      <c r="G19" s="1538"/>
      <c r="H19" s="1113" t="s">
        <v>1004</v>
      </c>
      <c r="I19" s="308" t="s">
        <v>1342</v>
      </c>
      <c r="J19" s="24">
        <f ca="1">IF(K19="按租金收入计税",ROUND(J6*M19/(1+'数据-取费表'!C42),2),ROUND(C29*M19*0.7,2))</f>
        <v>3.24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v>
      </c>
      <c r="D20" s="329" t="s">
        <v>1345</v>
      </c>
      <c r="E20" s="308" t="s">
        <v>1327</v>
      </c>
      <c r="F20" s="328">
        <f>'数据-取费表'!B37</f>
        <v>0.02</v>
      </c>
      <c r="G20" s="1550"/>
      <c r="H20" s="1113" t="s">
        <v>1294</v>
      </c>
      <c r="I20" s="160" t="s">
        <v>1346</v>
      </c>
      <c r="J20" s="25">
        <f ca="1">ROUND(M20*M21/10000,2)</f>
        <v>0.82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5499.09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3.9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6</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v>
      </c>
      <c r="K25" s="1227" t="s">
        <v>1369</v>
      </c>
      <c r="L25" s="1228"/>
      <c r="M25" s="1229"/>
    </row>
    <row r="26" spans="1:37">
      <c r="A26" s="1113" t="s">
        <v>1002</v>
      </c>
      <c r="B26" s="308" t="s">
        <v>1370</v>
      </c>
      <c r="C26" s="24">
        <f ca="1">ROUND((C19+C20)*F26,0)</f>
        <v>46</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386</v>
      </c>
      <c r="D29" s="1224"/>
      <c r="E29" s="1222"/>
      <c r="F29" s="1225"/>
      <c r="G29" s="1550"/>
      <c r="H29" s="340" t="s">
        <v>1001</v>
      </c>
      <c r="I29" s="341" t="s">
        <v>1384</v>
      </c>
      <c r="J29" s="342">
        <f ca="1">ROUND(J26/(1+F40)^F41,0)</f>
        <v>0</v>
      </c>
      <c r="K29" s="343" t="s">
        <v>1385</v>
      </c>
      <c r="L29" s="344"/>
      <c r="M29" s="345">
        <f ca="1">INDIRECT("'数据-取费表'!k"&amp;$G$1)</f>
        <v>1299.8399999999999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8</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f ca="1">IF(项目基本情况!B11="自然人","——",ROUND(C6*F32/(1+'数据-取费表'!C42),2))</f>
        <v>4.1100000000000003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3.24</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0.82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5499.09</v>
      </c>
      <c r="G35" s="1538"/>
      <c r="H35" s="2896"/>
      <c r="I35" s="1552"/>
      <c r="J35" s="1553"/>
      <c r="K35" s="2900"/>
      <c r="L35" s="2899"/>
      <c r="M35" s="2899"/>
    </row>
    <row r="36" spans="1:18" ht="18" customHeight="1">
      <c r="A36" s="1234" t="s">
        <v>1007</v>
      </c>
      <c r="B36" s="308" t="s">
        <v>1354</v>
      </c>
      <c r="C36" s="24">
        <f ca="1">ROUND(C29*F36,1)</f>
        <v>3.9</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0.3</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0.8</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64</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956</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20.61</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7355</v>
      </c>
      <c r="D43" s="343" t="s">
        <v>1393</v>
      </c>
      <c r="E43" s="344" t="s">
        <v>1394</v>
      </c>
      <c r="F43" s="345">
        <f ca="1">INDIRECT("'数据-取费表'!k"&amp;$G$1)</f>
        <v>1299.8399999999999</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-1053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40</v>
      </c>
      <c r="M47" s="1534" t="str">
        <f>IF(ISNUMBER(FIND("住宅",C1)),"住宅","非住宅")</f>
        <v>非住宅</v>
      </c>
      <c r="O47" s="1572" t="s">
        <v>1008</v>
      </c>
      <c r="P47" s="1573" t="s">
        <v>1433</v>
      </c>
      <c r="Q47" s="1574">
        <f ca="1">C40+J29</f>
        <v>956</v>
      </c>
      <c r="R47" s="1574" t="s">
        <v>1434</v>
      </c>
    </row>
    <row r="48" spans="1:18" s="1538" customFormat="1" ht="28.5"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20.61</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c r="K49" s="1577" t="s">
        <v>1440</v>
      </c>
      <c r="L49" s="1581"/>
      <c r="O49" s="1582" t="s">
        <v>1010</v>
      </c>
      <c r="P49" s="1573" t="s">
        <v>1441</v>
      </c>
      <c r="Q49" s="1574">
        <f ca="1">C29</f>
        <v>386</v>
      </c>
      <c r="R49" s="1574" t="s">
        <v>1434</v>
      </c>
    </row>
    <row r="50" spans="1:18" s="1538" customFormat="1" ht="13.5" thickBot="1">
      <c r="A50" s="1107"/>
      <c r="B50" s="1110"/>
      <c r="C50" s="1250"/>
      <c r="D50" s="1084"/>
      <c r="E50" s="1187" t="s">
        <v>1311</v>
      </c>
      <c r="F50" s="1188">
        <f ca="1">F7</f>
        <v>1299.8399999999999</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50</v>
      </c>
      <c r="K51" s="1588" t="s">
        <v>1446</v>
      </c>
      <c r="L51" s="1589">
        <f ca="1">ROUND(-PV(INDIRECT("'数据-取费表'!h"&amp;$G$1),J51,(C39-C13*C76),0),0)</f>
        <v>749</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20.61</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20.61</v>
      </c>
      <c r="K53" s="3399" t="s">
        <v>1453</v>
      </c>
      <c r="L53" s="3400"/>
      <c r="O53" s="1572" t="s">
        <v>1014</v>
      </c>
      <c r="P53" s="1573" t="s">
        <v>1454</v>
      </c>
      <c r="Q53" s="1574">
        <f ca="1">Q47+Q48</f>
        <v>956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270</v>
      </c>
      <c r="D56" s="1601"/>
      <c r="E56" s="1602"/>
      <c r="F56" s="1594"/>
      <c r="I56" s="1603" t="s">
        <v>1459</v>
      </c>
      <c r="J56" s="1604" t="s">
        <v>3132</v>
      </c>
      <c r="K56" s="1575" t="s">
        <v>1460</v>
      </c>
      <c r="L56" s="1578" t="str">
        <f ca="1">IF(L48&lt;J51,"——",L48-J53)</f>
        <v>——</v>
      </c>
      <c r="O56" s="1572" t="s">
        <v>1008</v>
      </c>
      <c r="P56" s="1573" t="s">
        <v>1433</v>
      </c>
      <c r="Q56" s="1574">
        <f ca="1">C40+J29</f>
        <v>956</v>
      </c>
      <c r="R56" s="1574" t="s">
        <v>1434</v>
      </c>
    </row>
    <row r="57" spans="1:18" s="1538" customFormat="1" ht="24.75" thickBot="1">
      <c r="A57" s="1605"/>
      <c r="B57" s="1081" t="s">
        <v>1383</v>
      </c>
      <c r="C57" s="244">
        <f ca="1">C29</f>
        <v>386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v>
      </c>
      <c r="D59" s="1094" t="s">
        <v>1335</v>
      </c>
      <c r="E59" s="1095" t="s">
        <v>1336</v>
      </c>
      <c r="F59" s="2503">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3.24</v>
      </c>
      <c r="D61" s="1524" t="s">
        <v>1343</v>
      </c>
      <c r="E61" s="1081" t="s">
        <v>1399</v>
      </c>
      <c r="F61" s="328">
        <f t="shared" si="0"/>
        <v>1.2E-2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0.82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956</v>
      </c>
      <c r="R62" s="1574" t="s">
        <v>1015</v>
      </c>
    </row>
    <row r="63" spans="1:18" s="1538" customFormat="1" ht="13.5" thickBot="1">
      <c r="A63" s="332"/>
      <c r="B63" s="1087"/>
      <c r="C63" s="29"/>
      <c r="D63" s="1097"/>
      <c r="E63" s="1081" t="s">
        <v>1404</v>
      </c>
      <c r="F63" s="309">
        <f t="shared" ca="1" si="0"/>
        <v>5499.09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0.3</v>
      </c>
      <c r="D65" s="1095" t="s">
        <v>1359</v>
      </c>
      <c r="E65" s="1081" t="s">
        <v>1360</v>
      </c>
      <c r="F65" s="336">
        <f t="shared" ca="1" si="0"/>
        <v>1E-3</v>
      </c>
      <c r="I65" s="1616" t="s">
        <v>1484</v>
      </c>
      <c r="J65" s="1617">
        <v>40</v>
      </c>
      <c r="K65" s="1617">
        <v>30</v>
      </c>
      <c r="L65" s="1617">
        <v>50</v>
      </c>
      <c r="M65" s="1619">
        <v>0.02</v>
      </c>
      <c r="O65" s="1572" t="s">
        <v>1008</v>
      </c>
      <c r="P65" s="1573" t="s">
        <v>1485</v>
      </c>
      <c r="Q65" s="1574">
        <f ca="1">C40+J29</f>
        <v>956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v>
      </c>
      <c r="D67" s="1094" t="s">
        <v>1369</v>
      </c>
      <c r="E67" s="1099"/>
      <c r="F67" s="1100"/>
      <c r="O67" s="1582" t="s">
        <v>1010</v>
      </c>
      <c r="P67" s="1573" t="s">
        <v>1467</v>
      </c>
      <c r="Q67" s="1620">
        <f ca="1">L51</f>
        <v>749</v>
      </c>
      <c r="R67" s="1574" t="s">
        <v>1487</v>
      </c>
    </row>
    <row r="68" spans="1:18" s="1538" customFormat="1" ht="16.5" thickBot="1">
      <c r="A68" s="1078" t="s">
        <v>1000</v>
      </c>
      <c r="B68" s="1079" t="s">
        <v>1390</v>
      </c>
      <c r="C68" s="307">
        <f ca="1">ROUND(C67*(1-((1+F70)/(1+F68))^F69)/(F68-F70),0)</f>
        <v>-97</v>
      </c>
      <c r="D68" s="1096" t="s">
        <v>1374</v>
      </c>
      <c r="E68" s="1081" t="s">
        <v>1375</v>
      </c>
      <c r="F68" s="318">
        <f ca="1">F40</f>
        <v>5.5E-2</v>
      </c>
      <c r="O68" s="1582" t="s">
        <v>1011</v>
      </c>
      <c r="P68" s="1621" t="s">
        <v>1488</v>
      </c>
      <c r="Q68" s="1574">
        <f ca="1">ROUND(Q69-Q70*Q71,0)</f>
        <v>41</v>
      </c>
      <c r="R68" s="1574" t="s">
        <v>1019</v>
      </c>
    </row>
    <row r="69" spans="1:18" s="1538" customFormat="1" ht="13.5" thickBot="1">
      <c r="A69" s="1082"/>
      <c r="B69" s="1083"/>
      <c r="C69" s="312"/>
      <c r="D69" s="1101" t="s">
        <v>1378</v>
      </c>
      <c r="E69" s="1081" t="s">
        <v>1379</v>
      </c>
      <c r="F69" s="339">
        <f ca="1">F41</f>
        <v>20.61</v>
      </c>
      <c r="O69" s="1582" t="s">
        <v>1016</v>
      </c>
      <c r="P69" s="1621" t="s">
        <v>1489</v>
      </c>
      <c r="Q69" s="1574">
        <f ca="1">C39</f>
        <v>64</v>
      </c>
      <c r="R69" s="1574" t="s">
        <v>1434</v>
      </c>
    </row>
    <row r="70" spans="1:18" s="1538" customFormat="1" ht="13.5" thickBot="1">
      <c r="A70" s="1085"/>
      <c r="B70" s="1086"/>
      <c r="C70" s="316"/>
      <c r="D70" s="1097"/>
      <c r="E70" s="1081" t="s">
        <v>1382</v>
      </c>
      <c r="F70" s="1185"/>
      <c r="O70" s="1582" t="s">
        <v>1017</v>
      </c>
      <c r="P70" s="1621" t="s">
        <v>1490</v>
      </c>
      <c r="Q70" s="1574">
        <f ca="1">C13</f>
        <v>270</v>
      </c>
      <c r="R70" s="1574" t="s">
        <v>1434</v>
      </c>
    </row>
    <row r="71" spans="1:18" s="1538" customFormat="1" ht="13.5" thickBot="1">
      <c r="A71" s="1102" t="s">
        <v>1001</v>
      </c>
      <c r="B71" s="1103" t="s">
        <v>1392</v>
      </c>
      <c r="C71" s="342">
        <f ca="1">ROUND(C68*10000/F71,0)</f>
        <v>-746</v>
      </c>
      <c r="D71" s="1104" t="s">
        <v>1393</v>
      </c>
      <c r="E71" s="1105" t="s">
        <v>1394</v>
      </c>
      <c r="F71" s="345">
        <f ca="1">F43</f>
        <v>1299.8399999999999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23</v>
      </c>
      <c r="D75" s="1538"/>
      <c r="E75" s="1538"/>
      <c r="F75" s="1538"/>
      <c r="K75" s="1556"/>
      <c r="L75" s="1538"/>
      <c r="O75" s="1572" t="s">
        <v>1014</v>
      </c>
      <c r="P75" s="1573" t="s">
        <v>1454</v>
      </c>
      <c r="Q75" s="1574">
        <f ca="1">Q65+Q66</f>
        <v>956</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0.64100000000000001</v>
      </c>
    </row>
    <row r="80" spans="1:18">
      <c r="B80" s="346" t="s">
        <v>1416</v>
      </c>
      <c r="C80" s="280">
        <f ca="1">ROUND(C75/C39,3)</f>
        <v>0.35899999999999999</v>
      </c>
    </row>
    <row r="81" spans="2:3">
      <c r="B81" s="276" t="s">
        <v>1417</v>
      </c>
      <c r="C81" s="244"/>
    </row>
    <row r="82" spans="2:3">
      <c r="B82" s="279" t="s">
        <v>1418</v>
      </c>
      <c r="C82" s="281">
        <f ca="1">1-C83</f>
        <v>0.71799999999999997</v>
      </c>
    </row>
    <row r="83" spans="2:3">
      <c r="B83" s="279" t="s">
        <v>1419</v>
      </c>
      <c r="C83" s="280">
        <f ca="1">ROUND(C13/C40,3)</f>
        <v>0.28199999999999997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1" t="s">
        <v>1308</v>
      </c>
      <c r="C6" s="1206">
        <f ca="1">ROUND(F6*F8*F7*(1-F9),0)</f>
        <v>0</v>
      </c>
      <c r="D6" s="160" t="s">
        <v>2787</v>
      </c>
      <c r="E6" s="308" t="s">
        <v>1310</v>
      </c>
      <c r="F6" s="309">
        <f ca="1">INDIRECT("'数据-取费表'!u"&amp;$G$1)</f>
        <v>0</v>
      </c>
      <c r="G6" s="1538"/>
      <c r="H6" s="1201" t="s">
        <v>1003</v>
      </c>
      <c r="I6" s="3401" t="s">
        <v>1308</v>
      </c>
      <c r="J6" s="307">
        <f ca="1">ROUND(M6*M8*M7*(1-M9),0)</f>
        <v>0</v>
      </c>
      <c r="K6" s="1530" t="s">
        <v>2788</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0</v>
      </c>
      <c r="G7" s="1538"/>
      <c r="H7" s="310"/>
      <c r="I7" s="3402"/>
      <c r="J7" s="312"/>
      <c r="K7" s="313"/>
      <c r="L7" s="308" t="s">
        <v>1311</v>
      </c>
      <c r="M7" s="309">
        <f ca="1">F7</f>
        <v>0</v>
      </c>
    </row>
    <row r="8" spans="1:37" ht="18" customHeight="1">
      <c r="A8" s="310"/>
      <c r="B8" s="3402"/>
      <c r="C8" s="312"/>
      <c r="D8" s="313"/>
      <c r="E8" s="308" t="s">
        <v>1312</v>
      </c>
      <c r="F8" s="309">
        <f ca="1">INDIRECT("'数据-取费表'!ai"&amp;$G$1)</f>
        <v>0</v>
      </c>
      <c r="G8" s="1538"/>
      <c r="H8" s="310"/>
      <c r="I8" s="3402"/>
      <c r="J8" s="312"/>
      <c r="K8" s="313"/>
      <c r="L8" s="308" t="s">
        <v>1312</v>
      </c>
      <c r="M8" s="309">
        <f ca="1">INDIRECT("'数据-取费表'!ai"&amp;$G$1)</f>
        <v>0</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399" t="s">
        <v>1453</v>
      </c>
      <c r="L53" s="340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04" t="s">
        <v>3007</v>
      </c>
      <c r="K2" s="3405"/>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06" t="s">
        <v>3017</v>
      </c>
      <c r="K3" s="3407"/>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06" t="s">
        <v>3019</v>
      </c>
      <c r="K4" s="3407"/>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08" t="s">
        <v>3023</v>
      </c>
      <c r="B6" s="3409"/>
      <c r="C6" s="3410"/>
      <c r="D6" s="3071"/>
      <c r="E6" s="3072"/>
      <c r="F6" s="3073"/>
      <c r="G6" s="3074"/>
      <c r="H6" s="3049"/>
      <c r="I6" s="3050"/>
      <c r="J6" s="3411">
        <v>1</v>
      </c>
      <c r="K6" s="3412"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11"/>
      <c r="K7" s="3413"/>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15" t="s">
        <v>3037</v>
      </c>
      <c r="C8" s="3416"/>
      <c r="D8" s="3090" t="s">
        <v>3038</v>
      </c>
      <c r="E8" s="3091" t="s">
        <v>3039</v>
      </c>
      <c r="F8" s="3092" t="s">
        <v>3040</v>
      </c>
      <c r="G8" s="3093"/>
      <c r="H8" s="3049"/>
      <c r="I8" s="3050"/>
      <c r="J8" s="3411"/>
      <c r="K8" s="3413"/>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15" t="s">
        <v>3043</v>
      </c>
      <c r="C9" s="3416"/>
      <c r="D9" s="3090">
        <f>ROUND(D6*E9,0)</f>
        <v>0</v>
      </c>
      <c r="E9" s="3094"/>
      <c r="F9" s="3095" t="s">
        <v>3044</v>
      </c>
      <c r="G9" s="3074"/>
      <c r="H9" s="3049"/>
      <c r="I9" s="3050"/>
      <c r="J9" s="3411"/>
      <c r="K9" s="3413"/>
      <c r="L9" s="3084" t="s">
        <v>3045</v>
      </c>
      <c r="M9" s="3085"/>
      <c r="N9" s="3061"/>
      <c r="O9" s="3086"/>
      <c r="P9" s="3086"/>
      <c r="Q9" s="3087">
        <v>365</v>
      </c>
      <c r="R9" s="3088">
        <f t="shared" si="0"/>
        <v>0</v>
      </c>
      <c r="S9" s="3042"/>
      <c r="T9" s="3042"/>
      <c r="U9" s="3042"/>
      <c r="V9" s="3050"/>
    </row>
    <row r="10" spans="1:22" s="3054" customFormat="1" ht="13.15" customHeight="1">
      <c r="A10" s="3089">
        <v>2</v>
      </c>
      <c r="B10" s="3415" t="s">
        <v>3046</v>
      </c>
      <c r="C10" s="3416"/>
      <c r="D10" s="3090">
        <f>ROUND(D6*E10,0)</f>
        <v>0</v>
      </c>
      <c r="E10" s="3094"/>
      <c r="F10" s="3095" t="s">
        <v>3047</v>
      </c>
      <c r="G10" s="3074"/>
      <c r="H10" s="3049"/>
      <c r="I10" s="3050"/>
      <c r="J10" s="3411"/>
      <c r="K10" s="3413"/>
      <c r="L10" s="3084" t="s">
        <v>3048</v>
      </c>
      <c r="M10" s="3085"/>
      <c r="N10" s="3061"/>
      <c r="O10" s="3086"/>
      <c r="P10" s="3086"/>
      <c r="Q10" s="3087">
        <v>365</v>
      </c>
      <c r="R10" s="3088">
        <f t="shared" si="0"/>
        <v>0</v>
      </c>
      <c r="S10" s="3042"/>
      <c r="T10" s="3042"/>
      <c r="U10" s="3042"/>
      <c r="V10" s="3050"/>
    </row>
    <row r="11" spans="1:22" s="3054" customFormat="1" ht="13.15" customHeight="1">
      <c r="A11" s="3089">
        <v>3</v>
      </c>
      <c r="B11" s="3415" t="s">
        <v>3049</v>
      </c>
      <c r="C11" s="3416"/>
      <c r="D11" s="3090">
        <f>D12+D14+D15+D16</f>
        <v>0</v>
      </c>
      <c r="E11" s="3096" t="e">
        <f>D11/D6</f>
        <v>#DIV/0!</v>
      </c>
      <c r="F11" s="3092"/>
      <c r="G11" s="3093"/>
      <c r="H11" s="3049"/>
      <c r="I11" s="3050"/>
      <c r="J11" s="3411"/>
      <c r="K11" s="3413"/>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7" t="s">
        <v>3052</v>
      </c>
      <c r="C12" s="3418"/>
      <c r="D12" s="3098">
        <f>ROUND(D13*1.2%*(1-30%),0)</f>
        <v>0</v>
      </c>
      <c r="E12" s="3099">
        <v>1.2E-2</v>
      </c>
      <c r="F12" s="3092" t="s">
        <v>3053</v>
      </c>
      <c r="G12" s="3093"/>
      <c r="H12" s="3049"/>
      <c r="I12" s="3050"/>
      <c r="J12" s="3411"/>
      <c r="K12" s="3413"/>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11"/>
      <c r="K13" s="3413"/>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7" t="s">
        <v>3058</v>
      </c>
      <c r="C14" s="3418"/>
      <c r="D14" s="3098">
        <f>ROUND(E14*B5/10000,0)</f>
        <v>0</v>
      </c>
      <c r="E14" s="3087"/>
      <c r="F14" s="3092" t="s">
        <v>3059</v>
      </c>
      <c r="G14" s="3093"/>
      <c r="H14" s="3049"/>
      <c r="I14" s="3050"/>
      <c r="J14" s="3411"/>
      <c r="K14" s="3414"/>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7" t="s">
        <v>3062</v>
      </c>
      <c r="C15" s="3418"/>
      <c r="D15" s="3098">
        <f>ROUND(D6*E15,0)</f>
        <v>0</v>
      </c>
      <c r="E15" s="3099">
        <v>5.5E-2</v>
      </c>
      <c r="F15" s="3092" t="s">
        <v>3063</v>
      </c>
      <c r="G15" s="3074"/>
      <c r="H15" s="3049"/>
      <c r="I15" s="3050"/>
      <c r="J15" s="3411">
        <v>2</v>
      </c>
      <c r="K15" s="3412"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7" t="s">
        <v>3071</v>
      </c>
      <c r="C16" s="3418"/>
      <c r="D16" s="3109">
        <f>D6*E16</f>
        <v>0</v>
      </c>
      <c r="E16" s="3110"/>
      <c r="F16" s="3095" t="s">
        <v>3072</v>
      </c>
      <c r="G16" s="3074"/>
      <c r="H16" s="3049"/>
      <c r="I16" s="3050"/>
      <c r="J16" s="3411"/>
      <c r="K16" s="3413"/>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9" t="s">
        <v>3074</v>
      </c>
      <c r="C17" s="3420"/>
      <c r="D17" s="3112">
        <f>ROUND(D6*E17,0)</f>
        <v>0</v>
      </c>
      <c r="E17" s="3113"/>
      <c r="F17" s="3114" t="s">
        <v>3075</v>
      </c>
      <c r="G17" s="3074"/>
      <c r="H17" s="3049"/>
      <c r="I17" s="3050"/>
      <c r="J17" s="3411"/>
      <c r="K17" s="3413"/>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11"/>
      <c r="K18" s="3413"/>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11"/>
      <c r="K19" s="3414"/>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1">
        <v>3</v>
      </c>
      <c r="K20" s="3412"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11"/>
      <c r="K21" s="3413"/>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11"/>
      <c r="K22" s="3413"/>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11"/>
      <c r="K23" s="3413"/>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11"/>
      <c r="K24" s="3414"/>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21">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2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04" t="s">
        <v>3007</v>
      </c>
      <c r="K32" s="3405"/>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06" t="s">
        <v>3017</v>
      </c>
      <c r="K33" s="3407"/>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06" t="s">
        <v>3019</v>
      </c>
      <c r="K34" s="3407"/>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11">
        <v>1</v>
      </c>
      <c r="K36" s="3412"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11"/>
      <c r="K37" s="3413"/>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1"/>
      <c r="K38" s="3413"/>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11"/>
      <c r="K39" s="3413"/>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11"/>
      <c r="K40" s="3414"/>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1">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2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956</v>
      </c>
      <c r="C2" s="2028" t="s">
        <v>2280</v>
      </c>
      <c r="D2" s="2029" t="s">
        <v>2281</v>
      </c>
      <c r="E2" s="2803">
        <f>SUM(E6:E13)</f>
        <v>1299.8399999999999</v>
      </c>
      <c r="F2" s="2906"/>
      <c r="G2" s="1644"/>
      <c r="H2" s="1644"/>
      <c r="I2" s="1644"/>
      <c r="J2" s="1644"/>
      <c r="K2" s="1644"/>
      <c r="L2" s="1644"/>
      <c r="M2" s="1644"/>
      <c r="N2" s="1644"/>
      <c r="O2" s="1644"/>
      <c r="P2" s="1644"/>
      <c r="Q2" s="1644"/>
      <c r="R2" s="1644"/>
      <c r="S2" s="1644"/>
    </row>
    <row r="3" spans="1:22" ht="15.75">
      <c r="A3" s="2026" t="s">
        <v>1300</v>
      </c>
      <c r="B3" s="2797">
        <f ca="1">ROUND(B2*10000/E2,0)</f>
        <v>7355</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3" t="s">
        <v>2283</v>
      </c>
      <c r="C5" s="3424"/>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956</v>
      </c>
      <c r="C6" s="2028" t="s">
        <v>2280</v>
      </c>
      <c r="D6" s="2908"/>
      <c r="E6" s="2802">
        <f>IF(OR(A6=0,F6="否"),0,'数据-取费表'!K6+'数据-取费表'!S6)</f>
        <v>1299.8399999999999</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1299.8399999999999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3" t="s">
        <v>2297</v>
      </c>
      <c r="D4" s="3444"/>
      <c r="E4" s="3445" t="s">
        <v>2298</v>
      </c>
      <c r="F4" s="3446"/>
      <c r="G4" s="3443" t="s">
        <v>2299</v>
      </c>
      <c r="H4" s="3444"/>
      <c r="I4" s="3443" t="s">
        <v>2300</v>
      </c>
      <c r="J4" s="3444"/>
      <c r="K4" s="2045" t="s">
        <v>2301</v>
      </c>
      <c r="L4" s="2914"/>
      <c r="M4" s="2915"/>
      <c r="N4" s="2915"/>
      <c r="O4" s="2915"/>
      <c r="P4" s="3447" t="s">
        <v>2302</v>
      </c>
      <c r="Q4" s="3448"/>
      <c r="R4" s="3430" t="s">
        <v>2298</v>
      </c>
      <c r="S4" s="3431"/>
      <c r="T4" s="3430" t="s">
        <v>2299</v>
      </c>
      <c r="U4" s="3431"/>
      <c r="V4" s="3455" t="s">
        <v>2300</v>
      </c>
      <c r="W4" s="3455"/>
      <c r="X4" s="1509"/>
      <c r="Y4" s="3430" t="s">
        <v>2302</v>
      </c>
      <c r="Z4" s="3431"/>
      <c r="AA4" s="3425" t="s">
        <v>2298</v>
      </c>
      <c r="AB4" s="3425" t="s">
        <v>2299</v>
      </c>
      <c r="AC4" s="3425" t="s">
        <v>2300</v>
      </c>
    </row>
    <row r="5" spans="1:29" ht="15">
      <c r="A5" s="364"/>
      <c r="B5" s="365"/>
      <c r="C5" s="3436" t="s">
        <v>2303</v>
      </c>
      <c r="D5" s="3437"/>
      <c r="E5" s="3434" t="s">
        <v>2304</v>
      </c>
      <c r="F5" s="3435"/>
      <c r="G5" s="3436" t="s">
        <v>2305</v>
      </c>
      <c r="H5" s="3437"/>
      <c r="I5" s="3436" t="s">
        <v>2306</v>
      </c>
      <c r="J5" s="3437"/>
      <c r="K5" s="2046"/>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2046"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28" t="s">
        <v>2310</v>
      </c>
      <c r="Q7" s="3456"/>
      <c r="R7" s="710" t="s">
        <v>23</v>
      </c>
      <c r="S7" s="711">
        <f t="shared" ref="S7:S15" si="0">F7</f>
        <v>0</v>
      </c>
      <c r="T7" s="710" t="s">
        <v>23</v>
      </c>
      <c r="U7" s="711">
        <f t="shared" ref="U7:U15" si="1">H7</f>
        <v>0</v>
      </c>
      <c r="V7" s="710" t="s">
        <v>23</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28" t="s">
        <v>2313</v>
      </c>
      <c r="Q8" s="3429"/>
      <c r="R8" s="710" t="s">
        <v>23</v>
      </c>
      <c r="S8" s="711">
        <f t="shared" si="0"/>
        <v>0</v>
      </c>
      <c r="T8" s="710" t="s">
        <v>23</v>
      </c>
      <c r="U8" s="711">
        <f t="shared" si="1"/>
        <v>0</v>
      </c>
      <c r="V8" s="710" t="s">
        <v>23</v>
      </c>
      <c r="W8" s="711">
        <f t="shared" si="2"/>
        <v>0</v>
      </c>
      <c r="X8" s="712"/>
      <c r="Y8" s="3428" t="s">
        <v>2313</v>
      </c>
      <c r="Z8" s="342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2"/>
      <c r="Q11" s="1497" t="str">
        <f t="shared" si="6"/>
        <v>容积率</v>
      </c>
      <c r="R11" s="710" t="s">
        <v>21</v>
      </c>
      <c r="S11" s="711" t="e">
        <f t="shared" si="0"/>
        <v>#N/A</v>
      </c>
      <c r="T11" s="710" t="s">
        <v>21</v>
      </c>
      <c r="U11" s="711" t="e">
        <f t="shared" si="1"/>
        <v>#N/A</v>
      </c>
      <c r="V11" s="710" t="s">
        <v>21</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2"/>
      <c r="Q12" s="1497">
        <f t="shared" si="6"/>
        <v>111</v>
      </c>
      <c r="R12" s="710" t="s">
        <v>21</v>
      </c>
      <c r="S12" s="711">
        <f t="shared" si="0"/>
        <v>100</v>
      </c>
      <c r="T12" s="710" t="s">
        <v>21</v>
      </c>
      <c r="U12" s="711">
        <f t="shared" si="1"/>
        <v>100</v>
      </c>
      <c r="V12" s="710" t="s">
        <v>21</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2"/>
      <c r="Q13" s="1497">
        <f t="shared" si="6"/>
        <v>111</v>
      </c>
      <c r="R13" s="710" t="s">
        <v>21</v>
      </c>
      <c r="S13" s="711">
        <f t="shared" si="0"/>
        <v>100</v>
      </c>
      <c r="T13" s="710" t="s">
        <v>21</v>
      </c>
      <c r="U13" s="711">
        <f t="shared" si="1"/>
        <v>100</v>
      </c>
      <c r="V13" s="710" t="s">
        <v>21</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2"/>
      <c r="Q14" s="1497">
        <f t="shared" si="6"/>
        <v>111</v>
      </c>
      <c r="R14" s="710" t="s">
        <v>21</v>
      </c>
      <c r="S14" s="711">
        <f t="shared" si="0"/>
        <v>100</v>
      </c>
      <c r="T14" s="710" t="s">
        <v>21</v>
      </c>
      <c r="U14" s="711">
        <f t="shared" si="1"/>
        <v>100</v>
      </c>
      <c r="V14" s="710" t="s">
        <v>21</v>
      </c>
      <c r="W14" s="711">
        <f t="shared" si="2"/>
        <v>100</v>
      </c>
      <c r="X14" s="712"/>
      <c r="Y14" s="337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69" t="s">
        <v>2321</v>
      </c>
      <c r="Q15" s="1506" t="str">
        <f t="shared" si="6"/>
        <v>居住社区成熟度</v>
      </c>
      <c r="R15" s="714" t="s">
        <v>21</v>
      </c>
      <c r="S15" s="715">
        <f t="shared" si="0"/>
        <v>100</v>
      </c>
      <c r="T15" s="714" t="s">
        <v>21</v>
      </c>
      <c r="U15" s="715">
        <f t="shared" si="1"/>
        <v>100</v>
      </c>
      <c r="V15" s="714" t="s">
        <v>21</v>
      </c>
      <c r="W15" s="715">
        <f t="shared" si="2"/>
        <v>100</v>
      </c>
      <c r="X15" s="1509"/>
      <c r="Y15" s="346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0"/>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0"/>
      <c r="Q17" s="1506" t="str">
        <f>B17</f>
        <v>交通便捷度</v>
      </c>
      <c r="R17" s="714" t="s">
        <v>21</v>
      </c>
      <c r="S17" s="715">
        <f>F17</f>
        <v>100</v>
      </c>
      <c r="T17" s="714" t="s">
        <v>21</v>
      </c>
      <c r="U17" s="715">
        <f>H17</f>
        <v>100</v>
      </c>
      <c r="V17" s="714" t="s">
        <v>21</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0"/>
      <c r="Q18" s="1506"/>
      <c r="R18" s="714"/>
      <c r="S18" s="715"/>
      <c r="T18" s="714"/>
      <c r="U18" s="715"/>
      <c r="V18" s="714"/>
      <c r="W18" s="715"/>
      <c r="X18" s="1509"/>
      <c r="Y18" s="346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0"/>
      <c r="Q19" s="1506" t="str">
        <f>B19</f>
        <v>公共配套设施</v>
      </c>
      <c r="R19" s="714" t="s">
        <v>21</v>
      </c>
      <c r="S19" s="715">
        <f>F19</f>
        <v>100</v>
      </c>
      <c r="T19" s="714" t="s">
        <v>21</v>
      </c>
      <c r="U19" s="715">
        <f>H19</f>
        <v>100</v>
      </c>
      <c r="V19" s="714" t="s">
        <v>21</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0"/>
      <c r="Q20" s="1506"/>
      <c r="R20" s="714"/>
      <c r="S20" s="715"/>
      <c r="T20" s="714"/>
      <c r="U20" s="715"/>
      <c r="V20" s="714"/>
      <c r="W20" s="715"/>
      <c r="X20" s="1509"/>
      <c r="Y20" s="346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0"/>
      <c r="Q22" s="1506"/>
      <c r="R22" s="714"/>
      <c r="S22" s="715"/>
      <c r="T22" s="714"/>
      <c r="U22" s="715"/>
      <c r="V22" s="714"/>
      <c r="W22" s="715"/>
      <c r="X22" s="1509"/>
      <c r="Y22" s="346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0"/>
      <c r="Q23" s="1506" t="str">
        <f>B23</f>
        <v>自然及人文环境</v>
      </c>
      <c r="R23" s="714" t="s">
        <v>21</v>
      </c>
      <c r="S23" s="715">
        <f>F23</f>
        <v>100</v>
      </c>
      <c r="T23" s="714" t="s">
        <v>21</v>
      </c>
      <c r="U23" s="715">
        <f>H23</f>
        <v>100</v>
      </c>
      <c r="V23" s="714" t="s">
        <v>21</v>
      </c>
      <c r="W23" s="715">
        <f>J23</f>
        <v>100</v>
      </c>
      <c r="X23" s="1509"/>
      <c r="Y23" s="346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0"/>
      <c r="Q24" s="1506"/>
      <c r="R24" s="714"/>
      <c r="S24" s="715"/>
      <c r="T24" s="714"/>
      <c r="U24" s="715"/>
      <c r="V24" s="714"/>
      <c r="W24" s="715"/>
      <c r="X24" s="1509"/>
      <c r="Y24" s="346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0"/>
      <c r="Q26" s="1506" t="str">
        <f t="shared" si="11"/>
        <v>朝向</v>
      </c>
      <c r="R26" s="714" t="s">
        <v>21</v>
      </c>
      <c r="S26" s="715">
        <f t="shared" si="12"/>
        <v>100</v>
      </c>
      <c r="T26" s="714" t="s">
        <v>21</v>
      </c>
      <c r="U26" s="715">
        <f t="shared" si="13"/>
        <v>100</v>
      </c>
      <c r="V26" s="714" t="s">
        <v>21</v>
      </c>
      <c r="W26" s="715">
        <f t="shared" si="14"/>
        <v>100</v>
      </c>
      <c r="X26" s="1509"/>
      <c r="Y26" s="346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0"/>
      <c r="Q27" s="1497">
        <f t="shared" si="11"/>
        <v>111</v>
      </c>
      <c r="R27" s="710" t="s">
        <v>21</v>
      </c>
      <c r="S27" s="711">
        <f t="shared" si="12"/>
        <v>100</v>
      </c>
      <c r="T27" s="710" t="s">
        <v>21</v>
      </c>
      <c r="U27" s="711">
        <f t="shared" si="13"/>
        <v>100</v>
      </c>
      <c r="V27" s="710" t="s">
        <v>21</v>
      </c>
      <c r="W27" s="711">
        <f t="shared" si="14"/>
        <v>100</v>
      </c>
      <c r="X27" s="712"/>
      <c r="Y27" s="346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0"/>
      <c r="Q28" s="1506">
        <f t="shared" si="11"/>
        <v>111</v>
      </c>
      <c r="R28" s="714" t="s">
        <v>21</v>
      </c>
      <c r="S28" s="715">
        <f t="shared" si="12"/>
        <v>100</v>
      </c>
      <c r="T28" s="714" t="s">
        <v>21</v>
      </c>
      <c r="U28" s="715">
        <f t="shared" si="13"/>
        <v>100</v>
      </c>
      <c r="V28" s="714" t="s">
        <v>21</v>
      </c>
      <c r="W28" s="715">
        <f t="shared" si="14"/>
        <v>100</v>
      </c>
      <c r="X28" s="1509"/>
      <c r="Y28" s="346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0"/>
      <c r="Q29" s="1506">
        <f t="shared" si="11"/>
        <v>111</v>
      </c>
      <c r="R29" s="714" t="s">
        <v>21</v>
      </c>
      <c r="S29" s="715">
        <f t="shared" si="12"/>
        <v>100</v>
      </c>
      <c r="T29" s="714" t="s">
        <v>21</v>
      </c>
      <c r="U29" s="715">
        <f t="shared" si="13"/>
        <v>100</v>
      </c>
      <c r="V29" s="714" t="s">
        <v>21</v>
      </c>
      <c r="W29" s="715">
        <f t="shared" si="14"/>
        <v>100</v>
      </c>
      <c r="X29" s="1509"/>
      <c r="Y29" s="346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0"/>
      <c r="Q30" s="1506">
        <f t="shared" si="11"/>
        <v>111</v>
      </c>
      <c r="R30" s="714" t="s">
        <v>21</v>
      </c>
      <c r="S30" s="715">
        <f t="shared" si="12"/>
        <v>100</v>
      </c>
      <c r="T30" s="714" t="s">
        <v>21</v>
      </c>
      <c r="U30" s="715">
        <f t="shared" si="13"/>
        <v>100</v>
      </c>
      <c r="V30" s="714" t="s">
        <v>21</v>
      </c>
      <c r="W30" s="715">
        <f t="shared" si="14"/>
        <v>100</v>
      </c>
      <c r="X30" s="1509"/>
      <c r="Y30" s="346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0"/>
      <c r="Q31" s="1506">
        <f t="shared" si="11"/>
        <v>111</v>
      </c>
      <c r="R31" s="714" t="s">
        <v>21</v>
      </c>
      <c r="S31" s="715">
        <f t="shared" si="12"/>
        <v>100</v>
      </c>
      <c r="T31" s="714" t="s">
        <v>21</v>
      </c>
      <c r="U31" s="715">
        <f t="shared" si="13"/>
        <v>100</v>
      </c>
      <c r="V31" s="714" t="s">
        <v>21</v>
      </c>
      <c r="W31" s="715">
        <f t="shared" si="14"/>
        <v>100</v>
      </c>
      <c r="X31" s="1509"/>
      <c r="Y31" s="346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4" t="s">
        <v>2326</v>
      </c>
      <c r="Q32" s="1506" t="str">
        <f t="shared" si="11"/>
        <v>建筑类型</v>
      </c>
      <c r="R32" s="714" t="s">
        <v>21</v>
      </c>
      <c r="S32" s="715">
        <f t="shared" si="12"/>
        <v>100</v>
      </c>
      <c r="T32" s="714" t="s">
        <v>21</v>
      </c>
      <c r="U32" s="715">
        <f t="shared" si="13"/>
        <v>100</v>
      </c>
      <c r="V32" s="714" t="s">
        <v>21</v>
      </c>
      <c r="W32" s="715">
        <f t="shared" si="14"/>
        <v>100</v>
      </c>
      <c r="X32" s="1509"/>
      <c r="Y32" s="346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5"/>
      <c r="Q34" s="1506" t="str">
        <f t="shared" si="11"/>
        <v>建筑结构</v>
      </c>
      <c r="R34" s="714" t="s">
        <v>21</v>
      </c>
      <c r="S34" s="715">
        <f t="shared" si="12"/>
        <v>100</v>
      </c>
      <c r="T34" s="714" t="s">
        <v>21</v>
      </c>
      <c r="U34" s="715">
        <f t="shared" si="13"/>
        <v>100</v>
      </c>
      <c r="V34" s="714" t="s">
        <v>21</v>
      </c>
      <c r="W34" s="715">
        <f t="shared" si="14"/>
        <v>100</v>
      </c>
      <c r="X34" s="1509"/>
      <c r="Y34" s="346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5"/>
      <c r="Q35" s="1506" t="str">
        <f t="shared" si="11"/>
        <v>建筑品质</v>
      </c>
      <c r="R35" s="714" t="s">
        <v>21</v>
      </c>
      <c r="S35" s="715">
        <f t="shared" si="12"/>
        <v>100</v>
      </c>
      <c r="T35" s="714" t="s">
        <v>21</v>
      </c>
      <c r="U35" s="715">
        <f t="shared" si="13"/>
        <v>100</v>
      </c>
      <c r="V35" s="714" t="s">
        <v>21</v>
      </c>
      <c r="W35" s="715">
        <f t="shared" si="14"/>
        <v>100</v>
      </c>
      <c r="X35" s="1509"/>
      <c r="Y35" s="346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5"/>
      <c r="Q36" s="1506" t="str">
        <f t="shared" si="11"/>
        <v>公共部分装修</v>
      </c>
      <c r="R36" s="714" t="s">
        <v>21</v>
      </c>
      <c r="S36" s="715">
        <f t="shared" si="12"/>
        <v>100</v>
      </c>
      <c r="T36" s="714" t="s">
        <v>21</v>
      </c>
      <c r="U36" s="715">
        <f t="shared" si="13"/>
        <v>100</v>
      </c>
      <c r="V36" s="714" t="s">
        <v>21</v>
      </c>
      <c r="W36" s="715">
        <f t="shared" si="14"/>
        <v>100</v>
      </c>
      <c r="X36" s="1509"/>
      <c r="Y36" s="346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5"/>
      <c r="Q37" s="1497"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5" t="s">
        <v>2326</v>
      </c>
      <c r="Q38" s="1506" t="str">
        <f t="shared" si="11"/>
        <v>物业管理</v>
      </c>
      <c r="R38" s="714" t="s">
        <v>21</v>
      </c>
      <c r="S38" s="715">
        <f t="shared" si="12"/>
        <v>100</v>
      </c>
      <c r="T38" s="714" t="s">
        <v>21</v>
      </c>
      <c r="U38" s="715">
        <f t="shared" si="13"/>
        <v>100</v>
      </c>
      <c r="V38" s="714" t="s">
        <v>21</v>
      </c>
      <c r="W38" s="715">
        <f t="shared" si="14"/>
        <v>100</v>
      </c>
      <c r="X38" s="1509"/>
      <c r="Y38" s="346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5"/>
      <c r="Q39" s="1506" t="str">
        <f t="shared" si="11"/>
        <v>市政基础设施</v>
      </c>
      <c r="R39" s="714" t="s">
        <v>21</v>
      </c>
      <c r="S39" s="715">
        <f t="shared" si="12"/>
        <v>100</v>
      </c>
      <c r="T39" s="714" t="s">
        <v>21</v>
      </c>
      <c r="U39" s="715">
        <f t="shared" si="13"/>
        <v>100</v>
      </c>
      <c r="V39" s="714" t="s">
        <v>21</v>
      </c>
      <c r="W39" s="715">
        <f t="shared" si="14"/>
        <v>100</v>
      </c>
      <c r="X39" s="1509"/>
      <c r="Y39" s="346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5"/>
      <c r="Q40" s="1506" t="str">
        <f t="shared" si="11"/>
        <v>房型</v>
      </c>
      <c r="R40" s="714" t="s">
        <v>21</v>
      </c>
      <c r="S40" s="715">
        <f t="shared" si="12"/>
        <v>100</v>
      </c>
      <c r="T40" s="714" t="s">
        <v>21</v>
      </c>
      <c r="U40" s="715">
        <f t="shared" si="13"/>
        <v>100</v>
      </c>
      <c r="V40" s="714" t="s">
        <v>21</v>
      </c>
      <c r="W40" s="715">
        <f t="shared" si="14"/>
        <v>100</v>
      </c>
      <c r="X40" s="1509"/>
      <c r="Y40" s="346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5"/>
      <c r="Q42" s="1506" t="str">
        <f t="shared" si="11"/>
        <v>内部装修</v>
      </c>
      <c r="R42" s="714" t="s">
        <v>21</v>
      </c>
      <c r="S42" s="715">
        <f t="shared" si="12"/>
        <v>100</v>
      </c>
      <c r="T42" s="714" t="s">
        <v>21</v>
      </c>
      <c r="U42" s="715">
        <f t="shared" si="13"/>
        <v>100</v>
      </c>
      <c r="V42" s="714" t="s">
        <v>21</v>
      </c>
      <c r="W42" s="715">
        <f t="shared" si="14"/>
        <v>100</v>
      </c>
      <c r="X42" s="1509"/>
      <c r="Y42" s="346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5"/>
      <c r="Q43" s="1506" t="str">
        <f t="shared" si="11"/>
        <v>内部装修维护情况</v>
      </c>
      <c r="R43" s="714" t="s">
        <v>21</v>
      </c>
      <c r="S43" s="715">
        <f t="shared" si="12"/>
        <v>100</v>
      </c>
      <c r="T43" s="714" t="s">
        <v>21</v>
      </c>
      <c r="U43" s="715">
        <f t="shared" si="13"/>
        <v>100</v>
      </c>
      <c r="V43" s="714" t="s">
        <v>21</v>
      </c>
      <c r="W43" s="715">
        <f t="shared" si="14"/>
        <v>100</v>
      </c>
      <c r="X43" s="1509"/>
      <c r="Y43" s="346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5"/>
      <c r="Q44" s="1497">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5"/>
      <c r="Q45" s="1506">
        <f t="shared" si="11"/>
        <v>111</v>
      </c>
      <c r="R45" s="714" t="s">
        <v>21</v>
      </c>
      <c r="S45" s="715">
        <f t="shared" si="12"/>
        <v>100</v>
      </c>
      <c r="T45" s="714" t="s">
        <v>21</v>
      </c>
      <c r="U45" s="715">
        <f t="shared" si="13"/>
        <v>100</v>
      </c>
      <c r="V45" s="714" t="s">
        <v>21</v>
      </c>
      <c r="W45" s="715">
        <f t="shared" si="14"/>
        <v>100</v>
      </c>
      <c r="X45" s="1509"/>
      <c r="Y45" s="346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6"/>
      <c r="Q46" s="1506">
        <f t="shared" si="11"/>
        <v>111</v>
      </c>
      <c r="R46" s="714" t="s">
        <v>20</v>
      </c>
      <c r="S46" s="715">
        <f t="shared" si="12"/>
        <v>100</v>
      </c>
      <c r="T46" s="714" t="s">
        <v>20</v>
      </c>
      <c r="U46" s="715">
        <f t="shared" si="13"/>
        <v>100</v>
      </c>
      <c r="V46" s="714" t="s">
        <v>20</v>
      </c>
      <c r="W46" s="715">
        <f t="shared" si="14"/>
        <v>100</v>
      </c>
      <c r="X46" s="1509"/>
      <c r="Y46" s="346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1299.8399999999999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55"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55"/>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55"/>
      <c r="AC6" s="3427"/>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69" t="s">
        <v>2321</v>
      </c>
      <c r="Q15" s="1506" t="str">
        <f t="shared" si="6"/>
        <v>商业繁华度</v>
      </c>
      <c r="R15" s="714" t="s">
        <v>17</v>
      </c>
      <c r="S15" s="715">
        <f t="shared" si="0"/>
        <v>100</v>
      </c>
      <c r="T15" s="714" t="s">
        <v>17</v>
      </c>
      <c r="U15" s="715">
        <f t="shared" si="1"/>
        <v>100</v>
      </c>
      <c r="V15" s="714" t="s">
        <v>17</v>
      </c>
      <c r="W15" s="715">
        <f t="shared" si="2"/>
        <v>100</v>
      </c>
      <c r="X15" s="1509"/>
      <c r="Y15" s="346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0"/>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0"/>
      <c r="Q18" s="1506"/>
      <c r="R18" s="714"/>
      <c r="S18" s="715"/>
      <c r="T18" s="714"/>
      <c r="U18" s="715"/>
      <c r="V18" s="714"/>
      <c r="W18" s="715"/>
      <c r="X18" s="1509"/>
      <c r="Y18" s="346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0"/>
      <c r="Q20" s="1506"/>
      <c r="R20" s="714"/>
      <c r="S20" s="715"/>
      <c r="T20" s="714"/>
      <c r="U20" s="715"/>
      <c r="V20" s="714"/>
      <c r="W20" s="715"/>
      <c r="X20" s="1509"/>
      <c r="Y20" s="346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0"/>
      <c r="Q22" s="1506"/>
      <c r="R22" s="714"/>
      <c r="S22" s="715"/>
      <c r="T22" s="714"/>
      <c r="U22" s="715"/>
      <c r="V22" s="714"/>
      <c r="W22" s="715"/>
      <c r="X22" s="1509"/>
      <c r="Y22" s="346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0"/>
      <c r="Q23" s="1506" t="str">
        <f>B23</f>
        <v>自然及人文环境</v>
      </c>
      <c r="R23" s="714" t="s">
        <v>17</v>
      </c>
      <c r="S23" s="715">
        <f>F23</f>
        <v>100</v>
      </c>
      <c r="T23" s="714" t="s">
        <v>17</v>
      </c>
      <c r="U23" s="715">
        <f>H23</f>
        <v>100</v>
      </c>
      <c r="V23" s="714" t="s">
        <v>17</v>
      </c>
      <c r="W23" s="715">
        <f>J23</f>
        <v>100</v>
      </c>
      <c r="X23" s="1509"/>
      <c r="Y23" s="346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0"/>
      <c r="Q24" s="1506"/>
      <c r="R24" s="714"/>
      <c r="S24" s="715"/>
      <c r="T24" s="714"/>
      <c r="U24" s="715"/>
      <c r="V24" s="714"/>
      <c r="W24" s="715"/>
      <c r="X24" s="1509"/>
      <c r="Y24" s="346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0"/>
      <c r="Q25" s="1506" t="str">
        <f t="shared" ref="Q25:Q46" si="11">B25</f>
        <v>临街状况</v>
      </c>
      <c r="R25" s="714" t="s">
        <v>17</v>
      </c>
      <c r="S25" s="715">
        <f>F25</f>
        <v>100</v>
      </c>
      <c r="T25" s="714" t="s">
        <v>17</v>
      </c>
      <c r="U25" s="715">
        <f>H25</f>
        <v>100</v>
      </c>
      <c r="V25" s="714" t="s">
        <v>17</v>
      </c>
      <c r="W25" s="715">
        <f>J25</f>
        <v>100</v>
      </c>
      <c r="X25" s="1509"/>
      <c r="Y25" s="346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0"/>
      <c r="Q26" s="1506" t="str">
        <f t="shared" si="11"/>
        <v>平面位置/可视性</v>
      </c>
      <c r="R26" s="714" t="s">
        <v>17</v>
      </c>
      <c r="S26" s="715">
        <f>F26</f>
        <v>100</v>
      </c>
      <c r="T26" s="714" t="s">
        <v>17</v>
      </c>
      <c r="U26" s="715">
        <f>H26</f>
        <v>100</v>
      </c>
      <c r="V26" s="714" t="s">
        <v>17</v>
      </c>
      <c r="W26" s="715">
        <f>J26</f>
        <v>100</v>
      </c>
      <c r="X26" s="1509"/>
      <c r="Y26" s="346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0"/>
      <c r="Q27" s="1497" t="str">
        <f t="shared" si="11"/>
        <v>人流量</v>
      </c>
      <c r="R27" s="710" t="s">
        <v>17</v>
      </c>
      <c r="S27" s="711">
        <f>F27</f>
        <v>100</v>
      </c>
      <c r="T27" s="710" t="s">
        <v>17</v>
      </c>
      <c r="U27" s="711">
        <f>H27</f>
        <v>100</v>
      </c>
      <c r="V27" s="710" t="s">
        <v>17</v>
      </c>
      <c r="W27" s="711">
        <f>J27</f>
        <v>100</v>
      </c>
      <c r="X27" s="712"/>
      <c r="Y27" s="346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0"/>
      <c r="Q29" s="1506">
        <f t="shared" si="11"/>
        <v>111</v>
      </c>
      <c r="R29" s="714" t="s">
        <v>17</v>
      </c>
      <c r="S29" s="715">
        <f t="shared" si="12"/>
        <v>100</v>
      </c>
      <c r="T29" s="714" t="s">
        <v>17</v>
      </c>
      <c r="U29" s="715">
        <f t="shared" si="13"/>
        <v>100</v>
      </c>
      <c r="V29" s="714" t="s">
        <v>17</v>
      </c>
      <c r="W29" s="715">
        <f t="shared" si="14"/>
        <v>100</v>
      </c>
      <c r="X29" s="1509"/>
      <c r="Y29" s="346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4" t="s">
        <v>2326</v>
      </c>
      <c r="Q32" s="1506" t="str">
        <f t="shared" si="11"/>
        <v>商业类型</v>
      </c>
      <c r="R32" s="714" t="s">
        <v>17</v>
      </c>
      <c r="S32" s="715">
        <f t="shared" si="12"/>
        <v>100</v>
      </c>
      <c r="T32" s="714" t="s">
        <v>17</v>
      </c>
      <c r="U32" s="715">
        <f t="shared" si="13"/>
        <v>100</v>
      </c>
      <c r="V32" s="714" t="s">
        <v>17</v>
      </c>
      <c r="W32" s="715">
        <f t="shared" si="14"/>
        <v>100</v>
      </c>
      <c r="X32" s="1509"/>
      <c r="Y32" s="346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5"/>
      <c r="Q34" s="1506" t="str">
        <f t="shared" si="11"/>
        <v>建筑结构</v>
      </c>
      <c r="R34" s="714" t="s">
        <v>17</v>
      </c>
      <c r="S34" s="715">
        <f t="shared" si="12"/>
        <v>100</v>
      </c>
      <c r="T34" s="714" t="s">
        <v>17</v>
      </c>
      <c r="U34" s="715">
        <f t="shared" si="13"/>
        <v>100</v>
      </c>
      <c r="V34" s="714" t="s">
        <v>17</v>
      </c>
      <c r="W34" s="715">
        <f t="shared" si="14"/>
        <v>100</v>
      </c>
      <c r="X34" s="1509"/>
      <c r="Y34" s="346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5"/>
      <c r="Q35" s="1506" t="str">
        <f t="shared" si="11"/>
        <v>公共部分装修</v>
      </c>
      <c r="R35" s="714" t="s">
        <v>17</v>
      </c>
      <c r="S35" s="715">
        <f t="shared" si="12"/>
        <v>100</v>
      </c>
      <c r="T35" s="714" t="s">
        <v>17</v>
      </c>
      <c r="U35" s="715">
        <f t="shared" si="13"/>
        <v>100</v>
      </c>
      <c r="V35" s="714" t="s">
        <v>17</v>
      </c>
      <c r="W35" s="715">
        <f t="shared" si="14"/>
        <v>100</v>
      </c>
      <c r="X35" s="1509"/>
      <c r="Y35" s="346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5"/>
      <c r="Q36" s="1506" t="str">
        <f t="shared" si="11"/>
        <v>成新度</v>
      </c>
      <c r="R36" s="714" t="s">
        <v>17</v>
      </c>
      <c r="S36" s="715" t="e">
        <f t="shared" si="12"/>
        <v>#N/A</v>
      </c>
      <c r="T36" s="714" t="s">
        <v>17</v>
      </c>
      <c r="U36" s="715" t="e">
        <f t="shared" si="13"/>
        <v>#N/A</v>
      </c>
      <c r="V36" s="714" t="s">
        <v>17</v>
      </c>
      <c r="W36" s="715" t="e">
        <f t="shared" si="14"/>
        <v>#N/A</v>
      </c>
      <c r="X36" s="1509"/>
      <c r="Y36" s="346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5"/>
      <c r="Q37" s="1497"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5" t="s">
        <v>2326</v>
      </c>
      <c r="Q38" s="1506" t="str">
        <f t="shared" si="11"/>
        <v>业态</v>
      </c>
      <c r="R38" s="714" t="s">
        <v>17</v>
      </c>
      <c r="S38" s="715">
        <f t="shared" si="12"/>
        <v>100</v>
      </c>
      <c r="T38" s="714" t="s">
        <v>17</v>
      </c>
      <c r="U38" s="715">
        <f t="shared" si="13"/>
        <v>100</v>
      </c>
      <c r="V38" s="714" t="s">
        <v>17</v>
      </c>
      <c r="W38" s="715">
        <f t="shared" si="14"/>
        <v>100</v>
      </c>
      <c r="X38" s="1509"/>
      <c r="Y38" s="346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5"/>
      <c r="Q39" s="1506" t="str">
        <f t="shared" si="11"/>
        <v>层高</v>
      </c>
      <c r="R39" s="714" t="s">
        <v>17</v>
      </c>
      <c r="S39" s="715">
        <f t="shared" si="12"/>
        <v>100</v>
      </c>
      <c r="T39" s="714" t="s">
        <v>17</v>
      </c>
      <c r="U39" s="715">
        <f t="shared" si="13"/>
        <v>100</v>
      </c>
      <c r="V39" s="714" t="s">
        <v>17</v>
      </c>
      <c r="W39" s="715">
        <f t="shared" si="14"/>
        <v>100</v>
      </c>
      <c r="X39" s="1509"/>
      <c r="Y39" s="346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5"/>
      <c r="Q40" s="1506" t="str">
        <f t="shared" si="11"/>
        <v>单套建筑面积</v>
      </c>
      <c r="R40" s="714" t="s">
        <v>17</v>
      </c>
      <c r="S40" s="715">
        <f t="shared" si="12"/>
        <v>100</v>
      </c>
      <c r="T40" s="714" t="s">
        <v>17</v>
      </c>
      <c r="U40" s="715">
        <f t="shared" si="13"/>
        <v>100</v>
      </c>
      <c r="V40" s="714" t="s">
        <v>17</v>
      </c>
      <c r="W40" s="715">
        <f t="shared" si="14"/>
        <v>100</v>
      </c>
      <c r="X40" s="1509"/>
      <c r="Y40" s="346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5"/>
      <c r="Q42" s="1506" t="str">
        <f t="shared" si="11"/>
        <v>内部装修</v>
      </c>
      <c r="R42" s="714" t="s">
        <v>17</v>
      </c>
      <c r="S42" s="715">
        <f t="shared" si="12"/>
        <v>100</v>
      </c>
      <c r="T42" s="714" t="s">
        <v>17</v>
      </c>
      <c r="U42" s="715">
        <f t="shared" si="13"/>
        <v>100</v>
      </c>
      <c r="V42" s="714" t="s">
        <v>17</v>
      </c>
      <c r="W42" s="715">
        <f t="shared" si="14"/>
        <v>100</v>
      </c>
      <c r="X42" s="1509"/>
      <c r="Y42" s="346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5"/>
      <c r="Q43" s="1506" t="str">
        <f t="shared" si="11"/>
        <v>内部装修维护情况</v>
      </c>
      <c r="R43" s="714" t="s">
        <v>17</v>
      </c>
      <c r="S43" s="715">
        <f t="shared" si="12"/>
        <v>100</v>
      </c>
      <c r="T43" s="714" t="s">
        <v>17</v>
      </c>
      <c r="U43" s="715">
        <f t="shared" si="13"/>
        <v>100</v>
      </c>
      <c r="V43" s="714" t="s">
        <v>17</v>
      </c>
      <c r="W43" s="715">
        <f t="shared" si="14"/>
        <v>100</v>
      </c>
      <c r="X43" s="1509"/>
      <c r="Y43" s="346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5"/>
      <c r="Q44" s="1497">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5"/>
      <c r="Q45" s="1506">
        <f t="shared" si="11"/>
        <v>111</v>
      </c>
      <c r="R45" s="714" t="s">
        <v>17</v>
      </c>
      <c r="S45" s="715">
        <f t="shared" si="12"/>
        <v>100</v>
      </c>
      <c r="T45" s="714" t="s">
        <v>17</v>
      </c>
      <c r="U45" s="715">
        <f t="shared" si="13"/>
        <v>100</v>
      </c>
      <c r="V45" s="714" t="s">
        <v>17</v>
      </c>
      <c r="W45" s="715">
        <f t="shared" si="14"/>
        <v>100</v>
      </c>
      <c r="X45" s="1509"/>
      <c r="Y45" s="346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0" t="str">
        <f>A47</f>
        <v>成交单价（元/平方米）</v>
      </c>
      <c r="Q47" s="3460"/>
      <c r="R47" s="3455">
        <f>E47</f>
        <v>0</v>
      </c>
      <c r="S47" s="3455"/>
      <c r="T47" s="3455">
        <f>G47</f>
        <v>0</v>
      </c>
      <c r="U47" s="3455"/>
      <c r="V47" s="3455">
        <f>I47</f>
        <v>0</v>
      </c>
      <c r="W47" s="3455"/>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1299.8399999999999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77" t="s">
        <v>2412</v>
      </c>
      <c r="Q4" s="3478"/>
      <c r="R4" s="3472" t="s">
        <v>2408</v>
      </c>
      <c r="S4" s="3473"/>
      <c r="T4" s="3472" t="s">
        <v>2409</v>
      </c>
      <c r="U4" s="3473"/>
      <c r="V4" s="3481" t="s">
        <v>2410</v>
      </c>
      <c r="W4" s="3481"/>
      <c r="X4" s="2114"/>
      <c r="Y4" s="3472" t="s">
        <v>2412</v>
      </c>
      <c r="Z4" s="3473"/>
      <c r="AA4" s="3471" t="s">
        <v>2408</v>
      </c>
      <c r="AB4" s="3471" t="s">
        <v>2409</v>
      </c>
      <c r="AC4" s="3474" t="s">
        <v>2410</v>
      </c>
    </row>
    <row r="5" spans="1:29" ht="15">
      <c r="A5" s="364"/>
      <c r="B5" s="365"/>
      <c r="C5" s="3436" t="s">
        <v>2303</v>
      </c>
      <c r="D5" s="3437"/>
      <c r="E5" s="3434" t="s">
        <v>2304</v>
      </c>
      <c r="F5" s="3435"/>
      <c r="G5" s="3436" t="s">
        <v>2305</v>
      </c>
      <c r="H5" s="3437"/>
      <c r="I5" s="3436" t="s">
        <v>2306</v>
      </c>
      <c r="J5" s="3437"/>
      <c r="K5" s="567"/>
      <c r="L5" s="2914"/>
      <c r="M5" s="2915"/>
      <c r="N5" s="2915"/>
      <c r="O5" s="2915"/>
      <c r="P5" s="3479"/>
      <c r="Q5" s="3450"/>
      <c r="R5" s="3432"/>
      <c r="S5" s="3433"/>
      <c r="T5" s="3432"/>
      <c r="U5" s="3433"/>
      <c r="V5" s="3455"/>
      <c r="W5" s="3455"/>
      <c r="X5" s="1509"/>
      <c r="Y5" s="3432"/>
      <c r="Z5" s="3433"/>
      <c r="AA5" s="3426"/>
      <c r="AB5" s="3426"/>
      <c r="AC5" s="3475"/>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80"/>
      <c r="Q6" s="3452"/>
      <c r="R6" s="3432"/>
      <c r="S6" s="3433"/>
      <c r="T6" s="3453"/>
      <c r="U6" s="3454"/>
      <c r="V6" s="3455"/>
      <c r="W6" s="3455"/>
      <c r="X6" s="1509"/>
      <c r="Y6" s="3453"/>
      <c r="Z6" s="3454"/>
      <c r="AA6" s="3427"/>
      <c r="AB6" s="3427"/>
      <c r="AC6" s="3476"/>
    </row>
    <row r="7" spans="1:29" s="113" customFormat="1" ht="15.75" thickBot="1">
      <c r="A7" s="368" t="s">
        <v>2309</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2"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2" t="s">
        <v>2313</v>
      </c>
      <c r="Q8" s="3429"/>
      <c r="R8" s="710" t="s">
        <v>17</v>
      </c>
      <c r="S8" s="711">
        <f t="shared" si="0"/>
        <v>0</v>
      </c>
      <c r="T8" s="710" t="s">
        <v>17</v>
      </c>
      <c r="U8" s="711">
        <f t="shared" si="1"/>
        <v>0</v>
      </c>
      <c r="V8" s="710" t="s">
        <v>17</v>
      </c>
      <c r="W8" s="711">
        <f t="shared" si="2"/>
        <v>0</v>
      </c>
      <c r="X8" s="712"/>
      <c r="Y8" s="3428" t="s">
        <v>2313</v>
      </c>
      <c r="Z8" s="3429"/>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69" t="s">
        <v>2321</v>
      </c>
      <c r="Q15" s="1506" t="str">
        <f t="shared" si="6"/>
        <v>办公集聚程度</v>
      </c>
      <c r="R15" s="714" t="s">
        <v>17</v>
      </c>
      <c r="S15" s="715">
        <f t="shared" si="0"/>
        <v>100</v>
      </c>
      <c r="T15" s="714" t="s">
        <v>17</v>
      </c>
      <c r="U15" s="715">
        <f t="shared" si="1"/>
        <v>100</v>
      </c>
      <c r="V15" s="714" t="s">
        <v>17</v>
      </c>
      <c r="W15" s="715">
        <f t="shared" si="2"/>
        <v>100</v>
      </c>
      <c r="X15" s="1509"/>
      <c r="Y15" s="346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0"/>
      <c r="Q16" s="1506"/>
      <c r="R16" s="714"/>
      <c r="S16" s="715"/>
      <c r="T16" s="714"/>
      <c r="U16" s="715"/>
      <c r="V16" s="714"/>
      <c r="W16" s="715"/>
      <c r="X16" s="1509"/>
      <c r="Y16" s="346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0"/>
      <c r="Q18" s="1506"/>
      <c r="R18" s="714"/>
      <c r="S18" s="715"/>
      <c r="T18" s="714"/>
      <c r="U18" s="715"/>
      <c r="V18" s="714"/>
      <c r="W18" s="715"/>
      <c r="X18" s="1509"/>
      <c r="Y18" s="346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0"/>
      <c r="Q20" s="1506"/>
      <c r="R20" s="714"/>
      <c r="S20" s="715"/>
      <c r="T20" s="714"/>
      <c r="U20" s="715"/>
      <c r="V20" s="714"/>
      <c r="W20" s="715"/>
      <c r="X20" s="1509"/>
      <c r="Y20" s="346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0"/>
      <c r="Q22" s="1506"/>
      <c r="R22" s="714"/>
      <c r="S22" s="715"/>
      <c r="T22" s="714"/>
      <c r="U22" s="715"/>
      <c r="V22" s="714"/>
      <c r="W22" s="715"/>
      <c r="X22" s="1509"/>
      <c r="Y22" s="346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0"/>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0"/>
      <c r="Q24" s="1506"/>
      <c r="R24" s="714"/>
      <c r="S24" s="715"/>
      <c r="T24" s="714"/>
      <c r="U24" s="715"/>
      <c r="V24" s="714"/>
      <c r="W24" s="715"/>
      <c r="X24" s="1509"/>
      <c r="Y24" s="346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0"/>
      <c r="Q25" s="1506" t="str">
        <f>B25</f>
        <v>毗邻道路的类型与等级</v>
      </c>
      <c r="R25" s="714" t="s">
        <v>17</v>
      </c>
      <c r="S25" s="715">
        <f>F25</f>
        <v>100</v>
      </c>
      <c r="T25" s="714" t="s">
        <v>17</v>
      </c>
      <c r="U25" s="715">
        <f>H25</f>
        <v>100</v>
      </c>
      <c r="V25" s="714" t="s">
        <v>17</v>
      </c>
      <c r="W25" s="715">
        <f>J25</f>
        <v>100</v>
      </c>
      <c r="X25" s="1509"/>
      <c r="Y25" s="346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0"/>
      <c r="Q26" s="1506"/>
      <c r="R26" s="714"/>
      <c r="S26" s="715"/>
      <c r="T26" s="714"/>
      <c r="U26" s="715"/>
      <c r="V26" s="714"/>
      <c r="W26" s="715"/>
      <c r="X26" s="1509"/>
      <c r="Y26" s="346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0"/>
      <c r="Q27" s="1506" t="str">
        <f t="shared" ref="Q27:Q47" si="11">B27</f>
        <v>楼层</v>
      </c>
      <c r="R27" s="714" t="s">
        <v>17</v>
      </c>
      <c r="S27" s="715">
        <f>F27</f>
        <v>100</v>
      </c>
      <c r="T27" s="714" t="s">
        <v>17</v>
      </c>
      <c r="U27" s="715">
        <f>H27</f>
        <v>100</v>
      </c>
      <c r="V27" s="714" t="s">
        <v>17</v>
      </c>
      <c r="W27" s="715">
        <f>J27</f>
        <v>100</v>
      </c>
      <c r="X27" s="1509"/>
      <c r="Y27" s="346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0"/>
      <c r="Q28" s="1497" t="str">
        <f t="shared" si="11"/>
        <v>朝向</v>
      </c>
      <c r="R28" s="710" t="s">
        <v>17</v>
      </c>
      <c r="S28" s="711">
        <f>F28</f>
        <v>100</v>
      </c>
      <c r="T28" s="710" t="s">
        <v>17</v>
      </c>
      <c r="U28" s="711">
        <f>H28</f>
        <v>100</v>
      </c>
      <c r="V28" s="710" t="s">
        <v>17</v>
      </c>
      <c r="W28" s="711">
        <f>J28</f>
        <v>100</v>
      </c>
      <c r="X28" s="712"/>
      <c r="Y28" s="346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0"/>
      <c r="Q29" s="1506">
        <f t="shared" si="11"/>
        <v>111</v>
      </c>
      <c r="R29" s="714" t="s">
        <v>17</v>
      </c>
      <c r="S29" s="715">
        <f t="shared" ref="S29:S47" si="12">F29</f>
        <v>100</v>
      </c>
      <c r="T29" s="714" t="s">
        <v>17</v>
      </c>
      <c r="U29" s="715">
        <f t="shared" ref="U29:U47" si="13">H29</f>
        <v>100</v>
      </c>
      <c r="V29" s="714" t="s">
        <v>17</v>
      </c>
      <c r="W29" s="715">
        <f t="shared" ref="W29:W47" si="14">J29</f>
        <v>100</v>
      </c>
      <c r="X29" s="1509"/>
      <c r="Y29" s="346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0"/>
      <c r="Q32" s="1506">
        <f t="shared" si="11"/>
        <v>111</v>
      </c>
      <c r="R32" s="714" t="s">
        <v>17</v>
      </c>
      <c r="S32" s="715">
        <f t="shared" si="12"/>
        <v>100</v>
      </c>
      <c r="T32" s="714" t="s">
        <v>17</v>
      </c>
      <c r="U32" s="715">
        <f t="shared" si="13"/>
        <v>100</v>
      </c>
      <c r="V32" s="714" t="s">
        <v>17</v>
      </c>
      <c r="W32" s="715">
        <f t="shared" si="14"/>
        <v>100</v>
      </c>
      <c r="X32" s="1509"/>
      <c r="Y32" s="346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4" t="s">
        <v>2326</v>
      </c>
      <c r="Q33" s="1506" t="str">
        <f t="shared" si="11"/>
        <v>建筑类型</v>
      </c>
      <c r="R33" s="714" t="s">
        <v>17</v>
      </c>
      <c r="S33" s="715">
        <f t="shared" si="12"/>
        <v>100</v>
      </c>
      <c r="T33" s="714" t="s">
        <v>17</v>
      </c>
      <c r="U33" s="715">
        <f t="shared" si="13"/>
        <v>100</v>
      </c>
      <c r="V33" s="714" t="s">
        <v>17</v>
      </c>
      <c r="W33" s="715">
        <f t="shared" si="14"/>
        <v>100</v>
      </c>
      <c r="X33" s="1509"/>
      <c r="Y33" s="346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5"/>
      <c r="Q35" s="1506" t="str">
        <f t="shared" si="11"/>
        <v>建筑结构</v>
      </c>
      <c r="R35" s="714" t="s">
        <v>17</v>
      </c>
      <c r="S35" s="715">
        <f t="shared" si="12"/>
        <v>100</v>
      </c>
      <c r="T35" s="714" t="s">
        <v>17</v>
      </c>
      <c r="U35" s="715">
        <f t="shared" si="13"/>
        <v>100</v>
      </c>
      <c r="V35" s="714" t="s">
        <v>17</v>
      </c>
      <c r="W35" s="715">
        <f t="shared" si="14"/>
        <v>100</v>
      </c>
      <c r="X35" s="1509"/>
      <c r="Y35" s="346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5"/>
      <c r="Q36" s="1506" t="str">
        <f t="shared" si="11"/>
        <v>公共部分装修</v>
      </c>
      <c r="R36" s="714" t="s">
        <v>17</v>
      </c>
      <c r="S36" s="715">
        <f t="shared" si="12"/>
        <v>100</v>
      </c>
      <c r="T36" s="714" t="s">
        <v>17</v>
      </c>
      <c r="U36" s="715">
        <f t="shared" si="13"/>
        <v>100</v>
      </c>
      <c r="V36" s="714" t="s">
        <v>17</v>
      </c>
      <c r="W36" s="715">
        <f t="shared" si="14"/>
        <v>100</v>
      </c>
      <c r="X36" s="1509"/>
      <c r="Y36" s="346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5"/>
      <c r="Q37" s="1506" t="str">
        <f t="shared" si="11"/>
        <v>成新度</v>
      </c>
      <c r="R37" s="714" t="s">
        <v>17</v>
      </c>
      <c r="S37" s="715" t="e">
        <f t="shared" si="12"/>
        <v>#N/A</v>
      </c>
      <c r="T37" s="714" t="s">
        <v>17</v>
      </c>
      <c r="U37" s="715" t="e">
        <f t="shared" si="13"/>
        <v>#N/A</v>
      </c>
      <c r="V37" s="714" t="s">
        <v>17</v>
      </c>
      <c r="W37" s="715" t="e">
        <f t="shared" si="14"/>
        <v>#N/A</v>
      </c>
      <c r="X37" s="1509"/>
      <c r="Y37" s="346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5"/>
      <c r="Q38" s="1497"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5" t="s">
        <v>2326</v>
      </c>
      <c r="Q39" s="1506" t="str">
        <f t="shared" si="11"/>
        <v>物业管理</v>
      </c>
      <c r="R39" s="714" t="s">
        <v>17</v>
      </c>
      <c r="S39" s="715">
        <f t="shared" si="12"/>
        <v>100</v>
      </c>
      <c r="T39" s="714" t="s">
        <v>17</v>
      </c>
      <c r="U39" s="715">
        <f t="shared" si="13"/>
        <v>100</v>
      </c>
      <c r="V39" s="714" t="s">
        <v>17</v>
      </c>
      <c r="W39" s="715">
        <f t="shared" si="14"/>
        <v>100</v>
      </c>
      <c r="X39" s="1509"/>
      <c r="Y39" s="346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5"/>
      <c r="Q40" s="1506" t="str">
        <f t="shared" si="11"/>
        <v>市政基础设施</v>
      </c>
      <c r="R40" s="714" t="s">
        <v>17</v>
      </c>
      <c r="S40" s="715">
        <f t="shared" si="12"/>
        <v>100</v>
      </c>
      <c r="T40" s="714" t="s">
        <v>17</v>
      </c>
      <c r="U40" s="715">
        <f t="shared" si="13"/>
        <v>100</v>
      </c>
      <c r="V40" s="714" t="s">
        <v>17</v>
      </c>
      <c r="W40" s="715">
        <f t="shared" si="14"/>
        <v>100</v>
      </c>
      <c r="X40" s="1509"/>
      <c r="Y40" s="346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5"/>
      <c r="Q41" s="1506" t="str">
        <f t="shared" si="11"/>
        <v>层高</v>
      </c>
      <c r="R41" s="714" t="s">
        <v>17</v>
      </c>
      <c r="S41" s="715">
        <f t="shared" si="12"/>
        <v>100</v>
      </c>
      <c r="T41" s="714" t="s">
        <v>17</v>
      </c>
      <c r="U41" s="715">
        <f t="shared" si="13"/>
        <v>100</v>
      </c>
      <c r="V41" s="714" t="s">
        <v>17</v>
      </c>
      <c r="W41" s="715">
        <f t="shared" si="14"/>
        <v>100</v>
      </c>
      <c r="X41" s="1509"/>
      <c r="Y41" s="346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5"/>
      <c r="Q43" s="1506" t="str">
        <f t="shared" si="11"/>
        <v>内部装修</v>
      </c>
      <c r="R43" s="714" t="s">
        <v>17</v>
      </c>
      <c r="S43" s="715">
        <f t="shared" si="12"/>
        <v>100</v>
      </c>
      <c r="T43" s="714" t="s">
        <v>17</v>
      </c>
      <c r="U43" s="715">
        <f t="shared" si="13"/>
        <v>100</v>
      </c>
      <c r="V43" s="714" t="s">
        <v>17</v>
      </c>
      <c r="W43" s="715">
        <f t="shared" si="14"/>
        <v>100</v>
      </c>
      <c r="X43" s="1509"/>
      <c r="Y43" s="346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5"/>
      <c r="Q44" s="1506" t="str">
        <f t="shared" si="11"/>
        <v>内部装修维护情况</v>
      </c>
      <c r="R44" s="714" t="s">
        <v>17</v>
      </c>
      <c r="S44" s="715">
        <f t="shared" si="12"/>
        <v>100</v>
      </c>
      <c r="T44" s="714" t="s">
        <v>17</v>
      </c>
      <c r="U44" s="715">
        <f t="shared" si="13"/>
        <v>100</v>
      </c>
      <c r="V44" s="714" t="s">
        <v>17</v>
      </c>
      <c r="W44" s="715">
        <f t="shared" si="14"/>
        <v>100</v>
      </c>
      <c r="X44" s="1509"/>
      <c r="Y44" s="346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5"/>
      <c r="Q45" s="1497">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5"/>
      <c r="Q46" s="1506">
        <f t="shared" si="11"/>
        <v>111</v>
      </c>
      <c r="R46" s="714" t="s">
        <v>17</v>
      </c>
      <c r="S46" s="715">
        <f t="shared" si="12"/>
        <v>100</v>
      </c>
      <c r="T46" s="714" t="s">
        <v>17</v>
      </c>
      <c r="U46" s="715">
        <f t="shared" si="13"/>
        <v>100</v>
      </c>
      <c r="V46" s="714" t="s">
        <v>17</v>
      </c>
      <c r="W46" s="715">
        <f t="shared" si="14"/>
        <v>100</v>
      </c>
      <c r="X46" s="1509"/>
      <c r="Y46" s="346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6"/>
      <c r="Q47" s="1506">
        <f t="shared" si="11"/>
        <v>111</v>
      </c>
      <c r="R47" s="714" t="s">
        <v>17</v>
      </c>
      <c r="S47" s="715">
        <f t="shared" si="12"/>
        <v>100</v>
      </c>
      <c r="T47" s="714" t="s">
        <v>17</v>
      </c>
      <c r="U47" s="715">
        <f t="shared" si="13"/>
        <v>100</v>
      </c>
      <c r="V47" s="714" t="s">
        <v>17</v>
      </c>
      <c r="W47" s="715">
        <f t="shared" si="14"/>
        <v>100</v>
      </c>
      <c r="X47" s="1509"/>
      <c r="Y47" s="346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2"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42"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1299.8399999999999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4"/>
      <c r="M4" s="1045"/>
      <c r="N4" s="1045"/>
      <c r="O4" s="104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1044"/>
      <c r="M5" s="1045"/>
      <c r="N5" s="1045"/>
      <c r="O5" s="104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1044"/>
      <c r="M6" s="1045"/>
      <c r="N6" s="1045"/>
      <c r="O6" s="104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8" t="s">
        <v>2313</v>
      </c>
      <c r="Q8" s="3429"/>
      <c r="R8" s="710" t="s">
        <v>17</v>
      </c>
      <c r="S8" s="711">
        <f t="shared" si="0"/>
        <v>0</v>
      </c>
      <c r="T8" s="710" t="s">
        <v>17</v>
      </c>
      <c r="U8" s="711">
        <f t="shared" si="1"/>
        <v>0</v>
      </c>
      <c r="V8" s="710" t="s">
        <v>17</v>
      </c>
      <c r="W8" s="711">
        <f t="shared" si="2"/>
        <v>0</v>
      </c>
      <c r="X8" s="712"/>
      <c r="Y8" s="3428" t="s">
        <v>2313</v>
      </c>
      <c r="Z8" s="342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3"/>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3"/>
      <c r="Q18" s="1506"/>
      <c r="R18" s="714"/>
      <c r="S18" s="715"/>
      <c r="T18" s="714"/>
      <c r="U18" s="715"/>
      <c r="V18" s="714"/>
      <c r="W18" s="715"/>
      <c r="X18" s="1509"/>
      <c r="Y18" s="346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3"/>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3"/>
      <c r="Q20" s="1506"/>
      <c r="R20" s="714"/>
      <c r="S20" s="715"/>
      <c r="T20" s="714"/>
      <c r="U20" s="715"/>
      <c r="V20" s="714"/>
      <c r="W20" s="715"/>
      <c r="X20" s="1509"/>
      <c r="Y20" s="346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3"/>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3"/>
      <c r="Q22" s="1506"/>
      <c r="R22" s="714"/>
      <c r="S22" s="715"/>
      <c r="T22" s="714"/>
      <c r="U22" s="715"/>
      <c r="V22" s="714"/>
      <c r="W22" s="715"/>
      <c r="X22" s="1509"/>
      <c r="Y22" s="346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3"/>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3"/>
      <c r="Q24" s="1506"/>
      <c r="R24" s="714"/>
      <c r="S24" s="715"/>
      <c r="T24" s="714"/>
      <c r="U24" s="715"/>
      <c r="V24" s="714"/>
      <c r="W24" s="715"/>
      <c r="X24" s="1509"/>
      <c r="Y24" s="346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3"/>
      <c r="Q25" s="1506">
        <f>B25</f>
        <v>111</v>
      </c>
      <c r="R25" s="714" t="s">
        <v>17</v>
      </c>
      <c r="S25" s="715">
        <f>F25</f>
        <v>100</v>
      </c>
      <c r="T25" s="714" t="s">
        <v>17</v>
      </c>
      <c r="U25" s="715">
        <f>H25</f>
        <v>100</v>
      </c>
      <c r="V25" s="714" t="s">
        <v>17</v>
      </c>
      <c r="W25" s="715">
        <f>J25</f>
        <v>100</v>
      </c>
      <c r="X25" s="1509"/>
      <c r="Y25" s="346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3"/>
      <c r="Q26" s="1506">
        <f t="shared" ref="Q26:Q40" si="11">B26</f>
        <v>111</v>
      </c>
      <c r="R26" s="714" t="s">
        <v>17</v>
      </c>
      <c r="S26" s="715">
        <f>F26</f>
        <v>100</v>
      </c>
      <c r="T26" s="714" t="s">
        <v>17</v>
      </c>
      <c r="U26" s="715">
        <f>H26</f>
        <v>100</v>
      </c>
      <c r="V26" s="714" t="s">
        <v>17</v>
      </c>
      <c r="W26" s="715">
        <f>J26</f>
        <v>100</v>
      </c>
      <c r="X26" s="1509"/>
      <c r="Y26" s="346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3"/>
      <c r="Q27" s="1497">
        <f t="shared" si="11"/>
        <v>111</v>
      </c>
      <c r="R27" s="710" t="s">
        <v>17</v>
      </c>
      <c r="S27" s="711">
        <f>F27</f>
        <v>100</v>
      </c>
      <c r="T27" s="710" t="s">
        <v>17</v>
      </c>
      <c r="U27" s="711">
        <f>H27</f>
        <v>100</v>
      </c>
      <c r="V27" s="710" t="s">
        <v>17</v>
      </c>
      <c r="W27" s="711">
        <f>J27</f>
        <v>100</v>
      </c>
      <c r="X27" s="712"/>
      <c r="Y27" s="346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3"/>
      <c r="Q28" s="1506">
        <f t="shared" si="11"/>
        <v>111</v>
      </c>
      <c r="R28" s="714" t="s">
        <v>17</v>
      </c>
      <c r="S28" s="715">
        <f t="shared" ref="S28:S40" si="12">F28</f>
        <v>100</v>
      </c>
      <c r="T28" s="714" t="s">
        <v>17</v>
      </c>
      <c r="U28" s="715">
        <f t="shared" ref="U28:U40" si="13">H28</f>
        <v>100</v>
      </c>
      <c r="V28" s="714" t="s">
        <v>17</v>
      </c>
      <c r="W28" s="715">
        <f t="shared" ref="W28:W40" si="14">J28</f>
        <v>100</v>
      </c>
      <c r="X28" s="1509"/>
      <c r="Y28" s="346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6" t="s">
        <v>2326</v>
      </c>
      <c r="Q29" s="1506" t="str">
        <f t="shared" si="11"/>
        <v>建筑类型</v>
      </c>
      <c r="R29" s="714" t="s">
        <v>17</v>
      </c>
      <c r="S29" s="715">
        <f t="shared" si="12"/>
        <v>100</v>
      </c>
      <c r="T29" s="714" t="s">
        <v>17</v>
      </c>
      <c r="U29" s="715">
        <f t="shared" si="13"/>
        <v>100</v>
      </c>
      <c r="V29" s="714" t="s">
        <v>17</v>
      </c>
      <c r="W29" s="715">
        <f t="shared" si="14"/>
        <v>100</v>
      </c>
      <c r="X29" s="1509"/>
      <c r="Y29" s="346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7"/>
      <c r="Q31" s="1506" t="str">
        <f t="shared" si="11"/>
        <v>建筑结构</v>
      </c>
      <c r="R31" s="714" t="s">
        <v>17</v>
      </c>
      <c r="S31" s="715">
        <f t="shared" si="12"/>
        <v>100</v>
      </c>
      <c r="T31" s="714" t="s">
        <v>17</v>
      </c>
      <c r="U31" s="715">
        <f t="shared" si="13"/>
        <v>100</v>
      </c>
      <c r="V31" s="714" t="s">
        <v>17</v>
      </c>
      <c r="W31" s="715">
        <f t="shared" si="14"/>
        <v>100</v>
      </c>
      <c r="X31" s="1509"/>
      <c r="Y31" s="346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7"/>
      <c r="Q32" s="1506" t="str">
        <f t="shared" si="11"/>
        <v>公共部分装修</v>
      </c>
      <c r="R32" s="714" t="s">
        <v>17</v>
      </c>
      <c r="S32" s="715">
        <f t="shared" si="12"/>
        <v>100</v>
      </c>
      <c r="T32" s="714" t="s">
        <v>17</v>
      </c>
      <c r="U32" s="715">
        <f t="shared" si="13"/>
        <v>100</v>
      </c>
      <c r="V32" s="714" t="s">
        <v>17</v>
      </c>
      <c r="W32" s="715">
        <f t="shared" si="14"/>
        <v>100</v>
      </c>
      <c r="X32" s="1509"/>
      <c r="Y32" s="346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7"/>
      <c r="Q33" s="1506" t="str">
        <f t="shared" si="11"/>
        <v>成新度</v>
      </c>
      <c r="R33" s="714" t="s">
        <v>17</v>
      </c>
      <c r="S33" s="715" t="e">
        <f t="shared" si="12"/>
        <v>#N/A</v>
      </c>
      <c r="T33" s="714" t="s">
        <v>17</v>
      </c>
      <c r="U33" s="715" t="e">
        <f t="shared" si="13"/>
        <v>#N/A</v>
      </c>
      <c r="V33" s="714" t="s">
        <v>17</v>
      </c>
      <c r="W33" s="715" t="e">
        <f t="shared" si="14"/>
        <v>#N/A</v>
      </c>
      <c r="X33" s="1509"/>
      <c r="Y33" s="346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7"/>
      <c r="Q34" s="1497"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7" t="s">
        <v>2326</v>
      </c>
      <c r="Q35" s="1506" t="str">
        <f t="shared" si="11"/>
        <v>市政基础设施</v>
      </c>
      <c r="R35" s="714" t="s">
        <v>17</v>
      </c>
      <c r="S35" s="715">
        <f t="shared" si="12"/>
        <v>100</v>
      </c>
      <c r="T35" s="714" t="s">
        <v>17</v>
      </c>
      <c r="U35" s="715">
        <f t="shared" si="13"/>
        <v>100</v>
      </c>
      <c r="V35" s="714" t="s">
        <v>17</v>
      </c>
      <c r="W35" s="715">
        <f t="shared" si="14"/>
        <v>100</v>
      </c>
      <c r="X35" s="1509"/>
      <c r="Y35" s="346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7"/>
      <c r="Q36" s="1506" t="str">
        <f t="shared" si="11"/>
        <v>内部装修</v>
      </c>
      <c r="R36" s="714" t="s">
        <v>17</v>
      </c>
      <c r="S36" s="715">
        <f t="shared" si="12"/>
        <v>100</v>
      </c>
      <c r="T36" s="714" t="s">
        <v>17</v>
      </c>
      <c r="U36" s="715">
        <f t="shared" si="13"/>
        <v>100</v>
      </c>
      <c r="V36" s="714" t="s">
        <v>17</v>
      </c>
      <c r="W36" s="715">
        <f t="shared" si="14"/>
        <v>100</v>
      </c>
      <c r="X36" s="1509"/>
      <c r="Y36" s="346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7"/>
      <c r="Q37" s="1506" t="str">
        <f t="shared" si="11"/>
        <v>内部装修状况</v>
      </c>
      <c r="R37" s="714" t="s">
        <v>17</v>
      </c>
      <c r="S37" s="715">
        <f t="shared" si="12"/>
        <v>100</v>
      </c>
      <c r="T37" s="714" t="s">
        <v>17</v>
      </c>
      <c r="U37" s="715">
        <f t="shared" si="13"/>
        <v>100</v>
      </c>
      <c r="V37" s="714" t="s">
        <v>17</v>
      </c>
      <c r="W37" s="715">
        <f t="shared" si="14"/>
        <v>100</v>
      </c>
      <c r="X37" s="1509"/>
      <c r="Y37" s="346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7"/>
      <c r="Q39" s="1506">
        <f t="shared" si="11"/>
        <v>111</v>
      </c>
      <c r="R39" s="714" t="s">
        <v>17</v>
      </c>
      <c r="S39" s="715">
        <f t="shared" si="12"/>
        <v>100</v>
      </c>
      <c r="T39" s="714" t="s">
        <v>17</v>
      </c>
      <c r="U39" s="715">
        <f t="shared" si="13"/>
        <v>100</v>
      </c>
      <c r="V39" s="714" t="s">
        <v>17</v>
      </c>
      <c r="W39" s="715">
        <f t="shared" si="14"/>
        <v>100</v>
      </c>
      <c r="X39" s="1509"/>
      <c r="Y39" s="346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8"/>
      <c r="Q40" s="1506">
        <f t="shared" si="11"/>
        <v>111</v>
      </c>
      <c r="R40" s="714" t="s">
        <v>17</v>
      </c>
      <c r="S40" s="715">
        <f t="shared" si="12"/>
        <v>100</v>
      </c>
      <c r="T40" s="714" t="s">
        <v>17</v>
      </c>
      <c r="U40" s="715">
        <f t="shared" si="13"/>
        <v>100</v>
      </c>
      <c r="V40" s="714" t="s">
        <v>17</v>
      </c>
      <c r="W40" s="715">
        <f t="shared" si="14"/>
        <v>100</v>
      </c>
      <c r="X40" s="1509"/>
      <c r="Y40" s="346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估价对象为房地产，为所有。根据《国有土地使用证》[]，估价对象（分摊）出让国有建设用地使用权面积为5499.09平方米，建筑面积为1299.84平方米。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估价对象为房地产,属开发建设的，该项目尚在开发建设中。根据《国有土地使用证》[]，估价对象（分摊）出让国有建设用地使用权面积为5499.09平方米，规划建筑面积为1299.84平方米。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2022年3月18日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28" t="s">
        <v>2310</v>
      </c>
      <c r="Q7" s="3456"/>
      <c r="R7" s="710" t="s">
        <v>17</v>
      </c>
      <c r="S7" s="711">
        <f t="shared" ref="S7:S14" si="0">F7</f>
        <v>0</v>
      </c>
      <c r="T7" s="710" t="s">
        <v>17</v>
      </c>
      <c r="U7" s="711">
        <f t="shared" ref="U7:U14" si="1">H7</f>
        <v>0</v>
      </c>
      <c r="V7" s="710" t="s">
        <v>17</v>
      </c>
      <c r="W7" s="711">
        <f t="shared" ref="W7:W14"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0"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0"/>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3"/>
      <c r="Q15" s="1506"/>
      <c r="R15" s="714"/>
      <c r="S15" s="715"/>
      <c r="T15" s="714"/>
      <c r="U15" s="715"/>
      <c r="V15" s="714"/>
      <c r="W15" s="715"/>
      <c r="X15" s="1509"/>
      <c r="Y15" s="346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3"/>
      <c r="Q17" s="1506"/>
      <c r="R17" s="714"/>
      <c r="S17" s="715"/>
      <c r="T17" s="714"/>
      <c r="U17" s="715"/>
      <c r="V17" s="714"/>
      <c r="W17" s="715"/>
      <c r="X17" s="1509"/>
      <c r="Y17" s="346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3"/>
      <c r="Q19" s="1506"/>
      <c r="R19" s="714"/>
      <c r="S19" s="715"/>
      <c r="T19" s="714"/>
      <c r="U19" s="715"/>
      <c r="V19" s="714"/>
      <c r="W19" s="715"/>
      <c r="X19" s="1509"/>
      <c r="Y19" s="346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3"/>
      <c r="Q21" s="1506"/>
      <c r="R21" s="714"/>
      <c r="S21" s="715"/>
      <c r="T21" s="714"/>
      <c r="U21" s="715"/>
      <c r="V21" s="714"/>
      <c r="W21" s="715"/>
      <c r="X21" s="1509"/>
      <c r="Y21" s="346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3"/>
      <c r="Q24" s="1506">
        <f t="shared" ref="Q24:Q36"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7"/>
      <c r="Q28" s="1506" t="str">
        <f t="shared" si="11"/>
        <v>公共部分装修</v>
      </c>
      <c r="R28" s="714" t="s">
        <v>17</v>
      </c>
      <c r="S28" s="715">
        <f t="shared" si="12"/>
        <v>100</v>
      </c>
      <c r="T28" s="714" t="s">
        <v>17</v>
      </c>
      <c r="U28" s="715">
        <f t="shared" si="13"/>
        <v>100</v>
      </c>
      <c r="V28" s="714" t="s">
        <v>17</v>
      </c>
      <c r="W28" s="715">
        <f t="shared" si="14"/>
        <v>100</v>
      </c>
      <c r="X28" s="1509"/>
      <c r="Y28" s="346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7"/>
      <c r="Q29" s="1506" t="str">
        <f t="shared" si="11"/>
        <v>成新率</v>
      </c>
      <c r="R29" s="714" t="s">
        <v>17</v>
      </c>
      <c r="S29" s="715" t="e">
        <f t="shared" si="12"/>
        <v>#N/A</v>
      </c>
      <c r="T29" s="714" t="s">
        <v>17</v>
      </c>
      <c r="U29" s="715" t="e">
        <f t="shared" si="13"/>
        <v>#N/A</v>
      </c>
      <c r="V29" s="714" t="s">
        <v>17</v>
      </c>
      <c r="W29" s="715" t="e">
        <f t="shared" si="14"/>
        <v>#N/A</v>
      </c>
      <c r="X29" s="1509"/>
      <c r="Y29" s="346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7"/>
      <c r="Q30" s="1506" t="str">
        <f t="shared" si="11"/>
        <v>物业等级</v>
      </c>
      <c r="R30" s="714" t="s">
        <v>17</v>
      </c>
      <c r="S30" s="715">
        <f t="shared" si="12"/>
        <v>100</v>
      </c>
      <c r="T30" s="714" t="s">
        <v>17</v>
      </c>
      <c r="U30" s="715">
        <f t="shared" si="13"/>
        <v>100</v>
      </c>
      <c r="V30" s="714" t="s">
        <v>17</v>
      </c>
      <c r="W30" s="715">
        <f t="shared" si="14"/>
        <v>100</v>
      </c>
      <c r="X30" s="1509"/>
      <c r="Y30" s="346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7"/>
      <c r="Q31" s="1497"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7" t="s">
        <v>2326</v>
      </c>
      <c r="Q32" s="1506" t="str">
        <f t="shared" si="11"/>
        <v>车位类型</v>
      </c>
      <c r="R32" s="714" t="s">
        <v>17</v>
      </c>
      <c r="S32" s="715">
        <f t="shared" si="12"/>
        <v>100</v>
      </c>
      <c r="T32" s="714" t="s">
        <v>17</v>
      </c>
      <c r="U32" s="715">
        <f t="shared" si="13"/>
        <v>100</v>
      </c>
      <c r="V32" s="714" t="s">
        <v>17</v>
      </c>
      <c r="W32" s="715">
        <f t="shared" si="14"/>
        <v>100</v>
      </c>
      <c r="X32" s="1509"/>
      <c r="Y32" s="346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7"/>
      <c r="Q33" s="1506" t="str">
        <f t="shared" si="11"/>
        <v>是否直接入户</v>
      </c>
      <c r="R33" s="714" t="s">
        <v>17</v>
      </c>
      <c r="S33" s="715">
        <f t="shared" si="12"/>
        <v>100</v>
      </c>
      <c r="T33" s="714" t="s">
        <v>17</v>
      </c>
      <c r="U33" s="715">
        <f t="shared" si="13"/>
        <v>100</v>
      </c>
      <c r="V33" s="714" t="s">
        <v>17</v>
      </c>
      <c r="W33" s="715">
        <f t="shared" si="14"/>
        <v>100</v>
      </c>
      <c r="X33" s="1509"/>
      <c r="Y33" s="346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7"/>
      <c r="Q36" s="1506">
        <f t="shared" si="11"/>
        <v>111</v>
      </c>
      <c r="R36" s="714" t="s">
        <v>17</v>
      </c>
      <c r="S36" s="715">
        <f t="shared" si="12"/>
        <v>100</v>
      </c>
      <c r="T36" s="714" t="s">
        <v>17</v>
      </c>
      <c r="U36" s="715">
        <f t="shared" si="13"/>
        <v>100</v>
      </c>
      <c r="V36" s="714" t="s">
        <v>17</v>
      </c>
      <c r="W36" s="715">
        <f t="shared" si="14"/>
        <v>100</v>
      </c>
      <c r="X36" s="1509"/>
      <c r="Y36" s="346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57" t="str">
        <f>A39</f>
        <v>估价对象XX用房的比较价值（楼面单价，元/平方米）</v>
      </c>
      <c r="Q39" s="3458"/>
      <c r="R39" s="3487" t="e">
        <f>IF(F1="售价",ROUND(IF(D38="简单平均",AVERAGE(R38:W38),R38*F38+T38*H38+V38*J38),0),ROUND(IF(D38="简单平均",AVERAGE(R38:V38),R38*F38+T38*H38+V38*J38),1))</f>
        <v>#DIV/0!</v>
      </c>
      <c r="S39" s="3487"/>
      <c r="T39" s="3487"/>
      <c r="U39" s="3487"/>
      <c r="V39" s="3487"/>
      <c r="W39" s="348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28" t="s">
        <v>2310</v>
      </c>
      <c r="Q7" s="3456"/>
      <c r="R7" s="710" t="s">
        <v>17</v>
      </c>
      <c r="S7" s="711">
        <f t="shared" ref="S7:S14" si="0">F7</f>
        <v>0</v>
      </c>
      <c r="T7" s="710" t="s">
        <v>17</v>
      </c>
      <c r="U7" s="711">
        <f t="shared" ref="U7:U14" si="1">H7</f>
        <v>0</v>
      </c>
      <c r="V7" s="710" t="s">
        <v>17</v>
      </c>
      <c r="W7" s="711">
        <f t="shared" ref="W7:W14"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0"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0"/>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3"/>
      <c r="Q15" s="1506"/>
      <c r="R15" s="714"/>
      <c r="S15" s="715"/>
      <c r="T15" s="714"/>
      <c r="U15" s="715"/>
      <c r="V15" s="714"/>
      <c r="W15" s="715"/>
      <c r="X15" s="1509"/>
      <c r="Y15" s="346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3"/>
      <c r="Q17" s="1506"/>
      <c r="R17" s="714"/>
      <c r="S17" s="715"/>
      <c r="T17" s="714"/>
      <c r="U17" s="715"/>
      <c r="V17" s="714"/>
      <c r="W17" s="715"/>
      <c r="X17" s="1509"/>
      <c r="Y17" s="346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3"/>
      <c r="Q19" s="1506"/>
      <c r="R19" s="714"/>
      <c r="S19" s="715"/>
      <c r="T19" s="714"/>
      <c r="U19" s="715"/>
      <c r="V19" s="714"/>
      <c r="W19" s="715"/>
      <c r="X19" s="1509"/>
      <c r="Y19" s="346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3"/>
      <c r="Q21" s="1506"/>
      <c r="R21" s="714"/>
      <c r="S21" s="715"/>
      <c r="T21" s="714"/>
      <c r="U21" s="715"/>
      <c r="V21" s="714"/>
      <c r="W21" s="715"/>
      <c r="X21" s="1509"/>
      <c r="Y21" s="346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3"/>
      <c r="Q24" s="1506">
        <f t="shared" ref="Q24:Q34"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7"/>
      <c r="Q28" s="1506" t="str">
        <f t="shared" si="11"/>
        <v>物业等级</v>
      </c>
      <c r="R28" s="714" t="s">
        <v>17</v>
      </c>
      <c r="S28" s="715">
        <f t="shared" si="12"/>
        <v>100</v>
      </c>
      <c r="T28" s="714" t="s">
        <v>17</v>
      </c>
      <c r="U28" s="715">
        <f t="shared" si="13"/>
        <v>100</v>
      </c>
      <c r="V28" s="714" t="s">
        <v>17</v>
      </c>
      <c r="W28" s="715">
        <f t="shared" si="14"/>
        <v>100</v>
      </c>
      <c r="X28" s="1509"/>
      <c r="Y28" s="346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7"/>
      <c r="Q29" s="1506" t="str">
        <f t="shared" si="11"/>
        <v>有无电梯</v>
      </c>
      <c r="R29" s="714" t="s">
        <v>17</v>
      </c>
      <c r="S29" s="715">
        <f t="shared" si="12"/>
        <v>100</v>
      </c>
      <c r="T29" s="714" t="s">
        <v>17</v>
      </c>
      <c r="U29" s="715">
        <f t="shared" si="13"/>
        <v>100</v>
      </c>
      <c r="V29" s="714" t="s">
        <v>17</v>
      </c>
      <c r="W29" s="715">
        <f t="shared" si="14"/>
        <v>100</v>
      </c>
      <c r="X29" s="1509"/>
      <c r="Y29" s="346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7"/>
      <c r="Q30" s="1506" t="str">
        <f t="shared" si="11"/>
        <v>建筑面积</v>
      </c>
      <c r="R30" s="714" t="s">
        <v>17</v>
      </c>
      <c r="S30" s="715" t="e">
        <f t="shared" si="12"/>
        <v>#N/A</v>
      </c>
      <c r="T30" s="714" t="s">
        <v>17</v>
      </c>
      <c r="U30" s="715" t="e">
        <f t="shared" si="13"/>
        <v>#N/A</v>
      </c>
      <c r="V30" s="714" t="s">
        <v>17</v>
      </c>
      <c r="W30" s="715" t="e">
        <f t="shared" si="14"/>
        <v>#N/A</v>
      </c>
      <c r="X30" s="1509"/>
      <c r="Y30" s="346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7"/>
      <c r="Q31" s="1497"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7" t="s">
        <v>2326</v>
      </c>
      <c r="Q32" s="1506">
        <f t="shared" si="11"/>
        <v>111</v>
      </c>
      <c r="R32" s="714" t="s">
        <v>17</v>
      </c>
      <c r="S32" s="715">
        <f t="shared" si="12"/>
        <v>100</v>
      </c>
      <c r="T32" s="714" t="s">
        <v>17</v>
      </c>
      <c r="U32" s="715">
        <f t="shared" si="13"/>
        <v>100</v>
      </c>
      <c r="V32" s="714" t="s">
        <v>17</v>
      </c>
      <c r="W32" s="715">
        <f t="shared" si="14"/>
        <v>100</v>
      </c>
      <c r="X32" s="1509"/>
      <c r="Y32" s="346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7"/>
      <c r="Q33" s="1506">
        <f t="shared" si="11"/>
        <v>111</v>
      </c>
      <c r="R33" s="714" t="s">
        <v>17</v>
      </c>
      <c r="S33" s="715">
        <f t="shared" si="12"/>
        <v>100</v>
      </c>
      <c r="T33" s="714" t="s">
        <v>17</v>
      </c>
      <c r="U33" s="715">
        <f t="shared" si="13"/>
        <v>100</v>
      </c>
      <c r="V33" s="714" t="s">
        <v>17</v>
      </c>
      <c r="W33" s="715">
        <f t="shared" si="14"/>
        <v>100</v>
      </c>
      <c r="X33" s="1509"/>
      <c r="Y33" s="346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57" t="str">
        <f>A37</f>
        <v>估价对象XX用房的比较价值（楼面单价，元/平方米）</v>
      </c>
      <c r="Q37" s="3458"/>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30"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30"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30" s="113" customFormat="1" ht="15.75" thickBot="1">
      <c r="A7" s="368" t="s">
        <v>2309</v>
      </c>
      <c r="B7" s="369"/>
      <c r="C7" s="370">
        <f>'数据-取费表'!B2</f>
        <v>44638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135</v>
      </c>
      <c r="G10" s="422"/>
      <c r="H10" s="132">
        <f>ROUND(100/'数据-取费表'!G16,0)</f>
        <v>135</v>
      </c>
      <c r="I10" s="422"/>
      <c r="J10" s="132">
        <f>ROUND(100/'数据-取费表'!G16,0)</f>
        <v>135</v>
      </c>
      <c r="K10" s="628"/>
      <c r="L10" s="2918"/>
      <c r="M10" s="2919"/>
      <c r="N10" s="2919"/>
      <c r="O10" s="2972"/>
      <c r="P10" s="3460"/>
      <c r="Q10" s="1497" t="str">
        <f t="shared" si="6"/>
        <v>土地使用年限（年）</v>
      </c>
      <c r="R10" s="710" t="s">
        <v>17</v>
      </c>
      <c r="S10" s="711">
        <f t="shared" si="0"/>
        <v>135</v>
      </c>
      <c r="T10" s="710" t="s">
        <v>17</v>
      </c>
      <c r="U10" s="711">
        <f t="shared" si="1"/>
        <v>135</v>
      </c>
      <c r="V10" s="710" t="s">
        <v>17</v>
      </c>
      <c r="W10" s="711">
        <f t="shared" si="2"/>
        <v>135</v>
      </c>
      <c r="X10" s="712"/>
      <c r="Y10" s="3372"/>
      <c r="Z10" s="55" t="str">
        <f t="shared" si="7"/>
        <v>土地使用年限（年）</v>
      </c>
      <c r="AA10" s="713">
        <f t="shared" si="3"/>
        <v>0.7407407407407407</v>
      </c>
      <c r="AB10" s="713">
        <f t="shared" si="4"/>
        <v>0.7407407407407407</v>
      </c>
      <c r="AC10" s="713">
        <f t="shared" si="5"/>
        <v>0.7407407407407407</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0"/>
      <c r="Q12" s="1497" t="str">
        <f t="shared" si="6"/>
        <v>配建</v>
      </c>
      <c r="R12" s="710" t="s">
        <v>17</v>
      </c>
      <c r="S12" s="711">
        <f t="shared" si="0"/>
        <v>100</v>
      </c>
      <c r="T12" s="710" t="s">
        <v>17</v>
      </c>
      <c r="U12" s="711">
        <f t="shared" si="1"/>
        <v>100</v>
      </c>
      <c r="V12" s="710" t="s">
        <v>17</v>
      </c>
      <c r="W12" s="711">
        <f t="shared" si="2"/>
        <v>100</v>
      </c>
      <c r="X12" s="712"/>
      <c r="Y12" s="337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2" t="s">
        <v>2321</v>
      </c>
      <c r="Q15" s="1506" t="str">
        <f t="shared" si="6"/>
        <v>居住社区成熟度</v>
      </c>
      <c r="R15" s="714" t="s">
        <v>17</v>
      </c>
      <c r="S15" s="715">
        <f t="shared" si="0"/>
        <v>100</v>
      </c>
      <c r="T15" s="714" t="s">
        <v>17</v>
      </c>
      <c r="U15" s="715">
        <f t="shared" si="1"/>
        <v>100</v>
      </c>
      <c r="V15" s="714" t="s">
        <v>17</v>
      </c>
      <c r="W15" s="715">
        <f t="shared" si="2"/>
        <v>100</v>
      </c>
      <c r="X15" s="1509"/>
      <c r="Y15" s="346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3"/>
      <c r="Q16" s="1506"/>
      <c r="R16" s="714"/>
      <c r="S16" s="715"/>
      <c r="T16" s="714"/>
      <c r="U16" s="715"/>
      <c r="V16" s="714"/>
      <c r="W16" s="715"/>
      <c r="X16" s="1509"/>
      <c r="Y16" s="346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3"/>
      <c r="Q17" s="1506" t="str">
        <f>B17</f>
        <v>商业繁华度</v>
      </c>
      <c r="R17" s="714" t="s">
        <v>17</v>
      </c>
      <c r="S17" s="715">
        <f>F17</f>
        <v>100</v>
      </c>
      <c r="T17" s="714" t="s">
        <v>17</v>
      </c>
      <c r="U17" s="715">
        <f>H17</f>
        <v>100</v>
      </c>
      <c r="V17" s="714" t="s">
        <v>17</v>
      </c>
      <c r="W17" s="715">
        <f>J17</f>
        <v>100</v>
      </c>
      <c r="X17" s="1509"/>
      <c r="Y17" s="346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3"/>
      <c r="Q18" s="1506"/>
      <c r="R18" s="714"/>
      <c r="S18" s="715"/>
      <c r="T18" s="714"/>
      <c r="U18" s="715"/>
      <c r="V18" s="714"/>
      <c r="W18" s="715"/>
      <c r="X18" s="1509"/>
      <c r="Y18" s="346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3"/>
      <c r="Q19" s="1506" t="str">
        <f>B19</f>
        <v>办公集聚程度</v>
      </c>
      <c r="R19" s="714" t="s">
        <v>17</v>
      </c>
      <c r="S19" s="715">
        <f>F19</f>
        <v>100</v>
      </c>
      <c r="T19" s="714" t="s">
        <v>17</v>
      </c>
      <c r="U19" s="715">
        <f>H19</f>
        <v>100</v>
      </c>
      <c r="V19" s="714" t="s">
        <v>17</v>
      </c>
      <c r="W19" s="715">
        <f>J19</f>
        <v>100</v>
      </c>
      <c r="X19" s="1509"/>
      <c r="Y19" s="346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3"/>
      <c r="Q20" s="1506"/>
      <c r="R20" s="714"/>
      <c r="S20" s="715"/>
      <c r="T20" s="714"/>
      <c r="U20" s="715"/>
      <c r="V20" s="714"/>
      <c r="W20" s="715"/>
      <c r="X20" s="1509"/>
      <c r="Y20" s="346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3"/>
      <c r="Q21" s="1506" t="str">
        <f>B21</f>
        <v>交通便捷度</v>
      </c>
      <c r="R21" s="714" t="s">
        <v>17</v>
      </c>
      <c r="S21" s="715">
        <f>F21</f>
        <v>100</v>
      </c>
      <c r="T21" s="714" t="s">
        <v>17</v>
      </c>
      <c r="U21" s="715">
        <f>H21</f>
        <v>100</v>
      </c>
      <c r="V21" s="714" t="s">
        <v>17</v>
      </c>
      <c r="W21" s="715">
        <f>J21</f>
        <v>100</v>
      </c>
      <c r="X21" s="1509"/>
      <c r="Y21" s="346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3"/>
      <c r="Q22" s="1506"/>
      <c r="R22" s="714"/>
      <c r="S22" s="715"/>
      <c r="T22" s="714"/>
      <c r="U22" s="715"/>
      <c r="V22" s="714"/>
      <c r="W22" s="715"/>
      <c r="X22" s="1509"/>
      <c r="Y22" s="346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3"/>
      <c r="Q23" s="1506" t="str">
        <f t="shared" ref="Q23:Q37" si="8">B23</f>
        <v>区域土地利用方向</v>
      </c>
      <c r="R23" s="714" t="s">
        <v>17</v>
      </c>
      <c r="S23" s="715">
        <f>F23</f>
        <v>100</v>
      </c>
      <c r="T23" s="714" t="s">
        <v>17</v>
      </c>
      <c r="U23" s="715">
        <f>H23</f>
        <v>100</v>
      </c>
      <c r="V23" s="714" t="s">
        <v>17</v>
      </c>
      <c r="W23" s="715">
        <f>J23</f>
        <v>100</v>
      </c>
      <c r="X23" s="1509"/>
      <c r="Y23" s="346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3"/>
      <c r="Q24" s="1506"/>
      <c r="R24" s="714"/>
      <c r="S24" s="715"/>
      <c r="T24" s="714"/>
      <c r="U24" s="715"/>
      <c r="V24" s="714"/>
      <c r="W24" s="715"/>
      <c r="X24" s="1509"/>
      <c r="Y24" s="346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3"/>
      <c r="Q25" s="1506" t="str">
        <f t="shared" si="8"/>
        <v>自然及人文环境状况</v>
      </c>
      <c r="R25" s="714" t="s">
        <v>17</v>
      </c>
      <c r="S25" s="715">
        <f>F25</f>
        <v>100</v>
      </c>
      <c r="T25" s="714" t="s">
        <v>17</v>
      </c>
      <c r="U25" s="715">
        <f>H25</f>
        <v>100</v>
      </c>
      <c r="V25" s="714" t="s">
        <v>17</v>
      </c>
      <c r="W25" s="715">
        <f>J25</f>
        <v>100</v>
      </c>
      <c r="X25" s="1509"/>
      <c r="Y25" s="346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3"/>
      <c r="Q26" s="1506"/>
      <c r="R26" s="714"/>
      <c r="S26" s="715"/>
      <c r="T26" s="714"/>
      <c r="U26" s="715"/>
      <c r="V26" s="714"/>
      <c r="W26" s="715"/>
      <c r="X26" s="1509"/>
      <c r="Y26" s="346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3"/>
      <c r="Q27" s="1497" t="str">
        <f t="shared" si="8"/>
        <v>公共配套设施</v>
      </c>
      <c r="R27" s="710" t="s">
        <v>17</v>
      </c>
      <c r="S27" s="711">
        <f>F27</f>
        <v>100</v>
      </c>
      <c r="T27" s="710" t="s">
        <v>17</v>
      </c>
      <c r="U27" s="711">
        <f>H27</f>
        <v>100</v>
      </c>
      <c r="V27" s="710" t="s">
        <v>17</v>
      </c>
      <c r="W27" s="711">
        <f>J27</f>
        <v>100</v>
      </c>
      <c r="X27" s="712"/>
      <c r="Y27" s="346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3"/>
      <c r="Q28" s="1497"/>
      <c r="R28" s="710"/>
      <c r="S28" s="711"/>
      <c r="T28" s="710"/>
      <c r="U28" s="711"/>
      <c r="V28" s="710"/>
      <c r="W28" s="711"/>
      <c r="X28" s="712"/>
      <c r="Y28" s="346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3"/>
      <c r="Q29" s="1497" t="str">
        <f t="shared" ref="Q29" si="9">B29</f>
        <v>基础设施水平</v>
      </c>
      <c r="R29" s="710" t="s">
        <v>17</v>
      </c>
      <c r="S29" s="711">
        <f>F29</f>
        <v>100</v>
      </c>
      <c r="T29" s="710" t="s">
        <v>17</v>
      </c>
      <c r="U29" s="711">
        <f>H29</f>
        <v>100</v>
      </c>
      <c r="V29" s="710" t="s">
        <v>17</v>
      </c>
      <c r="W29" s="711">
        <f>J29</f>
        <v>100</v>
      </c>
      <c r="X29" s="712"/>
      <c r="Y29" s="346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3"/>
      <c r="Q30" s="1497"/>
      <c r="R30" s="710"/>
      <c r="S30" s="711"/>
      <c r="T30" s="710"/>
      <c r="U30" s="711"/>
      <c r="V30" s="710"/>
      <c r="W30" s="711"/>
      <c r="X30" s="712"/>
      <c r="Y30" s="346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3"/>
      <c r="Q32" s="1506" t="str">
        <f t="shared" si="8"/>
        <v>毗邻道路的类型与等级</v>
      </c>
      <c r="R32" s="714" t="s">
        <v>17</v>
      </c>
      <c r="S32" s="715">
        <f t="shared" si="10"/>
        <v>100</v>
      </c>
      <c r="T32" s="714" t="s">
        <v>17</v>
      </c>
      <c r="U32" s="715">
        <f t="shared" si="11"/>
        <v>100</v>
      </c>
      <c r="V32" s="714" t="s">
        <v>17</v>
      </c>
      <c r="W32" s="715">
        <f t="shared" si="12"/>
        <v>100</v>
      </c>
      <c r="X32" s="1509"/>
      <c r="Y32" s="346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3"/>
      <c r="Q33" s="1506"/>
      <c r="R33" s="714"/>
      <c r="S33" s="715"/>
      <c r="T33" s="714"/>
      <c r="U33" s="715"/>
      <c r="V33" s="714"/>
      <c r="W33" s="715"/>
      <c r="X33" s="1509"/>
      <c r="Y33" s="346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3"/>
      <c r="Q34" s="1506" t="str">
        <f t="shared" si="8"/>
        <v>土地级别</v>
      </c>
      <c r="R34" s="714" t="s">
        <v>17</v>
      </c>
      <c r="S34" s="715">
        <f t="shared" si="10"/>
        <v>100</v>
      </c>
      <c r="T34" s="714" t="s">
        <v>17</v>
      </c>
      <c r="U34" s="715">
        <f t="shared" si="11"/>
        <v>100</v>
      </c>
      <c r="V34" s="714" t="s">
        <v>17</v>
      </c>
      <c r="W34" s="715">
        <f t="shared" si="12"/>
        <v>100</v>
      </c>
      <c r="X34" s="1509"/>
      <c r="Y34" s="346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3"/>
      <c r="Q35" s="1506">
        <f t="shared" si="8"/>
        <v>111</v>
      </c>
      <c r="R35" s="714" t="s">
        <v>17</v>
      </c>
      <c r="S35" s="715">
        <f t="shared" si="10"/>
        <v>100</v>
      </c>
      <c r="T35" s="714" t="s">
        <v>17</v>
      </c>
      <c r="U35" s="715">
        <f t="shared" si="11"/>
        <v>100</v>
      </c>
      <c r="V35" s="714" t="s">
        <v>17</v>
      </c>
      <c r="W35" s="715">
        <f t="shared" si="12"/>
        <v>100</v>
      </c>
      <c r="X35" s="1509"/>
      <c r="Y35" s="346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6" t="s">
        <v>2326</v>
      </c>
      <c r="Q36" s="1506">
        <f t="shared" si="8"/>
        <v>111</v>
      </c>
      <c r="R36" s="714" t="s">
        <v>17</v>
      </c>
      <c r="S36" s="715">
        <f t="shared" si="10"/>
        <v>100</v>
      </c>
      <c r="T36" s="714" t="s">
        <v>17</v>
      </c>
      <c r="U36" s="715">
        <f t="shared" si="11"/>
        <v>100</v>
      </c>
      <c r="V36" s="714" t="s">
        <v>17</v>
      </c>
      <c r="W36" s="715">
        <f t="shared" si="12"/>
        <v>100</v>
      </c>
      <c r="X36" s="1509"/>
      <c r="Y36" s="346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7"/>
      <c r="Q37" s="1506">
        <f t="shared" si="8"/>
        <v>111</v>
      </c>
      <c r="R37" s="717" t="s">
        <v>17</v>
      </c>
      <c r="S37" s="718">
        <f t="shared" si="10"/>
        <v>100</v>
      </c>
      <c r="T37" s="717" t="s">
        <v>17</v>
      </c>
      <c r="U37" s="718">
        <f t="shared" si="11"/>
        <v>100</v>
      </c>
      <c r="V37" s="717" t="s">
        <v>17</v>
      </c>
      <c r="W37" s="718">
        <f t="shared" si="12"/>
        <v>100</v>
      </c>
      <c r="X37" s="719"/>
      <c r="Y37" s="346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7"/>
      <c r="Q38" s="1506" t="str">
        <f>B38</f>
        <v>宗地面积</v>
      </c>
      <c r="R38" s="714" t="s">
        <v>17</v>
      </c>
      <c r="S38" s="715" t="e">
        <f t="shared" si="10"/>
        <v>#N/A</v>
      </c>
      <c r="T38" s="714" t="s">
        <v>17</v>
      </c>
      <c r="U38" s="715" t="e">
        <f t="shared" si="11"/>
        <v>#N/A</v>
      </c>
      <c r="V38" s="714" t="s">
        <v>17</v>
      </c>
      <c r="W38" s="715" t="e">
        <f t="shared" si="12"/>
        <v>#N/A</v>
      </c>
      <c r="X38" s="1509"/>
      <c r="Y38" s="346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7"/>
      <c r="Q39" s="1506" t="str">
        <f t="shared" ref="Q39:Q45" si="14">B39</f>
        <v>宗地形状</v>
      </c>
      <c r="R39" s="714" t="s">
        <v>17</v>
      </c>
      <c r="S39" s="715">
        <f t="shared" si="10"/>
        <v>100</v>
      </c>
      <c r="T39" s="714" t="s">
        <v>17</v>
      </c>
      <c r="U39" s="715">
        <f t="shared" si="11"/>
        <v>100</v>
      </c>
      <c r="V39" s="714" t="s">
        <v>17</v>
      </c>
      <c r="W39" s="715">
        <f t="shared" si="12"/>
        <v>100</v>
      </c>
      <c r="X39" s="1509"/>
      <c r="Y39" s="346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7"/>
      <c r="Q40" s="1506" t="str">
        <f t="shared" si="14"/>
        <v>临街宽度及深度</v>
      </c>
      <c r="R40" s="714" t="s">
        <v>17</v>
      </c>
      <c r="S40" s="715">
        <f t="shared" si="10"/>
        <v>100</v>
      </c>
      <c r="T40" s="714" t="s">
        <v>17</v>
      </c>
      <c r="U40" s="715">
        <f t="shared" si="11"/>
        <v>100</v>
      </c>
      <c r="V40" s="714" t="s">
        <v>17</v>
      </c>
      <c r="W40" s="715">
        <f t="shared" si="12"/>
        <v>100</v>
      </c>
      <c r="X40" s="1509"/>
      <c r="Y40" s="346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7"/>
      <c r="Q41" s="1506"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7" t="s">
        <v>2326</v>
      </c>
      <c r="Q42" s="1506" t="str">
        <f t="shared" si="14"/>
        <v>工程地质条件</v>
      </c>
      <c r="R42" s="714" t="s">
        <v>17</v>
      </c>
      <c r="S42" s="715">
        <f t="shared" si="10"/>
        <v>100</v>
      </c>
      <c r="T42" s="714" t="s">
        <v>17</v>
      </c>
      <c r="U42" s="715">
        <f t="shared" si="11"/>
        <v>100</v>
      </c>
      <c r="V42" s="714" t="s">
        <v>17</v>
      </c>
      <c r="W42" s="715">
        <f t="shared" si="12"/>
        <v>100</v>
      </c>
      <c r="X42" s="1509"/>
      <c r="Y42" s="346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7"/>
      <c r="Q43" s="1506">
        <f t="shared" si="14"/>
        <v>111</v>
      </c>
      <c r="R43" s="714" t="s">
        <v>17</v>
      </c>
      <c r="S43" s="715">
        <f t="shared" si="10"/>
        <v>100</v>
      </c>
      <c r="T43" s="714" t="s">
        <v>17</v>
      </c>
      <c r="U43" s="715">
        <f t="shared" si="11"/>
        <v>100</v>
      </c>
      <c r="V43" s="714" t="s">
        <v>17</v>
      </c>
      <c r="W43" s="715">
        <f t="shared" si="12"/>
        <v>100</v>
      </c>
      <c r="X43" s="1509"/>
      <c r="Y43" s="346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7"/>
      <c r="Q44" s="1506">
        <f t="shared" si="14"/>
        <v>111</v>
      </c>
      <c r="R44" s="714" t="s">
        <v>17</v>
      </c>
      <c r="S44" s="715">
        <f t="shared" si="10"/>
        <v>100</v>
      </c>
      <c r="T44" s="714" t="s">
        <v>17</v>
      </c>
      <c r="U44" s="715">
        <f t="shared" si="11"/>
        <v>100</v>
      </c>
      <c r="V44" s="714" t="s">
        <v>17</v>
      </c>
      <c r="W44" s="715">
        <f t="shared" si="12"/>
        <v>100</v>
      </c>
      <c r="X44" s="1509"/>
      <c r="Y44" s="346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7"/>
      <c r="Q45" s="1506">
        <f t="shared" si="14"/>
        <v>111</v>
      </c>
      <c r="R45" s="717" t="s">
        <v>17</v>
      </c>
      <c r="S45" s="718">
        <f t="shared" si="10"/>
        <v>100</v>
      </c>
      <c r="T45" s="717" t="s">
        <v>17</v>
      </c>
      <c r="U45" s="718">
        <f t="shared" si="11"/>
        <v>100</v>
      </c>
      <c r="V45" s="717" t="s">
        <v>17</v>
      </c>
      <c r="W45" s="718">
        <f t="shared" si="12"/>
        <v>100</v>
      </c>
      <c r="X45" s="719"/>
      <c r="Y45" s="346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0" t="str">
        <f>A46</f>
        <v>成交单价</v>
      </c>
      <c r="Q46" s="3460"/>
      <c r="R46" s="3455">
        <f>E46</f>
        <v>0</v>
      </c>
      <c r="S46" s="3455"/>
      <c r="T46" s="3455">
        <f>G46</f>
        <v>0</v>
      </c>
      <c r="U46" s="3455"/>
      <c r="V46" s="3455">
        <f>I46</f>
        <v>0</v>
      </c>
      <c r="W46" s="3455"/>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60" t="str">
        <f>A47</f>
        <v>比较价值（元/平方米）</v>
      </c>
      <c r="Q47" s="3460"/>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57" t="str">
        <f>A48</f>
        <v>估价对象XX用房的比较价值（楼面单价，元/平方米）</v>
      </c>
      <c r="Q48" s="3458"/>
      <c r="R48" s="3489" t="e">
        <f>ROUND(IF(D47="简单平均",AVERAGE(R47:W47),R47*F47+T47*H47+V47*J47),0)</f>
        <v>#DIV/0!</v>
      </c>
      <c r="S48" s="3489"/>
      <c r="T48" s="3489"/>
      <c r="U48" s="3489"/>
      <c r="V48" s="3489"/>
      <c r="W48" s="348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3" t="s">
        <v>2525</v>
      </c>
      <c r="H55" s="3490"/>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1299.8399999999999</v>
      </c>
      <c r="F56" s="1017" t="e">
        <f t="shared" ref="F56:F65" si="15">ROUND(B56*E56/10000,0)</f>
        <v>#DIV/0!</v>
      </c>
      <c r="G56" s="3442"/>
      <c r="H56" s="346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0.6</v>
      </c>
      <c r="D57" s="1076">
        <v>0.25</v>
      </c>
      <c r="E57" s="650"/>
      <c r="F57" s="1017" t="e">
        <f t="shared" si="15"/>
        <v>#DIV/0!</v>
      </c>
      <c r="G57" s="3491" t="s">
        <v>2530</v>
      </c>
      <c r="H57" s="1018" t="str">
        <f>项目基本情况!B37</f>
        <v>十级</v>
      </c>
      <c r="I57" s="1022">
        <f>SUMIF(修正!A45:A56,H57,修正!B45:B56)</f>
        <v>0.6</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0.3</v>
      </c>
      <c r="D58" s="1076">
        <v>0.25</v>
      </c>
      <c r="E58" s="650"/>
      <c r="F58" s="1017" t="e">
        <f t="shared" si="15"/>
        <v>#DIV/0!</v>
      </c>
      <c r="G58" s="3491"/>
      <c r="H58" s="1018" t="str">
        <f>项目基本情况!B37</f>
        <v>十级</v>
      </c>
      <c r="I58" s="1022">
        <f>SUMIF(修正!A45:A56,H58,修正!C45:C56)</f>
        <v>0.3</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0.2</v>
      </c>
      <c r="D59" s="1076">
        <v>0.25</v>
      </c>
      <c r="E59" s="650"/>
      <c r="F59" s="1017" t="e">
        <f t="shared" si="15"/>
        <v>#DIV/0!</v>
      </c>
      <c r="G59" s="3491"/>
      <c r="H59" s="1018" t="str">
        <f>项目基本情况!B37</f>
        <v>十级</v>
      </c>
      <c r="I59" s="1022">
        <f>SUMIF(修正!A45:A56,H59,修正!D45:D56)</f>
        <v>0.2</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0.2</v>
      </c>
      <c r="D60" s="1076">
        <v>0.25</v>
      </c>
      <c r="E60" s="650"/>
      <c r="F60" s="1017" t="e">
        <f t="shared" si="15"/>
        <v>#DIV/0!</v>
      </c>
      <c r="G60" s="3491"/>
      <c r="H60" s="1018" t="str">
        <f>项目基本情况!B37</f>
        <v>十级</v>
      </c>
      <c r="I60" s="1022">
        <f>SUMIF(修正!A45:A56,H60,修正!E45:E56)</f>
        <v>0.2</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0.15</v>
      </c>
      <c r="D64" s="1076">
        <v>0.25</v>
      </c>
      <c r="E64" s="223">
        <f>'数据-汇总表'!E14</f>
        <v>0</v>
      </c>
      <c r="F64" s="1017" t="e">
        <f t="shared" si="15"/>
        <v>#DIV/0!</v>
      </c>
      <c r="G64" s="2143" t="s">
        <v>2530</v>
      </c>
      <c r="H64" s="1018" t="str">
        <f>项目基本情况!B37</f>
        <v>十级</v>
      </c>
      <c r="I64" s="1022">
        <f>SUMIF(修正!A45:A56,H64,修正!H45:H56)</f>
        <v>0.15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1299.8399999999999</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92" t="s">
        <v>2558</v>
      </c>
      <c r="D6" s="3493"/>
      <c r="E6" s="3494" t="s">
        <v>2558</v>
      </c>
      <c r="F6" s="3495"/>
      <c r="G6" s="3492" t="s">
        <v>2558</v>
      </c>
      <c r="H6" s="3493"/>
      <c r="I6" s="3492" t="s">
        <v>2558</v>
      </c>
      <c r="J6" s="3493"/>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135</v>
      </c>
      <c r="G10" s="391"/>
      <c r="H10" s="132">
        <f>ROUND(100/'数据-取费表'!G16,0)</f>
        <v>135</v>
      </c>
      <c r="I10" s="391"/>
      <c r="J10" s="132">
        <f>ROUND(100/'数据-取费表'!G16,0)</f>
        <v>135</v>
      </c>
      <c r="K10" s="628"/>
      <c r="L10" s="2918"/>
      <c r="M10" s="2919"/>
      <c r="N10" s="2919"/>
      <c r="O10" s="2972"/>
      <c r="P10" s="3460"/>
      <c r="Q10" s="1497" t="str">
        <f t="shared" si="6"/>
        <v>土地使用年限（年）</v>
      </c>
      <c r="R10" s="710" t="s">
        <v>17</v>
      </c>
      <c r="S10" s="711">
        <f t="shared" si="0"/>
        <v>135</v>
      </c>
      <c r="T10" s="710" t="s">
        <v>17</v>
      </c>
      <c r="U10" s="711">
        <f t="shared" si="1"/>
        <v>135</v>
      </c>
      <c r="V10" s="710" t="s">
        <v>17</v>
      </c>
      <c r="W10" s="711">
        <f t="shared" si="2"/>
        <v>135</v>
      </c>
      <c r="X10" s="712"/>
      <c r="Y10" s="3372"/>
      <c r="Z10" s="55" t="str">
        <f t="shared" si="7"/>
        <v>土地使用年限（年）</v>
      </c>
      <c r="AA10" s="713">
        <f t="shared" si="3"/>
        <v>0.7407407407407407</v>
      </c>
      <c r="AB10" s="713">
        <f t="shared" si="4"/>
        <v>0.7407407407407407</v>
      </c>
      <c r="AC10" s="713">
        <f t="shared" si="5"/>
        <v>0.7407407407407407</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3"/>
      <c r="Q16" s="1506"/>
      <c r="R16" s="714"/>
      <c r="S16" s="715"/>
      <c r="T16" s="714"/>
      <c r="U16" s="715"/>
      <c r="V16" s="714"/>
      <c r="W16" s="715"/>
      <c r="X16" s="1509"/>
      <c r="Y16" s="346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3"/>
      <c r="Q18" s="1506"/>
      <c r="R18" s="714"/>
      <c r="S18" s="715"/>
      <c r="T18" s="714"/>
      <c r="U18" s="715"/>
      <c r="V18" s="714"/>
      <c r="W18" s="715"/>
      <c r="X18" s="1509"/>
      <c r="Y18" s="346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3"/>
      <c r="Q19" s="1506" t="str">
        <f t="shared" ref="Q19:Q33" si="8">B19</f>
        <v>区域土地利用方向</v>
      </c>
      <c r="R19" s="714" t="s">
        <v>17</v>
      </c>
      <c r="S19" s="715">
        <f>F19</f>
        <v>100</v>
      </c>
      <c r="T19" s="714" t="s">
        <v>17</v>
      </c>
      <c r="U19" s="715">
        <f>H19</f>
        <v>100</v>
      </c>
      <c r="V19" s="714" t="s">
        <v>17</v>
      </c>
      <c r="W19" s="715">
        <f>J19</f>
        <v>100</v>
      </c>
      <c r="X19" s="1509"/>
      <c r="Y19" s="346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3"/>
      <c r="Q20" s="1506"/>
      <c r="R20" s="714"/>
      <c r="S20" s="715"/>
      <c r="T20" s="714"/>
      <c r="U20" s="715"/>
      <c r="V20" s="714"/>
      <c r="W20" s="715"/>
      <c r="X20" s="1509"/>
      <c r="Y20" s="346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3"/>
      <c r="Q21" s="1506" t="str">
        <f t="shared" si="8"/>
        <v>环境状况</v>
      </c>
      <c r="R21" s="714" t="s">
        <v>17</v>
      </c>
      <c r="S21" s="715">
        <f>F21</f>
        <v>100</v>
      </c>
      <c r="T21" s="714" t="s">
        <v>17</v>
      </c>
      <c r="U21" s="715">
        <f>H21</f>
        <v>100</v>
      </c>
      <c r="V21" s="714" t="s">
        <v>17</v>
      </c>
      <c r="W21" s="715">
        <f>J21</f>
        <v>100</v>
      </c>
      <c r="X21" s="1509"/>
      <c r="Y21" s="346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3"/>
      <c r="Q22" s="1506"/>
      <c r="R22" s="714"/>
      <c r="S22" s="715"/>
      <c r="T22" s="714"/>
      <c r="U22" s="715"/>
      <c r="V22" s="714"/>
      <c r="W22" s="715"/>
      <c r="X22" s="1509"/>
      <c r="Y22" s="346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3"/>
      <c r="Q23" s="1497" t="str">
        <f t="shared" si="8"/>
        <v>公共配套设施</v>
      </c>
      <c r="R23" s="710" t="s">
        <v>17</v>
      </c>
      <c r="S23" s="711">
        <f>F23</f>
        <v>100</v>
      </c>
      <c r="T23" s="710" t="s">
        <v>17</v>
      </c>
      <c r="U23" s="711">
        <f>H23</f>
        <v>100</v>
      </c>
      <c r="V23" s="710" t="s">
        <v>17</v>
      </c>
      <c r="W23" s="711">
        <f>J23</f>
        <v>100</v>
      </c>
      <c r="X23" s="712"/>
      <c r="Y23" s="346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3"/>
      <c r="Q24" s="1497"/>
      <c r="R24" s="710"/>
      <c r="S24" s="711"/>
      <c r="T24" s="710"/>
      <c r="U24" s="711"/>
      <c r="V24" s="710"/>
      <c r="W24" s="711"/>
      <c r="X24" s="712"/>
      <c r="Y24" s="346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3"/>
      <c r="Q25" s="1497" t="str">
        <f t="shared" ref="Q25" si="9">B25</f>
        <v>基础设施水平</v>
      </c>
      <c r="R25" s="710" t="s">
        <v>17</v>
      </c>
      <c r="S25" s="711">
        <f>F25</f>
        <v>100</v>
      </c>
      <c r="T25" s="710" t="s">
        <v>17</v>
      </c>
      <c r="U25" s="711">
        <f>H25</f>
        <v>100</v>
      </c>
      <c r="V25" s="710" t="s">
        <v>17</v>
      </c>
      <c r="W25" s="711">
        <f>J25</f>
        <v>100</v>
      </c>
      <c r="X25" s="712"/>
      <c r="Y25" s="346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3"/>
      <c r="Q26" s="1497"/>
      <c r="R26" s="710"/>
      <c r="S26" s="711"/>
      <c r="T26" s="710"/>
      <c r="U26" s="711"/>
      <c r="V26" s="710"/>
      <c r="W26" s="711"/>
      <c r="X26" s="712"/>
      <c r="Y26" s="346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3"/>
      <c r="Q28" s="1506" t="str">
        <f t="shared" si="8"/>
        <v>毗邻道路的类型与等级</v>
      </c>
      <c r="R28" s="714" t="s">
        <v>17</v>
      </c>
      <c r="S28" s="715">
        <f t="shared" si="10"/>
        <v>100</v>
      </c>
      <c r="T28" s="714" t="s">
        <v>17</v>
      </c>
      <c r="U28" s="715">
        <f t="shared" si="11"/>
        <v>100</v>
      </c>
      <c r="V28" s="714" t="s">
        <v>17</v>
      </c>
      <c r="W28" s="715">
        <f t="shared" si="12"/>
        <v>100</v>
      </c>
      <c r="X28" s="1509"/>
      <c r="Y28" s="346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3"/>
      <c r="Q29" s="1506"/>
      <c r="R29" s="714"/>
      <c r="S29" s="715"/>
      <c r="T29" s="714"/>
      <c r="U29" s="715"/>
      <c r="V29" s="714"/>
      <c r="W29" s="715"/>
      <c r="X29" s="1509"/>
      <c r="Y29" s="346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3"/>
      <c r="Q30" s="1506" t="str">
        <f t="shared" si="8"/>
        <v>土地级别</v>
      </c>
      <c r="R30" s="714" t="s">
        <v>17</v>
      </c>
      <c r="S30" s="715">
        <f t="shared" si="10"/>
        <v>100</v>
      </c>
      <c r="T30" s="714" t="s">
        <v>17</v>
      </c>
      <c r="U30" s="715">
        <f t="shared" si="11"/>
        <v>100</v>
      </c>
      <c r="V30" s="714" t="s">
        <v>17</v>
      </c>
      <c r="W30" s="715">
        <f t="shared" si="12"/>
        <v>100</v>
      </c>
      <c r="X30" s="1509"/>
      <c r="Y30" s="346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3"/>
      <c r="Q31" s="1506">
        <f t="shared" si="8"/>
        <v>111</v>
      </c>
      <c r="R31" s="714" t="s">
        <v>17</v>
      </c>
      <c r="S31" s="715">
        <f t="shared" si="10"/>
        <v>100</v>
      </c>
      <c r="T31" s="714" t="s">
        <v>17</v>
      </c>
      <c r="U31" s="715">
        <f t="shared" si="11"/>
        <v>100</v>
      </c>
      <c r="V31" s="714" t="s">
        <v>17</v>
      </c>
      <c r="W31" s="715">
        <f t="shared" si="12"/>
        <v>100</v>
      </c>
      <c r="X31" s="1509"/>
      <c r="Y31" s="346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6" t="s">
        <v>2326</v>
      </c>
      <c r="Q32" s="1506">
        <f t="shared" si="8"/>
        <v>111</v>
      </c>
      <c r="R32" s="714" t="s">
        <v>17</v>
      </c>
      <c r="S32" s="715">
        <f t="shared" si="10"/>
        <v>100</v>
      </c>
      <c r="T32" s="714" t="s">
        <v>17</v>
      </c>
      <c r="U32" s="715">
        <f t="shared" si="11"/>
        <v>100</v>
      </c>
      <c r="V32" s="714" t="s">
        <v>17</v>
      </c>
      <c r="W32" s="715">
        <f t="shared" si="12"/>
        <v>100</v>
      </c>
      <c r="X32" s="1509"/>
      <c r="Y32" s="346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7"/>
      <c r="Q33" s="1506">
        <f t="shared" si="8"/>
        <v>111</v>
      </c>
      <c r="R33" s="717" t="s">
        <v>17</v>
      </c>
      <c r="S33" s="718">
        <f t="shared" si="10"/>
        <v>100</v>
      </c>
      <c r="T33" s="717" t="s">
        <v>17</v>
      </c>
      <c r="U33" s="718">
        <f t="shared" si="11"/>
        <v>100</v>
      </c>
      <c r="V33" s="717" t="s">
        <v>17</v>
      </c>
      <c r="W33" s="718">
        <f t="shared" si="12"/>
        <v>100</v>
      </c>
      <c r="X33" s="719"/>
      <c r="Y33" s="346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7"/>
      <c r="Q34" s="1506" t="str">
        <f>B34</f>
        <v>宗地面积</v>
      </c>
      <c r="R34" s="714" t="s">
        <v>17</v>
      </c>
      <c r="S34" s="715" t="e">
        <f t="shared" si="10"/>
        <v>#N/A</v>
      </c>
      <c r="T34" s="714" t="s">
        <v>17</v>
      </c>
      <c r="U34" s="715" t="e">
        <f t="shared" si="11"/>
        <v>#N/A</v>
      </c>
      <c r="V34" s="714" t="s">
        <v>17</v>
      </c>
      <c r="W34" s="715" t="e">
        <f t="shared" si="12"/>
        <v>#N/A</v>
      </c>
      <c r="X34" s="1509"/>
      <c r="Y34" s="346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7"/>
      <c r="Q35" s="1506" t="str">
        <f t="shared" ref="Q35:Q40" si="14">B35</f>
        <v>宗地形状</v>
      </c>
      <c r="R35" s="714" t="s">
        <v>17</v>
      </c>
      <c r="S35" s="715">
        <f t="shared" si="10"/>
        <v>100</v>
      </c>
      <c r="T35" s="714" t="s">
        <v>17</v>
      </c>
      <c r="U35" s="715">
        <f t="shared" si="11"/>
        <v>100</v>
      </c>
      <c r="V35" s="714" t="s">
        <v>17</v>
      </c>
      <c r="W35" s="715">
        <f t="shared" si="12"/>
        <v>100</v>
      </c>
      <c r="X35" s="1509"/>
      <c r="Y35" s="346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7"/>
      <c r="Q36" s="1506"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7" t="s">
        <v>2326</v>
      </c>
      <c r="Q37" s="1506" t="str">
        <f t="shared" si="14"/>
        <v>工程地质条件</v>
      </c>
      <c r="R37" s="714" t="s">
        <v>17</v>
      </c>
      <c r="S37" s="715">
        <f t="shared" si="10"/>
        <v>100</v>
      </c>
      <c r="T37" s="714" t="s">
        <v>17</v>
      </c>
      <c r="U37" s="715">
        <f t="shared" si="11"/>
        <v>100</v>
      </c>
      <c r="V37" s="714" t="s">
        <v>17</v>
      </c>
      <c r="W37" s="715">
        <f t="shared" si="12"/>
        <v>100</v>
      </c>
      <c r="X37" s="1509"/>
      <c r="Y37" s="346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7"/>
      <c r="Q38" s="1506">
        <f t="shared" si="14"/>
        <v>111</v>
      </c>
      <c r="R38" s="714" t="s">
        <v>17</v>
      </c>
      <c r="S38" s="715">
        <f t="shared" si="10"/>
        <v>100</v>
      </c>
      <c r="T38" s="714" t="s">
        <v>17</v>
      </c>
      <c r="U38" s="715">
        <f t="shared" si="11"/>
        <v>100</v>
      </c>
      <c r="V38" s="714" t="s">
        <v>17</v>
      </c>
      <c r="W38" s="715">
        <f t="shared" si="12"/>
        <v>100</v>
      </c>
      <c r="X38" s="1509"/>
      <c r="Y38" s="346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7"/>
      <c r="Q39" s="1506">
        <f t="shared" si="14"/>
        <v>111</v>
      </c>
      <c r="R39" s="714" t="s">
        <v>17</v>
      </c>
      <c r="S39" s="715">
        <f t="shared" si="10"/>
        <v>100</v>
      </c>
      <c r="T39" s="714" t="s">
        <v>17</v>
      </c>
      <c r="U39" s="715">
        <f t="shared" si="11"/>
        <v>100</v>
      </c>
      <c r="V39" s="714" t="s">
        <v>17</v>
      </c>
      <c r="W39" s="715">
        <f t="shared" si="12"/>
        <v>100</v>
      </c>
      <c r="X39" s="1509"/>
      <c r="Y39" s="346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7"/>
      <c r="Q40" s="1506">
        <f t="shared" si="14"/>
        <v>111</v>
      </c>
      <c r="R40" s="717" t="s">
        <v>17</v>
      </c>
      <c r="S40" s="718">
        <f t="shared" si="10"/>
        <v>100</v>
      </c>
      <c r="T40" s="717" t="s">
        <v>17</v>
      </c>
      <c r="U40" s="718">
        <f t="shared" si="11"/>
        <v>100</v>
      </c>
      <c r="V40" s="717" t="s">
        <v>17</v>
      </c>
      <c r="W40" s="718">
        <f t="shared" si="12"/>
        <v>100</v>
      </c>
      <c r="X40" s="719"/>
      <c r="Y40" s="346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0" t="str">
        <f>A41</f>
        <v>成交单价</v>
      </c>
      <c r="Q41" s="3460"/>
      <c r="R41" s="3455">
        <f>E41</f>
        <v>0</v>
      </c>
      <c r="S41" s="3455"/>
      <c r="T41" s="3455">
        <f>G41</f>
        <v>0</v>
      </c>
      <c r="U41" s="3455"/>
      <c r="V41" s="3455">
        <f>I41</f>
        <v>0</v>
      </c>
      <c r="W41" s="3455"/>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60" t="str">
        <f>A42</f>
        <v>比较价值（元/平方米）</v>
      </c>
      <c r="Q42" s="3460"/>
      <c r="R42" s="3488" t="e">
        <f>ROUND(PRODUCT(R41,AA7:AA40),0)</f>
        <v>#DIV/0!</v>
      </c>
      <c r="S42" s="3488"/>
      <c r="T42" s="3488" t="e">
        <f>ROUND(PRODUCT(T41,AB7:AB40),0)</f>
        <v>#DIV/0!</v>
      </c>
      <c r="U42" s="3488"/>
      <c r="V42" s="3488" t="e">
        <f>ROUND(PRODUCT(V41,AC7:AC40),0)</f>
        <v>#DIV/0!</v>
      </c>
      <c r="W42" s="348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57" t="str">
        <f>A43</f>
        <v>估价对象XX用房的比较价值（楼面单价，元/平方米）</v>
      </c>
      <c r="Q43" s="3458"/>
      <c r="R43" s="3489" t="e">
        <f>ROUND(IF(D42="简单平均",AVERAGE(R42:W42),R42*F42+T42*H42+V42*J42),0)</f>
        <v>#DIV/0!</v>
      </c>
      <c r="S43" s="3489"/>
      <c r="T43" s="3489"/>
      <c r="U43" s="3489"/>
      <c r="V43" s="3489"/>
      <c r="W43" s="348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3" t="s">
        <v>2525</v>
      </c>
      <c r="H50" s="3490"/>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1299.8399999999999</v>
      </c>
      <c r="F51" s="647" t="e">
        <f t="shared" ref="F51:F60" si="15">ROUND(B51*E51/10000,0)</f>
        <v>#DIV/0!</v>
      </c>
      <c r="G51" s="3442"/>
      <c r="H51" s="346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0.6</v>
      </c>
      <c r="D52" s="1076">
        <v>0.25</v>
      </c>
      <c r="E52" s="650"/>
      <c r="F52" s="647" t="e">
        <f t="shared" si="15"/>
        <v>#DIV/0!</v>
      </c>
      <c r="G52" s="3491" t="s">
        <v>2530</v>
      </c>
      <c r="H52" s="1018" t="str">
        <f>项目基本情况!B37</f>
        <v>十级</v>
      </c>
      <c r="I52" s="879">
        <f>SUMIF(修正!A45:A56,H52,修正!B45:B56)</f>
        <v>0.6</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0.3</v>
      </c>
      <c r="D53" s="1076">
        <v>0.25</v>
      </c>
      <c r="E53" s="650"/>
      <c r="F53" s="647" t="e">
        <f t="shared" si="15"/>
        <v>#DIV/0!</v>
      </c>
      <c r="G53" s="3491"/>
      <c r="H53" s="1018" t="str">
        <f>项目基本情况!B37</f>
        <v>十级</v>
      </c>
      <c r="I53" s="879">
        <f>SUMIF(修正!A45:A56,H53,修正!C45:C56)</f>
        <v>0.3</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0.2</v>
      </c>
      <c r="D54" s="1076">
        <v>0.25</v>
      </c>
      <c r="E54" s="650"/>
      <c r="F54" s="647" t="e">
        <f t="shared" si="15"/>
        <v>#DIV/0!</v>
      </c>
      <c r="G54" s="3491"/>
      <c r="H54" s="1018" t="str">
        <f>项目基本情况!B37</f>
        <v>十级</v>
      </c>
      <c r="I54" s="879">
        <f>SUMIF(修正!A45:A56,H54,修正!D45:D56)</f>
        <v>0.2</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0.2</v>
      </c>
      <c r="D55" s="1076">
        <v>0.25</v>
      </c>
      <c r="E55" s="650"/>
      <c r="F55" s="647" t="e">
        <f t="shared" si="15"/>
        <v>#DIV/0!</v>
      </c>
      <c r="G55" s="3491"/>
      <c r="H55" s="1018" t="str">
        <f>项目基本情况!B37</f>
        <v>十级</v>
      </c>
      <c r="I55" s="879">
        <f>SUMIF(修正!A45:A56,H55,修正!E45:E56)</f>
        <v>0.2</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0.15</v>
      </c>
      <c r="D59" s="1076">
        <v>0.25</v>
      </c>
      <c r="E59" s="223">
        <f>'数据-汇总表'!E14</f>
        <v>0</v>
      </c>
      <c r="F59" s="647" t="e">
        <f t="shared" si="15"/>
        <v>#DIV/0!</v>
      </c>
      <c r="G59" s="2143" t="s">
        <v>2530</v>
      </c>
      <c r="H59" s="1018" t="str">
        <f>项目基本情况!B37</f>
        <v>十级</v>
      </c>
      <c r="I59" s="879">
        <f>SUMIF(修正!A45:A56,H59,修正!H45:H56)</f>
        <v>0.15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5499.09</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B21" sqref="B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1299.8399999999999</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1840</v>
      </c>
      <c r="C2" s="2155" t="s">
        <v>2574</v>
      </c>
      <c r="D2" s="2156" t="s">
        <v>2575</v>
      </c>
      <c r="E2" s="2157" t="s">
        <v>1283</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Ⅹ-延1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8.0916999999999994</v>
      </c>
      <c r="T2" s="1346">
        <f>ROUND($C$5*$C$18*$C$19*$C$20*S2*$C$24,0)</f>
        <v>14157</v>
      </c>
      <c r="U2" s="1347">
        <f>'数据-汇总表'!F19</f>
        <v>1299.8399999999999</v>
      </c>
      <c r="V2" s="1346">
        <f>ROUND(T2*U2/10000,0)</f>
        <v>1840</v>
      </c>
      <c r="W2" s="1350"/>
      <c r="X2" s="1350"/>
      <c r="Y2" s="1350"/>
      <c r="Z2" s="1350"/>
      <c r="AA2" s="1350"/>
      <c r="AB2" s="1350"/>
      <c r="AC2" s="1351"/>
      <c r="AD2" s="1352"/>
      <c r="AE2" s="1352"/>
      <c r="AF2" s="1352"/>
      <c r="AG2" s="1352"/>
      <c r="AH2" s="1352"/>
      <c r="AI2" s="1352"/>
      <c r="AJ2" s="1353"/>
    </row>
    <row r="3" spans="1:36" ht="15.75">
      <c r="A3" s="209" t="s">
        <v>2579</v>
      </c>
      <c r="B3" s="210">
        <f>ROUND(B2*10000/D1,0)</f>
        <v>14156</v>
      </c>
      <c r="C3" s="2155" t="s">
        <v>2580</v>
      </c>
      <c r="D3" s="2156" t="s">
        <v>2581</v>
      </c>
      <c r="E3" s="2161" t="s">
        <v>3137</v>
      </c>
      <c r="F3" s="2162" t="s">
        <v>2582</v>
      </c>
      <c r="G3" s="855">
        <f>IF(F3="宗地容积率",'数据-汇总表'!I4,IF(F3="估价对象容积率",'数据-汇总表'!I6,'数据-汇总表'!I7))</f>
        <v>0.24</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5.3329000000000004</v>
      </c>
      <c r="T3" s="1346">
        <f t="shared" ref="T3:T16" si="0">ROUND($C$5*$C$18*$C$19*$C$20*S3*$C$24,0)</f>
        <v>9331</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5"/>
      <c r="B4" s="3516"/>
      <c r="C4" s="3516"/>
      <c r="D4" s="3517"/>
      <c r="E4" s="3517"/>
      <c r="F4" s="3517"/>
      <c r="G4" s="3517"/>
      <c r="H4" s="3517"/>
      <c r="I4" s="3517"/>
      <c r="J4" s="3518"/>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4.1966999999999999</v>
      </c>
      <c r="T4" s="1346">
        <f t="shared" si="0"/>
        <v>7343</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1970</v>
      </c>
      <c r="D5" s="1493">
        <f>ROUND(C6+C16,0)</f>
        <v>1970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3.1354000000000002</v>
      </c>
      <c r="T5" s="1346">
        <f t="shared" si="0"/>
        <v>5486</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1970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2.3578999999999999</v>
      </c>
      <c r="T6" s="1346">
        <f t="shared" si="0"/>
        <v>4125</v>
      </c>
      <c r="U6" s="1347"/>
      <c r="V6" s="1346">
        <f t="shared" si="1"/>
        <v>0</v>
      </c>
      <c r="W6" s="1350"/>
      <c r="X6" s="1350"/>
      <c r="Y6" s="1350"/>
      <c r="Z6" s="1350"/>
      <c r="AA6" s="1350"/>
      <c r="AB6" s="1350"/>
      <c r="AC6" s="2169"/>
      <c r="AD6" s="2170"/>
      <c r="AE6" s="2170"/>
      <c r="AF6" s="2170"/>
      <c r="AG6" s="2170"/>
      <c r="AH6" s="2170"/>
      <c r="AI6" s="2170"/>
      <c r="AJ6" s="2171"/>
    </row>
    <row r="7" spans="1:36" ht="24">
      <c r="A7" s="3496"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1.8854</v>
      </c>
      <c r="T7" s="1346">
        <f t="shared" si="0"/>
        <v>3299</v>
      </c>
      <c r="U7" s="1347"/>
      <c r="V7" s="1346">
        <f t="shared" si="1"/>
        <v>0</v>
      </c>
      <c r="W7" s="1512" t="s">
        <v>2596</v>
      </c>
      <c r="X7" s="1348" t="str">
        <f>G2</f>
        <v>十级</v>
      </c>
      <c r="Y7" s="1348" t="s">
        <v>2597</v>
      </c>
      <c r="Z7" s="1349">
        <f>G3</f>
        <v>0.24</v>
      </c>
      <c r="AA7" s="1350"/>
      <c r="AB7" s="1350"/>
      <c r="AC7" s="1351"/>
      <c r="AD7" s="1352"/>
      <c r="AE7" s="1352"/>
      <c r="AF7" s="1352"/>
      <c r="AG7" s="1352"/>
      <c r="AH7" s="1352"/>
      <c r="AI7" s="1352"/>
      <c r="AJ7" s="1353"/>
    </row>
    <row r="8" spans="1:36" ht="25.5">
      <c r="A8" s="3519"/>
      <c r="B8" s="175" t="s">
        <v>2598</v>
      </c>
      <c r="C8" s="2184" t="s">
        <v>3138</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2" t="s">
        <v>2601</v>
      </c>
      <c r="X8" s="351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9"/>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9"/>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1970</v>
      </c>
      <c r="N10" s="997">
        <f>SUMPRODUCT((因素修正幅度!B290:B316=I2)*(因素修正幅度!C3:F3=E2)*(因素修正幅度!C290:F316))</f>
        <v>0.15</v>
      </c>
      <c r="O10" s="1252"/>
      <c r="P10" s="1252"/>
      <c r="Q10" s="1252"/>
      <c r="R10" s="1346">
        <v>9</v>
      </c>
      <c r="S10" s="1347"/>
      <c r="T10" s="1346">
        <f t="shared" si="0"/>
        <v>0</v>
      </c>
      <c r="U10" s="1347"/>
      <c r="V10" s="1346">
        <f t="shared" si="1"/>
        <v>0</v>
      </c>
      <c r="W10" s="351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9"/>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4" t="s">
        <v>2625</v>
      </c>
      <c r="X11" s="1358" t="s">
        <v>2626</v>
      </c>
      <c r="Y11" s="1359">
        <f>$G$3</f>
        <v>0.24</v>
      </c>
      <c r="Z11" s="1359">
        <f t="shared" ref="Z11:AJ11" si="3">$G$3</f>
        <v>0.24</v>
      </c>
      <c r="AA11" s="1359">
        <f t="shared" si="3"/>
        <v>0.24</v>
      </c>
      <c r="AB11" s="1359">
        <f t="shared" si="3"/>
        <v>0.24</v>
      </c>
      <c r="AC11" s="1359">
        <f t="shared" si="3"/>
        <v>0.24</v>
      </c>
      <c r="AD11" s="1359">
        <f t="shared" si="3"/>
        <v>0.24</v>
      </c>
      <c r="AE11" s="1359">
        <f t="shared" si="3"/>
        <v>0.24</v>
      </c>
      <c r="AF11" s="1359">
        <f t="shared" si="3"/>
        <v>0.24</v>
      </c>
      <c r="AG11" s="1359">
        <f t="shared" si="3"/>
        <v>0.24</v>
      </c>
      <c r="AH11" s="1359">
        <f t="shared" si="3"/>
        <v>0.24</v>
      </c>
      <c r="AI11" s="1359">
        <f t="shared" si="3"/>
        <v>0.24</v>
      </c>
      <c r="AJ11" s="1359">
        <f t="shared" si="3"/>
        <v>0.24</v>
      </c>
    </row>
    <row r="12" spans="1:36" ht="25.5" thickBot="1">
      <c r="A12" s="3496"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0"/>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4"/>
      <c r="X13" s="1360"/>
      <c r="Y13" s="1357">
        <f>(-0.163*(Y12^2)-0.59*Y12+7617)*(10^(-4))/Y11</f>
        <v>3.1737500000000005</v>
      </c>
      <c r="Z13" s="1357">
        <f t="shared" ref="Z13:AJ13" si="5">(-0.163*(Z12^2)-0.59*Z12+7617)*(10^(-4))/Z11</f>
        <v>3.1737500000000005</v>
      </c>
      <c r="AA13" s="1357">
        <f t="shared" si="5"/>
        <v>3.1737500000000005</v>
      </c>
      <c r="AB13" s="1357">
        <f t="shared" si="5"/>
        <v>3.1737500000000005</v>
      </c>
      <c r="AC13" s="1357">
        <f t="shared" si="5"/>
        <v>3.1737500000000005</v>
      </c>
      <c r="AD13" s="1357">
        <f t="shared" si="5"/>
        <v>3.1737500000000005</v>
      </c>
      <c r="AE13" s="1357">
        <f t="shared" si="5"/>
        <v>3.1737500000000005</v>
      </c>
      <c r="AF13" s="1357">
        <f t="shared" si="5"/>
        <v>3.1737500000000005</v>
      </c>
      <c r="AG13" s="1357">
        <f t="shared" si="5"/>
        <v>3.1737500000000005</v>
      </c>
      <c r="AH13" s="1357">
        <f t="shared" si="5"/>
        <v>3.1737500000000005</v>
      </c>
      <c r="AI13" s="1357">
        <f t="shared" si="5"/>
        <v>3.1737500000000005</v>
      </c>
      <c r="AJ13" s="1357">
        <f t="shared" si="5"/>
        <v>3.1737500000000005</v>
      </c>
    </row>
    <row r="14" spans="1:36" ht="15">
      <c r="A14" s="3520"/>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1"/>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96" t="s">
        <v>2644</v>
      </c>
      <c r="B16" s="2179" t="s">
        <v>2645</v>
      </c>
      <c r="C16" s="2341">
        <f>ROUND(IF(F17="与级别开发程度一致",0,(G17-E17)/C17),0)</f>
        <v>0</v>
      </c>
      <c r="D16" s="3509" t="s">
        <v>2649</v>
      </c>
      <c r="E16" s="3510"/>
      <c r="F16" s="3509" t="s">
        <v>2646</v>
      </c>
      <c r="G16" s="3510"/>
      <c r="H16" s="2211" t="s">
        <v>3139</v>
      </c>
      <c r="I16" s="2211" t="s">
        <v>3140</v>
      </c>
      <c r="J16" s="2345" t="s">
        <v>3141</v>
      </c>
      <c r="K16" s="2211" t="s">
        <v>3142</v>
      </c>
      <c r="L16" s="2211" t="s">
        <v>3143</v>
      </c>
      <c r="M16" s="2211" t="s">
        <v>3144</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97"/>
      <c r="B17" s="2352" t="s">
        <v>2648</v>
      </c>
      <c r="C17" s="2353">
        <f>SUMPRODUCT((修正!A2:A5=E2)*(修正!B1:M1=G2)*(修正!B2:M5))</f>
        <v>2</v>
      </c>
      <c r="D17" s="193" t="str">
        <f>IF(OR(G2="八级",G2="九级",G2="十级",G2="十一级",G2="十二级"),"五通一平","七通一平")</f>
        <v>五通一平</v>
      </c>
      <c r="E17" s="2342">
        <f>SUMPRODUCT((修正!B1:M1=G2)*(修正!B15:M15))</f>
        <v>155</v>
      </c>
      <c r="F17" s="2343" t="s">
        <v>3145</v>
      </c>
      <c r="G17" s="2344">
        <f>SUM(H17:O17)</f>
        <v>155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10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0.9</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44638</v>
      </c>
      <c r="H19" s="2222" t="s">
        <v>3146</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0.75370000000000004</v>
      </c>
      <c r="D20" s="2228" t="s">
        <v>2658</v>
      </c>
      <c r="E20" s="1475">
        <f>存贷款利率!E20/100</f>
        <v>4.3499999999999997E-2</v>
      </c>
      <c r="F20" s="2228" t="s">
        <v>2650</v>
      </c>
      <c r="G20" s="873">
        <f>SUMIF(M26:P26,E2,M28:P28)</f>
        <v>5.3999999999999999E-2</v>
      </c>
      <c r="H20" s="2228" t="s">
        <v>2659</v>
      </c>
      <c r="I20" s="874">
        <f>SUMIF('数据-取费表'!C6:C15,E2,'数据-取费表'!F6:F15)/COUNTIF('数据-取费表'!C6:C15,E2)</f>
        <v>20.61</v>
      </c>
      <c r="J20" s="875">
        <f>IF(E2="住宅",70,IF(E2="商业",40,50))</f>
        <v>40</v>
      </c>
      <c r="K20" s="1259"/>
      <c r="L20" s="2229" t="s">
        <v>2660</v>
      </c>
      <c r="M20" s="1469">
        <f>ROUND(SUMPRODUCT((地价!A4:A37=YEAR(G19)&amp;"-"&amp;ROUNDUP(MONTH(G19)/3,0))*(地价!B2:F2=E2)*(地价!B4:F37)),0)</f>
        <v>353</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3147</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6.1086999999999998</v>
      </c>
      <c r="E22" s="855">
        <f>ROUNDDOWN(G3,1)</f>
        <v>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855">
        <f>ROUNDUP(G3,1)</f>
        <v>0.30000000000000004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1506" t="s">
        <v>155</v>
      </c>
      <c r="J22" s="877" t="str">
        <f>IF(G3&gt;10,D113,"——")</f>
        <v>——</v>
      </c>
      <c r="K22" s="1259"/>
      <c r="L22" s="2989"/>
      <c r="M22" s="2989"/>
      <c r="N22" s="2237" t="s">
        <v>2668</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0.95730000000000004</v>
      </c>
      <c r="D24" s="2218"/>
      <c r="E24" s="2245"/>
      <c r="F24" s="2245"/>
      <c r="G24" s="2245"/>
      <c r="H24" s="2245"/>
      <c r="I24" s="2245"/>
      <c r="J24" s="2246"/>
      <c r="K24" s="1259"/>
      <c r="L24" s="2989"/>
      <c r="M24" s="2989"/>
      <c r="N24" s="2247" t="s">
        <v>2673</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1840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f>'数据-汇总表'!F19</f>
        <v>1299.8399999999999</v>
      </c>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6"/>
      <c r="B33" s="2282" t="s">
        <v>2690</v>
      </c>
      <c r="C33" s="180">
        <f>ROUND(D5*C19*C20*C24*F33,0)</f>
        <v>1166</v>
      </c>
      <c r="D33" s="2266"/>
      <c r="E33" s="176">
        <f>ROUND(C33*D33/10000,0)</f>
        <v>0</v>
      </c>
      <c r="F33" s="176">
        <f>SUMIF(修正!A45:A56,G2,修正!B45:B56)</f>
        <v>0.6</v>
      </c>
      <c r="G33" s="176">
        <f t="shared" ref="G33" si="6">ROUND(IF(E2="工业",C33*$M$39,C33*$M$38),0)</f>
        <v>292</v>
      </c>
      <c r="H33" s="176">
        <f>D33</f>
        <v>0</v>
      </c>
      <c r="I33" s="176">
        <f>ROUND(G33*H33/10000,0)</f>
        <v>0</v>
      </c>
      <c r="J33" s="351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7"/>
      <c r="B34" s="2199" t="s">
        <v>2691</v>
      </c>
      <c r="C34" s="180">
        <f>ROUND(D5*C19*C20*C24*F34,0)</f>
        <v>583</v>
      </c>
      <c r="D34" s="2266"/>
      <c r="E34" s="176">
        <f t="shared" ref="E34:E39" si="7">ROUND(C34*D34/10000,0)</f>
        <v>0</v>
      </c>
      <c r="F34" s="176">
        <f>SUMIF(修正!A45:A56,G2,修正!C45:C56)</f>
        <v>0.3</v>
      </c>
      <c r="G34" s="176">
        <f>ROUND(IF(E2="工业",C34*$M$39,C34*$M$38),0)</f>
        <v>146</v>
      </c>
      <c r="H34" s="176">
        <f t="shared" ref="H34:H39" si="8">D34</f>
        <v>0</v>
      </c>
      <c r="I34" s="176">
        <f t="shared" ref="I34:I39" si="9">ROUND(G34*H34/10000,0)</f>
        <v>0</v>
      </c>
      <c r="J34" s="350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7"/>
      <c r="B35" s="2199" t="s">
        <v>2692</v>
      </c>
      <c r="C35" s="180">
        <f>ROUND(D5*C19*C20*C24*F35,0)</f>
        <v>389</v>
      </c>
      <c r="D35" s="2266"/>
      <c r="E35" s="176">
        <f t="shared" si="7"/>
        <v>0</v>
      </c>
      <c r="F35" s="176">
        <f>SUMIF(修正!A45:A56,G2,修正!D45:D56)</f>
        <v>0.2</v>
      </c>
      <c r="G35" s="176">
        <f>ROUND(IF(E2="工业",C35*$M$39,C35*$M$38),0)</f>
        <v>97</v>
      </c>
      <c r="H35" s="176">
        <f t="shared" si="8"/>
        <v>0</v>
      </c>
      <c r="I35" s="176">
        <f t="shared" si="9"/>
        <v>0</v>
      </c>
      <c r="J35" s="350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08"/>
      <c r="B36" s="2199" t="s">
        <v>2693</v>
      </c>
      <c r="C36" s="180">
        <f>ROUND(D5*C19*C20*C24*F36,0)</f>
        <v>389</v>
      </c>
      <c r="D36" s="2266"/>
      <c r="E36" s="176">
        <f t="shared" si="7"/>
        <v>0</v>
      </c>
      <c r="F36" s="176">
        <f>SUMIF(修正!A45:A56,G2,修正!E45:E56)</f>
        <v>0.2</v>
      </c>
      <c r="G36" s="176">
        <f>ROUND(IF(E2="工业",C36*$M$39,C36*$M$38),0)</f>
        <v>97</v>
      </c>
      <c r="H36" s="176">
        <f t="shared" si="8"/>
        <v>0</v>
      </c>
      <c r="I36" s="176">
        <f t="shared" si="9"/>
        <v>0</v>
      </c>
      <c r="J36" s="350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389</v>
      </c>
      <c r="D37" s="2266"/>
      <c r="E37" s="176">
        <f t="shared" si="7"/>
        <v>0</v>
      </c>
      <c r="F37" s="180">
        <f>SUMIF(修正!A45:A56,G2,修正!F45:F56)</f>
        <v>0.2</v>
      </c>
      <c r="G37" s="176">
        <f>ROUND(IF(E2="工业",C37*$M$39,C37*$M$38),0)</f>
        <v>97</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5.3999999999999999E-2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0.95730000000000004</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3148</v>
      </c>
      <c r="D48" s="1196">
        <f t="shared" ref="D48:D56" si="10">SUMIF($J$47:$N$47,C48,J48:N48)</f>
        <v>-2.47E-2</v>
      </c>
      <c r="E48" s="760">
        <f>ROUND(SUM(D48:D56),4)</f>
        <v>-4.2700000000000002E-2</v>
      </c>
      <c r="F48" s="1970">
        <f>IF(E2="商业",SUMIF(L1:L12,G2,N1:N12),"——")</f>
        <v>0.15</v>
      </c>
      <c r="G48" s="1194">
        <f>H48</f>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3148</v>
      </c>
      <c r="D49" s="1196">
        <f t="shared" si="10"/>
        <v>-1.8700000000000001E-2</v>
      </c>
      <c r="E49" s="761"/>
      <c r="F49" s="1970"/>
      <c r="G49" s="1194">
        <f t="shared" ref="G49:G56" si="15">H49</f>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3149</v>
      </c>
      <c r="D50" s="1196">
        <f t="shared" si="10"/>
        <v>0</v>
      </c>
      <c r="E50" s="761"/>
      <c r="F50" s="1970"/>
      <c r="G50" s="1194">
        <f t="shared" si="15"/>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53"/>
      <c r="AB50" s="1253"/>
      <c r="AC50" s="1253"/>
      <c r="AD50" s="1253"/>
      <c r="AE50" s="1253"/>
      <c r="AF50" s="1253"/>
      <c r="AG50" s="1253"/>
      <c r="AH50" s="1253"/>
      <c r="AI50" s="1253"/>
      <c r="AJ50" s="1253"/>
      <c r="AK50" s="1253"/>
    </row>
    <row r="51" spans="1:37" s="1252" customFormat="1" ht="36.75">
      <c r="A51" s="2299" t="s">
        <v>2712</v>
      </c>
      <c r="B51" s="2304" t="s">
        <v>2713</v>
      </c>
      <c r="C51" s="2204" t="s">
        <v>3150</v>
      </c>
      <c r="D51" s="1196">
        <f t="shared" si="10"/>
        <v>3.7000000000000002E-3</v>
      </c>
      <c r="E51" s="761"/>
      <c r="F51" s="1970"/>
      <c r="G51" s="1194">
        <f t="shared" si="15"/>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t="s">
        <v>3148</v>
      </c>
      <c r="D52" s="1196">
        <f t="shared" si="10"/>
        <v>-6.0000000000000001E-3</v>
      </c>
      <c r="E52" s="761"/>
      <c r="F52" s="1970"/>
      <c r="G52" s="1194">
        <f t="shared" si="15"/>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53"/>
      <c r="AB52" s="1253"/>
      <c r="AC52" s="1253"/>
      <c r="AD52" s="1253"/>
      <c r="AE52" s="1253"/>
      <c r="AF52" s="1253"/>
      <c r="AG52" s="1253"/>
      <c r="AH52" s="1253"/>
      <c r="AI52" s="1253"/>
      <c r="AJ52" s="1253"/>
      <c r="AK52" s="1253"/>
    </row>
    <row r="53" spans="1:37" s="1252" customFormat="1" ht="24">
      <c r="A53" s="2299" t="s">
        <v>2715</v>
      </c>
      <c r="B53" s="2305" t="s">
        <v>2716</v>
      </c>
      <c r="C53" s="2204" t="s">
        <v>3150</v>
      </c>
      <c r="D53" s="1196">
        <f t="shared" si="10"/>
        <v>2.2000000000000001E-3</v>
      </c>
      <c r="E53" s="761"/>
      <c r="F53" s="1970"/>
      <c r="G53" s="1194">
        <f t="shared" si="15"/>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3148</v>
      </c>
      <c r="D54" s="1196">
        <f t="shared" si="10"/>
        <v>-3.7000000000000002E-3</v>
      </c>
      <c r="E54" s="761"/>
      <c r="F54" s="1970"/>
      <c r="G54" s="1194">
        <f t="shared" si="15"/>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3149</v>
      </c>
      <c r="D55" s="1196">
        <f t="shared" si="10"/>
        <v>0</v>
      </c>
      <c r="E55" s="761"/>
      <c r="F55" s="1970"/>
      <c r="G55" s="1194">
        <f t="shared" si="15"/>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t="s">
        <v>3150</v>
      </c>
      <c r="D56" s="1196">
        <f t="shared" si="10"/>
        <v>4.4999999999999997E-3</v>
      </c>
      <c r="E56" s="764"/>
      <c r="F56" s="1970"/>
      <c r="G56" s="1194">
        <f t="shared" si="15"/>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98" t="s">
        <v>2731</v>
      </c>
      <c r="B90" s="3498"/>
      <c r="C90" s="3498"/>
      <c r="D90" s="3498"/>
      <c r="E90" s="3498"/>
      <c r="F90" s="3498"/>
      <c r="G90" s="3498"/>
      <c r="H90" s="3498"/>
      <c r="I90" s="3498"/>
      <c r="J90" s="3498"/>
      <c r="K90" s="2313"/>
      <c r="L90" s="2313"/>
      <c r="M90" s="2313"/>
      <c r="N90" s="2313"/>
    </row>
    <row r="91" spans="1:37">
      <c r="A91" s="3500" t="s">
        <v>2732</v>
      </c>
      <c r="B91" s="3500" t="s">
        <v>2733</v>
      </c>
      <c r="C91" s="2267" t="s">
        <v>2734</v>
      </c>
      <c r="D91" s="2268"/>
      <c r="E91" s="2268"/>
      <c r="F91" s="2268"/>
      <c r="G91" s="2268"/>
      <c r="H91" s="2268"/>
      <c r="I91" s="2268"/>
      <c r="J91" s="2314"/>
      <c r="K91" s="2315"/>
      <c r="L91" s="2315"/>
      <c r="M91" s="2315"/>
      <c r="N91" s="2315"/>
    </row>
    <row r="92" spans="1:37">
      <c r="A92" s="3500"/>
      <c r="B92" s="350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2"/>
      <c r="B99" s="2316" t="s">
        <v>2618</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0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1" t="s">
        <v>2736</v>
      </c>
      <c r="B101" s="2320" t="s">
        <v>2737</v>
      </c>
      <c r="C101" s="2321">
        <f>$G$3</f>
        <v>0.24</v>
      </c>
      <c r="D101" s="2321">
        <f t="shared" ref="D101:N101" si="32">$G$3</f>
        <v>0.24</v>
      </c>
      <c r="E101" s="2321">
        <f t="shared" si="32"/>
        <v>0.24</v>
      </c>
      <c r="F101" s="2321">
        <f t="shared" si="32"/>
        <v>0.24</v>
      </c>
      <c r="G101" s="2321">
        <f t="shared" si="32"/>
        <v>0.24</v>
      </c>
      <c r="H101" s="2321">
        <f t="shared" si="32"/>
        <v>0.24</v>
      </c>
      <c r="I101" s="2321">
        <f t="shared" si="32"/>
        <v>0.24</v>
      </c>
      <c r="J101" s="2321">
        <f t="shared" si="32"/>
        <v>0.24</v>
      </c>
      <c r="K101" s="2321">
        <f t="shared" si="32"/>
        <v>0.24</v>
      </c>
      <c r="L101" s="2321">
        <f t="shared" si="32"/>
        <v>0.24</v>
      </c>
      <c r="M101" s="2321">
        <f t="shared" si="32"/>
        <v>0.24</v>
      </c>
      <c r="N101" s="2321">
        <f t="shared" si="32"/>
        <v>0.24</v>
      </c>
    </row>
    <row r="102" spans="1:14">
      <c r="A102" s="3502"/>
      <c r="B102" s="2316">
        <v>1</v>
      </c>
      <c r="C102" s="2317">
        <f>1.9362/C101</f>
        <v>8.0675000000000008</v>
      </c>
      <c r="D102" s="2317">
        <f>1.9362/D101</f>
        <v>8.0675000000000008</v>
      </c>
      <c r="E102" s="2317">
        <f>1.8629/E101</f>
        <v>7.7620833333333339</v>
      </c>
      <c r="F102" s="2317">
        <f>1.8629/F101</f>
        <v>7.7620833333333339</v>
      </c>
      <c r="G102" s="2317">
        <f>1.8629/G101</f>
        <v>7.7620833333333339</v>
      </c>
      <c r="H102" s="2317">
        <f>1.8629/H101</f>
        <v>7.7620833333333339</v>
      </c>
      <c r="I102" s="2317">
        <f>1.8629/I101</f>
        <v>7.7620833333333339</v>
      </c>
      <c r="J102" s="2317">
        <f>1.942/J101</f>
        <v>8.0916666666666668</v>
      </c>
      <c r="K102" s="2317">
        <f>1.942/K101</f>
        <v>8.0916666666666668</v>
      </c>
      <c r="L102" s="2317">
        <f>1.942/L101</f>
        <v>8.0916666666666668</v>
      </c>
      <c r="M102" s="2317">
        <f>1.942/M101</f>
        <v>8.0916666666666668</v>
      </c>
      <c r="N102" s="2317">
        <f>1.942/N101</f>
        <v>8.0916666666666668</v>
      </c>
    </row>
    <row r="103" spans="1:14">
      <c r="A103" s="3502"/>
      <c r="B103" s="2316">
        <v>2</v>
      </c>
      <c r="C103" s="2317">
        <f>1.4198/C101</f>
        <v>5.9158333333333335</v>
      </c>
      <c r="D103" s="2317">
        <f>1.4198/D101</f>
        <v>5.9158333333333335</v>
      </c>
      <c r="E103" s="2317">
        <f>1.3372/E101</f>
        <v>5.5716666666666663</v>
      </c>
      <c r="F103" s="2317">
        <f>1.3372/F101</f>
        <v>5.5716666666666663</v>
      </c>
      <c r="G103" s="2317">
        <f>1.3372/G101</f>
        <v>5.5716666666666663</v>
      </c>
      <c r="H103" s="2317">
        <f>1.3372/H101</f>
        <v>5.5716666666666663</v>
      </c>
      <c r="I103" s="2317">
        <f>1.3372/I101</f>
        <v>5.5716666666666663</v>
      </c>
      <c r="J103" s="2317">
        <f>1.2799/J101</f>
        <v>5.3329166666666667</v>
      </c>
      <c r="K103" s="2317">
        <f>1.2799/K101</f>
        <v>5.3329166666666667</v>
      </c>
      <c r="L103" s="2317">
        <f>1.2799/L101</f>
        <v>5.3329166666666667</v>
      </c>
      <c r="M103" s="2317">
        <f>1.2799/M101</f>
        <v>5.3329166666666667</v>
      </c>
      <c r="N103" s="2317">
        <f>1.2799/N101</f>
        <v>5.3329166666666667</v>
      </c>
    </row>
    <row r="104" spans="1:14">
      <c r="A104" s="3502"/>
      <c r="B104" s="2316">
        <v>3</v>
      </c>
      <c r="C104" s="2317">
        <f>1.1594/C101</f>
        <v>4.8308333333333335</v>
      </c>
      <c r="D104" s="2317">
        <f>1.1594/D101</f>
        <v>4.8308333333333335</v>
      </c>
      <c r="E104" s="2317">
        <f>1.0788/E101</f>
        <v>4.4950000000000001</v>
      </c>
      <c r="F104" s="2317">
        <f>1.0788/F101</f>
        <v>4.4950000000000001</v>
      </c>
      <c r="G104" s="2317">
        <f>1.0788/G101</f>
        <v>4.4950000000000001</v>
      </c>
      <c r="H104" s="2317">
        <f>1.0788/H101</f>
        <v>4.4950000000000001</v>
      </c>
      <c r="I104" s="2317">
        <f>1.0788/I101</f>
        <v>4.4950000000000001</v>
      </c>
      <c r="J104" s="2317">
        <f>1.0072/J101</f>
        <v>4.1966666666666672</v>
      </c>
      <c r="K104" s="2317">
        <f>1.0072/K101</f>
        <v>4.1966666666666672</v>
      </c>
      <c r="L104" s="2317">
        <f>1.0072/L101</f>
        <v>4.1966666666666672</v>
      </c>
      <c r="M104" s="2317">
        <f>1.0072/M101</f>
        <v>4.1966666666666672</v>
      </c>
      <c r="N104" s="2317">
        <f>1.0072/N101</f>
        <v>4.1966666666666672</v>
      </c>
    </row>
    <row r="105" spans="1:14">
      <c r="A105" s="3502"/>
      <c r="B105" s="2316">
        <v>4</v>
      </c>
      <c r="C105" s="2317">
        <f>0.9622/C101</f>
        <v>4.0091666666666672</v>
      </c>
      <c r="D105" s="2317">
        <f>0.9622/D101</f>
        <v>4.0091666666666672</v>
      </c>
      <c r="E105" s="2317">
        <f>0.8656/E101</f>
        <v>3.6066666666666669</v>
      </c>
      <c r="F105" s="2317">
        <f>0.8656/F101</f>
        <v>3.6066666666666669</v>
      </c>
      <c r="G105" s="2317">
        <f>0.8656/G101</f>
        <v>3.6066666666666669</v>
      </c>
      <c r="H105" s="2317">
        <f>0.8656/H101</f>
        <v>3.6066666666666669</v>
      </c>
      <c r="I105" s="2317">
        <f>0.8656/I101</f>
        <v>3.6066666666666669</v>
      </c>
      <c r="J105" s="2317">
        <f>0.7525/J101</f>
        <v>3.1354166666666665</v>
      </c>
      <c r="K105" s="2317">
        <f>0.7525/K101</f>
        <v>3.1354166666666665</v>
      </c>
      <c r="L105" s="2317">
        <f>0.7525/L101</f>
        <v>3.1354166666666665</v>
      </c>
      <c r="M105" s="2317">
        <f>0.7525/M101</f>
        <v>3.1354166666666665</v>
      </c>
      <c r="N105" s="2317">
        <f>0.7525/N101</f>
        <v>3.1354166666666665</v>
      </c>
    </row>
    <row r="106" spans="1:14">
      <c r="A106" s="3502"/>
      <c r="B106" s="2316">
        <v>5</v>
      </c>
      <c r="C106" s="2317">
        <f>0.8417/C101</f>
        <v>3.5070833333333336</v>
      </c>
      <c r="D106" s="2317">
        <f>0.8417/D101</f>
        <v>3.5070833333333336</v>
      </c>
      <c r="E106" s="2317">
        <f>0.7371/E101</f>
        <v>3.07125</v>
      </c>
      <c r="F106" s="2317">
        <f>0.7371/F101</f>
        <v>3.07125</v>
      </c>
      <c r="G106" s="2317">
        <f>0.7371/G101</f>
        <v>3.07125</v>
      </c>
      <c r="H106" s="2317">
        <f>0.7371/H101</f>
        <v>3.07125</v>
      </c>
      <c r="I106" s="2317">
        <f>0.7371/I101</f>
        <v>3.07125</v>
      </c>
      <c r="J106" s="2317">
        <f>0.5659/J101</f>
        <v>2.3579166666666667</v>
      </c>
      <c r="K106" s="2317">
        <f>0.5659/K101</f>
        <v>2.3579166666666667</v>
      </c>
      <c r="L106" s="2317">
        <f>0.5659/L101</f>
        <v>2.3579166666666667</v>
      </c>
      <c r="M106" s="2317">
        <f>0.5659/M101</f>
        <v>2.3579166666666667</v>
      </c>
      <c r="N106" s="2317">
        <f>0.5659/N101</f>
        <v>2.3579166666666667</v>
      </c>
    </row>
    <row r="107" spans="1:14">
      <c r="A107" s="3502"/>
      <c r="B107" s="2316">
        <v>6</v>
      </c>
      <c r="C107" s="2317">
        <f>0.7608/C101</f>
        <v>3.1700000000000004</v>
      </c>
      <c r="D107" s="2317">
        <f>0.7608/D101</f>
        <v>3.1700000000000004</v>
      </c>
      <c r="E107" s="2317">
        <f>0.6482/E101</f>
        <v>2.7008333333333336</v>
      </c>
      <c r="F107" s="2317">
        <f>0.6482/F101</f>
        <v>2.7008333333333336</v>
      </c>
      <c r="G107" s="2317">
        <f>0.6482/G101</f>
        <v>2.7008333333333336</v>
      </c>
      <c r="H107" s="2317">
        <f>0.6482/H101</f>
        <v>2.7008333333333336</v>
      </c>
      <c r="I107" s="2317">
        <f>0.6482/I101</f>
        <v>2.7008333333333336</v>
      </c>
      <c r="J107" s="2317">
        <f>0.4525/J101</f>
        <v>1.8854166666666667</v>
      </c>
      <c r="K107" s="2317">
        <f>0.4525/K101</f>
        <v>1.8854166666666667</v>
      </c>
      <c r="L107" s="2317">
        <f>0.4525/L101</f>
        <v>1.8854166666666667</v>
      </c>
      <c r="M107" s="2317">
        <f>0.4525/M101</f>
        <v>1.8854166666666667</v>
      </c>
      <c r="N107" s="2317">
        <f>0.4525/N101</f>
        <v>1.8854166666666667</v>
      </c>
    </row>
    <row r="108" spans="1:14">
      <c r="A108" s="3502"/>
      <c r="B108" s="3504"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03"/>
      <c r="B109" s="3505"/>
      <c r="C109" s="2319">
        <f>(-0.163*(C108^2)-0.59*C108+7617)*(10^(-4))/C101</f>
        <v>3.1737500000000005</v>
      </c>
      <c r="D109" s="2319">
        <f>(-0.163*(D108^2)-0.59*D108+7617)*(10^(-4))/D101</f>
        <v>3.1737500000000005</v>
      </c>
      <c r="E109" s="2319">
        <f>(-0.161*(E108^2)-7.509*E108+6533)*(10^(-4))/E101</f>
        <v>2.7220833333333334</v>
      </c>
      <c r="F109" s="2319">
        <f>(-0.161*(F108^2)-7.509*F108+6533)*(10^(-4))/F101</f>
        <v>2.7220833333333334</v>
      </c>
      <c r="G109" s="2319">
        <f>(-0.161*(G108^2)-7.509*G108+6533)*(10^(-4))/G101</f>
        <v>2.7220833333333334</v>
      </c>
      <c r="H109" s="2319">
        <f>(-0.161*(H108^2)-7.509*H108+6533)*(10^(-4))/H101</f>
        <v>2.7220833333333334</v>
      </c>
      <c r="I109" s="2319">
        <f>(-0.161*(I108^2)-7.509*I108+6533)*(10^(-4))/I101</f>
        <v>2.7220833333333334</v>
      </c>
      <c r="J109" s="2319">
        <f>(-0.214*(J108^2)-21.991*J108+4665)*(10^(-4))/J101</f>
        <v>1.9437500000000001</v>
      </c>
      <c r="K109" s="2319">
        <f>(-0.214*(K108^2)-21.991*K108+4665)*(10^(-4))/K101</f>
        <v>1.9437500000000001</v>
      </c>
      <c r="L109" s="2319">
        <f>(-0.214*(L108^2)-21.991*L108+4665)*(10^(-4))/L101</f>
        <v>1.9437500000000001</v>
      </c>
      <c r="M109" s="2319">
        <f>(-0.214*(M108^2)-21.991*M108+4665)*(10^(-4))/M101</f>
        <v>1.9437500000000001</v>
      </c>
      <c r="N109" s="2319">
        <f>(-0.214*(N108^2)-21.991*N108+4665)*(10^(-4))/N101</f>
        <v>1.9437500000000001</v>
      </c>
    </row>
    <row r="110" spans="1:14">
      <c r="A110" s="3499" t="s">
        <v>2739</v>
      </c>
      <c r="B110" s="3499"/>
      <c r="C110" s="3499"/>
      <c r="D110" s="3499"/>
      <c r="E110" s="3499"/>
      <c r="F110" s="3499"/>
      <c r="G110" s="3499"/>
      <c r="H110" s="3499"/>
      <c r="I110" s="3499"/>
      <c r="J110" s="3499"/>
      <c r="K110" s="2322"/>
      <c r="L110" s="2322"/>
      <c r="M110" s="2322"/>
      <c r="N110" s="2322"/>
    </row>
    <row r="112" spans="1:14" ht="13.5" thickBot="1"/>
    <row r="113" spans="1:13" ht="25.5" thickBot="1">
      <c r="A113" s="842" t="s">
        <v>2740</v>
      </c>
      <c r="B113" s="1197">
        <f>G3</f>
        <v>0.24</v>
      </c>
      <c r="C113" s="843" t="s">
        <v>2741</v>
      </c>
      <c r="D113" s="844">
        <f>SUMPRODUCT((A115:A118=F113)*(B114:M114=H113)*B115:M118)</f>
        <v>0.68530000000000002</v>
      </c>
      <c r="E113" s="2158" t="s">
        <v>2575</v>
      </c>
      <c r="F113" s="2324" t="str">
        <f>E2</f>
        <v>商业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0.93120000000000003</v>
      </c>
      <c r="C115" s="849">
        <f>B115</f>
        <v>0.93120000000000003</v>
      </c>
      <c r="D115" s="849">
        <f>ROUND(0.8331-0.0109*B113,4)</f>
        <v>0.83050000000000002</v>
      </c>
      <c r="E115" s="849">
        <f>D115</f>
        <v>0.83050000000000002</v>
      </c>
      <c r="F115" s="849">
        <f>E115</f>
        <v>0.83050000000000002</v>
      </c>
      <c r="G115" s="849">
        <f>F115</f>
        <v>0.83050000000000002</v>
      </c>
      <c r="H115" s="849">
        <f>G115</f>
        <v>0.83050000000000002</v>
      </c>
      <c r="I115" s="849">
        <f>ROUND(0.689-0.0155*B113,4)</f>
        <v>0.68530000000000002</v>
      </c>
      <c r="J115" s="849">
        <f t="shared" ref="J115:M118" si="34">I115</f>
        <v>0.68530000000000002</v>
      </c>
      <c r="K115" s="849">
        <f t="shared" si="34"/>
        <v>0.68530000000000002</v>
      </c>
      <c r="L115" s="849">
        <f t="shared" si="34"/>
        <v>0.68530000000000002</v>
      </c>
      <c r="M115" s="850">
        <f t="shared" si="34"/>
        <v>0.68530000000000002</v>
      </c>
    </row>
    <row r="116" spans="1:13">
      <c r="A116" s="848" t="s">
        <v>2641</v>
      </c>
      <c r="B116" s="849">
        <f>ROUND(0.949-0.012*B113,4)</f>
        <v>0.94610000000000005</v>
      </c>
      <c r="C116" s="849">
        <f>B116</f>
        <v>0.94610000000000005</v>
      </c>
      <c r="D116" s="849">
        <f>ROUND(0.8567-0.013*B113,4)</f>
        <v>0.85360000000000003</v>
      </c>
      <c r="E116" s="849">
        <f t="shared" ref="E116:H117" si="35">D116</f>
        <v>0.85360000000000003</v>
      </c>
      <c r="F116" s="849">
        <f t="shared" si="35"/>
        <v>0.85360000000000003</v>
      </c>
      <c r="G116" s="849">
        <f t="shared" si="35"/>
        <v>0.85360000000000003</v>
      </c>
      <c r="H116" s="849">
        <f t="shared" si="35"/>
        <v>0.85360000000000003</v>
      </c>
      <c r="I116" s="849">
        <f>ROUND(0.7694-0.014*B113,4)</f>
        <v>0.76600000000000001</v>
      </c>
      <c r="J116" s="849">
        <f t="shared" si="34"/>
        <v>0.76600000000000001</v>
      </c>
      <c r="K116" s="849">
        <f t="shared" si="34"/>
        <v>0.76600000000000001</v>
      </c>
      <c r="L116" s="849">
        <f t="shared" si="34"/>
        <v>0.76600000000000001</v>
      </c>
      <c r="M116" s="850">
        <f t="shared" si="34"/>
        <v>0.76600000000000001</v>
      </c>
    </row>
    <row r="117" spans="1:13">
      <c r="A117" s="848" t="s">
        <v>2642</v>
      </c>
      <c r="B117" s="849">
        <f>ROUND(0.8808-0.006*B113,4)</f>
        <v>0.87939999999999996</v>
      </c>
      <c r="C117" s="849">
        <f>B117</f>
        <v>0.87939999999999996</v>
      </c>
      <c r="D117" s="849">
        <f>ROUND(0.8748-0.008*B113,4)</f>
        <v>0.87290000000000001</v>
      </c>
      <c r="E117" s="849">
        <f t="shared" si="35"/>
        <v>0.87290000000000001</v>
      </c>
      <c r="F117" s="849">
        <f t="shared" si="35"/>
        <v>0.87290000000000001</v>
      </c>
      <c r="G117" s="849">
        <f t="shared" si="35"/>
        <v>0.87290000000000001</v>
      </c>
      <c r="H117" s="849">
        <f t="shared" si="35"/>
        <v>0.87290000000000001</v>
      </c>
      <c r="I117" s="849">
        <f>ROUND(0.7412-0.0095*B113,4)</f>
        <v>0.7389</v>
      </c>
      <c r="J117" s="849">
        <f t="shared" si="34"/>
        <v>0.7389</v>
      </c>
      <c r="K117" s="849">
        <f t="shared" si="34"/>
        <v>0.7389</v>
      </c>
      <c r="L117" s="849">
        <f t="shared" si="34"/>
        <v>0.7389</v>
      </c>
      <c r="M117" s="850">
        <f t="shared" si="34"/>
        <v>0.7389</v>
      </c>
    </row>
    <row r="118" spans="1:13" ht="13.5" thickBot="1">
      <c r="A118" s="670" t="s">
        <v>2643</v>
      </c>
      <c r="B118" s="851">
        <f>ROUND(0.7275-0.01*B113,4)</f>
        <v>0.72509999999999997</v>
      </c>
      <c r="C118" s="851">
        <f>B118</f>
        <v>0.72509999999999997</v>
      </c>
      <c r="D118" s="851">
        <f>ROUND(0.7043-0.012*B113,4)</f>
        <v>0.70140000000000002</v>
      </c>
      <c r="E118" s="851">
        <f>D118</f>
        <v>0.70140000000000002</v>
      </c>
      <c r="F118" s="851">
        <f>E118</f>
        <v>0.70140000000000002</v>
      </c>
      <c r="G118" s="851">
        <f>ROUND(0.6299-0.0122*B113,4)</f>
        <v>0.627</v>
      </c>
      <c r="H118" s="851">
        <f>G118</f>
        <v>0.627</v>
      </c>
      <c r="I118" s="851">
        <f>ROUND(0.5667-0.0136*B113,4)</f>
        <v>0.56340000000000001</v>
      </c>
      <c r="J118" s="851">
        <f t="shared" si="34"/>
        <v>0.56340000000000001</v>
      </c>
      <c r="K118" s="851">
        <f t="shared" si="34"/>
        <v>0.56340000000000001</v>
      </c>
      <c r="L118" s="851">
        <f t="shared" si="34"/>
        <v>0.56340000000000001</v>
      </c>
      <c r="M118" s="852">
        <f t="shared" si="34"/>
        <v>0.56340000000000001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2" t="s">
        <v>614</v>
      </c>
      <c r="C61" s="757" t="s">
        <v>615</v>
      </c>
      <c r="D61" s="757" t="s">
        <v>616</v>
      </c>
      <c r="E61" s="834">
        <v>0.5</v>
      </c>
      <c r="F61" s="821">
        <v>80</v>
      </c>
    </row>
    <row r="62" spans="1:8" s="817" customFormat="1" ht="24">
      <c r="A62" s="821">
        <v>2</v>
      </c>
      <c r="B62" s="3522"/>
      <c r="C62" s="757" t="s">
        <v>617</v>
      </c>
      <c r="D62" s="757" t="s">
        <v>618</v>
      </c>
      <c r="E62" s="834">
        <v>0.5</v>
      </c>
      <c r="F62" s="821">
        <v>80</v>
      </c>
    </row>
    <row r="63" spans="1:8" s="817" customFormat="1" ht="36">
      <c r="A63" s="821">
        <v>3</v>
      </c>
      <c r="B63" s="3522"/>
      <c r="C63" s="757" t="s">
        <v>619</v>
      </c>
      <c r="D63" s="757" t="s">
        <v>620</v>
      </c>
      <c r="E63" s="834">
        <v>0.5</v>
      </c>
      <c r="F63" s="821">
        <v>80</v>
      </c>
    </row>
    <row r="64" spans="1:8" s="817" customFormat="1" ht="36">
      <c r="A64" s="821">
        <v>4</v>
      </c>
      <c r="B64" s="3522"/>
      <c r="C64" s="757" t="s">
        <v>621</v>
      </c>
      <c r="D64" s="757" t="s">
        <v>622</v>
      </c>
      <c r="E64" s="834">
        <v>0.4</v>
      </c>
      <c r="F64" s="821">
        <v>60</v>
      </c>
    </row>
    <row r="65" spans="1:6" s="817" customFormat="1" ht="36">
      <c r="A65" s="821">
        <v>5</v>
      </c>
      <c r="B65" s="3522"/>
      <c r="C65" s="757" t="s">
        <v>623</v>
      </c>
      <c r="D65" s="757" t="s">
        <v>624</v>
      </c>
      <c r="E65" s="834">
        <v>0.2</v>
      </c>
      <c r="F65" s="821">
        <v>30</v>
      </c>
    </row>
    <row r="66" spans="1:6" s="817" customFormat="1" ht="36">
      <c r="A66" s="821">
        <v>6</v>
      </c>
      <c r="B66" s="3522"/>
      <c r="C66" s="757" t="s">
        <v>625</v>
      </c>
      <c r="D66" s="757" t="s">
        <v>626</v>
      </c>
      <c r="E66" s="834">
        <v>0.3</v>
      </c>
      <c r="F66" s="821">
        <v>50</v>
      </c>
    </row>
    <row r="67" spans="1:6" s="817" customFormat="1" ht="36">
      <c r="A67" s="821">
        <v>7</v>
      </c>
      <c r="B67" s="3522"/>
      <c r="C67" s="757" t="s">
        <v>627</v>
      </c>
      <c r="D67" s="757" t="s">
        <v>628</v>
      </c>
      <c r="E67" s="834">
        <v>0.2</v>
      </c>
      <c r="F67" s="821">
        <v>30</v>
      </c>
    </row>
    <row r="68" spans="1:6" s="817" customFormat="1" ht="36">
      <c r="A68" s="821">
        <v>8</v>
      </c>
      <c r="B68" s="3522"/>
      <c r="C68" s="757" t="s">
        <v>629</v>
      </c>
      <c r="D68" s="757" t="s">
        <v>630</v>
      </c>
      <c r="E68" s="834">
        <v>0.2</v>
      </c>
      <c r="F68" s="821">
        <v>30</v>
      </c>
    </row>
    <row r="69" spans="1:6" s="817" customFormat="1" ht="36">
      <c r="A69" s="821">
        <v>9</v>
      </c>
      <c r="B69" s="3522"/>
      <c r="C69" s="757" t="s">
        <v>631</v>
      </c>
      <c r="D69" s="757" t="s">
        <v>632</v>
      </c>
      <c r="E69" s="834">
        <v>0.2</v>
      </c>
      <c r="F69" s="821">
        <v>30</v>
      </c>
    </row>
    <row r="70" spans="1:6" s="817" customFormat="1" ht="48">
      <c r="A70" s="821">
        <v>10</v>
      </c>
      <c r="B70" s="3522"/>
      <c r="C70" s="757" t="s">
        <v>633</v>
      </c>
      <c r="D70" s="757" t="s">
        <v>634</v>
      </c>
      <c r="E70" s="834">
        <v>0.2</v>
      </c>
      <c r="F70" s="821">
        <v>30</v>
      </c>
    </row>
    <row r="71" spans="1:6" s="817" customFormat="1" ht="48">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24">
      <c r="A73" s="821">
        <v>13</v>
      </c>
      <c r="B73" s="3522"/>
      <c r="C73" s="757" t="s">
        <v>639</v>
      </c>
      <c r="D73" s="757" t="s">
        <v>640</v>
      </c>
      <c r="E73" s="834">
        <v>0.4</v>
      </c>
      <c r="F73" s="821">
        <v>60</v>
      </c>
    </row>
    <row r="74" spans="1:6" s="817" customFormat="1" ht="24">
      <c r="A74" s="821">
        <v>14</v>
      </c>
      <c r="B74" s="3522"/>
      <c r="C74" s="757" t="s">
        <v>641</v>
      </c>
      <c r="D74" s="757" t="s">
        <v>642</v>
      </c>
      <c r="E74" s="834">
        <v>0.2</v>
      </c>
      <c r="F74" s="821">
        <v>30</v>
      </c>
    </row>
    <row r="75" spans="1:6" s="817" customFormat="1" ht="24">
      <c r="A75" s="821">
        <v>15</v>
      </c>
      <c r="B75" s="3522"/>
      <c r="C75" s="757" t="s">
        <v>643</v>
      </c>
      <c r="D75" s="757" t="s">
        <v>644</v>
      </c>
      <c r="E75" s="834">
        <v>0.2</v>
      </c>
      <c r="F75" s="821">
        <v>30</v>
      </c>
    </row>
    <row r="76" spans="1:6" s="817" customFormat="1" ht="24">
      <c r="A76" s="821">
        <v>16</v>
      </c>
      <c r="B76" s="3522" t="s">
        <v>645</v>
      </c>
      <c r="C76" s="757" t="s">
        <v>646</v>
      </c>
      <c r="D76" s="757" t="s">
        <v>647</v>
      </c>
      <c r="E76" s="834">
        <v>0.5</v>
      </c>
      <c r="F76" s="821">
        <v>80</v>
      </c>
    </row>
    <row r="77" spans="1:6" s="817" customFormat="1" ht="24">
      <c r="A77" s="821">
        <v>17</v>
      </c>
      <c r="B77" s="3522"/>
      <c r="C77" s="757" t="s">
        <v>648</v>
      </c>
      <c r="D77" s="757" t="s">
        <v>649</v>
      </c>
      <c r="E77" s="834">
        <v>0.5</v>
      </c>
      <c r="F77" s="821">
        <v>80</v>
      </c>
    </row>
    <row r="78" spans="1:6" s="817" customFormat="1" ht="24">
      <c r="A78" s="821">
        <v>18</v>
      </c>
      <c r="B78" s="3522"/>
      <c r="C78" s="757" t="s">
        <v>650</v>
      </c>
      <c r="D78" s="757" t="s">
        <v>651</v>
      </c>
      <c r="E78" s="834">
        <v>0.2</v>
      </c>
      <c r="F78" s="821">
        <v>30</v>
      </c>
    </row>
    <row r="79" spans="1:6" s="817" customFormat="1" ht="24">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48">
      <c r="A82" s="821">
        <v>22</v>
      </c>
      <c r="B82" s="3522"/>
      <c r="C82" s="757" t="s">
        <v>658</v>
      </c>
      <c r="D82" s="757" t="s">
        <v>659</v>
      </c>
      <c r="E82" s="834">
        <v>0.2</v>
      </c>
      <c r="F82" s="821">
        <v>30</v>
      </c>
    </row>
    <row r="83" spans="1:6" s="817" customFormat="1" ht="48">
      <c r="A83" s="821">
        <v>23</v>
      </c>
      <c r="B83" s="3522"/>
      <c r="C83" s="757" t="s">
        <v>660</v>
      </c>
      <c r="D83" s="757" t="s">
        <v>661</v>
      </c>
      <c r="E83" s="834">
        <v>0.2</v>
      </c>
      <c r="F83" s="821">
        <v>30</v>
      </c>
    </row>
    <row r="84" spans="1:6" s="817" customFormat="1" ht="36">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24">
      <c r="A89" s="821">
        <v>29</v>
      </c>
      <c r="B89" s="3522"/>
      <c r="C89" s="757" t="s">
        <v>672</v>
      </c>
      <c r="D89" s="757" t="s">
        <v>673</v>
      </c>
      <c r="E89" s="834">
        <v>0.2</v>
      </c>
      <c r="F89" s="821">
        <v>30</v>
      </c>
    </row>
    <row r="90" spans="1:6" s="817" customFormat="1" ht="24">
      <c r="A90" s="821">
        <v>30</v>
      </c>
      <c r="B90" s="3522"/>
      <c r="C90" s="757" t="s">
        <v>674</v>
      </c>
      <c r="D90" s="757" t="s">
        <v>675</v>
      </c>
      <c r="E90" s="834">
        <v>0.2</v>
      </c>
      <c r="F90" s="821">
        <v>30</v>
      </c>
    </row>
    <row r="91" spans="1:6" s="817" customFormat="1" ht="36">
      <c r="A91" s="821">
        <v>31</v>
      </c>
      <c r="B91" s="3522"/>
      <c r="C91" s="757" t="s">
        <v>676</v>
      </c>
      <c r="D91" s="757" t="s">
        <v>677</v>
      </c>
      <c r="E91" s="834">
        <v>0.2</v>
      </c>
      <c r="F91" s="821">
        <v>30</v>
      </c>
    </row>
    <row r="92" spans="1:6" s="817" customFormat="1" ht="24">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48">
      <c r="A94" s="821">
        <v>34</v>
      </c>
      <c r="B94" s="3522"/>
      <c r="C94" s="821" t="s">
        <v>683</v>
      </c>
      <c r="D94" s="757" t="s">
        <v>684</v>
      </c>
      <c r="E94" s="834">
        <v>0.2</v>
      </c>
      <c r="F94" s="821">
        <v>30</v>
      </c>
    </row>
    <row r="95" spans="1:6" s="817" customFormat="1" ht="36">
      <c r="A95" s="821">
        <v>35</v>
      </c>
      <c r="B95" s="3522"/>
      <c r="C95" s="821" t="s">
        <v>685</v>
      </c>
      <c r="D95" s="757" t="s">
        <v>686</v>
      </c>
      <c r="E95" s="834">
        <v>0.2</v>
      </c>
      <c r="F95" s="821">
        <v>30</v>
      </c>
    </row>
    <row r="96" spans="1:6" s="817" customFormat="1" ht="48">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24">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2" t="s">
        <v>708</v>
      </c>
      <c r="C105" s="821" t="s">
        <v>709</v>
      </c>
      <c r="D105" s="757" t="s">
        <v>710</v>
      </c>
      <c r="E105" s="834">
        <v>0.2</v>
      </c>
      <c r="F105" s="821">
        <v>30</v>
      </c>
    </row>
    <row r="106" spans="1:6" s="817" customFormat="1" ht="36">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36">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2" t="s">
        <v>724</v>
      </c>
      <c r="C111" s="821" t="s">
        <v>725</v>
      </c>
      <c r="D111" s="757" t="s">
        <v>726</v>
      </c>
      <c r="E111" s="834">
        <v>0.2</v>
      </c>
      <c r="F111" s="821">
        <v>30</v>
      </c>
    </row>
    <row r="112" spans="1:6" s="817" customFormat="1" ht="24">
      <c r="A112" s="821">
        <v>52</v>
      </c>
      <c r="B112" s="3522"/>
      <c r="C112" s="821" t="s">
        <v>727</v>
      </c>
      <c r="D112" s="757" t="s">
        <v>728</v>
      </c>
      <c r="E112" s="834">
        <v>0.2</v>
      </c>
      <c r="F112" s="821">
        <v>30</v>
      </c>
    </row>
    <row r="113" spans="1:6" s="817" customFormat="1" ht="24">
      <c r="A113" s="821">
        <v>53</v>
      </c>
      <c r="B113" s="35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1840</v>
      </c>
      <c r="C2" s="2331" t="s">
        <v>2755</v>
      </c>
      <c r="D2" s="2331" t="s">
        <v>2756</v>
      </c>
      <c r="E2" s="2808">
        <f ca="1">SUMIF(E6:E13,"&lt;&gt;#ref!",E6:E13)</f>
        <v>1299.8399999999999</v>
      </c>
      <c r="F2" s="2994"/>
      <c r="G2" s="2994"/>
      <c r="H2" s="2994"/>
      <c r="I2" s="2994"/>
      <c r="J2" s="2994"/>
      <c r="K2" s="2994"/>
      <c r="L2" s="2994"/>
      <c r="M2" s="2994"/>
      <c r="N2" s="2994"/>
      <c r="O2" s="2994"/>
      <c r="P2" s="2994"/>
    </row>
    <row r="3" spans="1:16" ht="15.75">
      <c r="A3" s="2331" t="s">
        <v>2757</v>
      </c>
      <c r="B3" s="2798">
        <f ca="1">ROUND(B2*10000/E2,0)</f>
        <v>14156</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1840</v>
      </c>
      <c r="C6" s="2331" t="s">
        <v>2755</v>
      </c>
      <c r="D6" s="2994"/>
      <c r="E6" s="2808">
        <f ca="1">SUMIF(INDIRECT("'"&amp;A6&amp;"'"&amp;"!C:C"),"建筑面积",INDIRECT("'"&amp;A6&amp;"'"&amp;"!D:D"))</f>
        <v>1299.8399999999999</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8" t="s">
        <v>1058</v>
      </c>
      <c r="C1" s="3528"/>
      <c r="D1" s="3528"/>
      <c r="E1" s="3528"/>
      <c r="F1" s="3528"/>
      <c r="G1" s="3524" t="s">
        <v>1059</v>
      </c>
      <c r="H1" s="3524"/>
      <c r="I1" s="3524"/>
      <c r="J1" s="3524"/>
      <c r="K1" s="3524"/>
      <c r="L1" s="3524"/>
      <c r="N1" s="3524" t="s">
        <v>1060</v>
      </c>
      <c r="O1" s="3524"/>
      <c r="P1" s="3524"/>
      <c r="Q1" s="3524"/>
      <c r="S1" s="3524" t="s">
        <v>1061</v>
      </c>
      <c r="T1" s="3524"/>
      <c r="U1" s="3524"/>
      <c r="V1" s="3524"/>
      <c r="X1" s="3523" t="s">
        <v>1062</v>
      </c>
      <c r="Y1" s="3524"/>
      <c r="Z1" s="3524"/>
      <c r="AA1" s="3524"/>
      <c r="AB1" s="3524"/>
      <c r="AD1" s="3523" t="s">
        <v>1063</v>
      </c>
      <c r="AE1" s="3524"/>
      <c r="AF1" s="3524"/>
      <c r="AG1" s="3524"/>
      <c r="AH1" s="352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2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7" t="s">
        <v>2765</v>
      </c>
      <c r="D1" s="3538"/>
      <c r="E1" s="3538"/>
      <c r="F1" s="3538"/>
      <c r="G1" s="3538"/>
      <c r="H1" s="3538"/>
      <c r="I1" s="3538"/>
      <c r="J1" s="3538"/>
      <c r="K1" s="3538"/>
      <c r="L1" s="3538"/>
      <c r="M1" s="3538"/>
      <c r="N1" s="3538"/>
      <c r="O1" s="3538"/>
      <c r="P1" s="3538"/>
      <c r="Q1" s="3538"/>
      <c r="R1" s="3538"/>
      <c r="S1" s="353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648"/>
      <c r="B4" s="3211" t="s">
        <v>1535</v>
      </c>
      <c r="C4" s="3211"/>
      <c r="D4" s="3211"/>
      <c r="E4" s="1648"/>
    </row>
    <row r="5" spans="1:5" ht="16.5" thickTop="1">
      <c r="A5" s="1646"/>
      <c r="B5" s="3209" t="s">
        <v>1527</v>
      </c>
      <c r="C5" s="1649" t="s">
        <v>1528</v>
      </c>
      <c r="D5" s="959" t="e">
        <f ca="1">结果表!H101</f>
        <v>#REF!</v>
      </c>
      <c r="E5" s="1646"/>
    </row>
    <row r="6" spans="1:5" ht="15.75">
      <c r="A6" s="1646"/>
      <c r="B6" s="3209"/>
      <c r="C6" s="1649" t="s">
        <v>1529</v>
      </c>
      <c r="D6" s="959" t="e">
        <f ca="1">NUMBERSTRING(INT(D5*10000),2)&amp;"元整"</f>
        <v>#REF!</v>
      </c>
      <c r="E6" s="1646"/>
    </row>
    <row r="7" spans="1:5" ht="15.75">
      <c r="A7" s="1646"/>
      <c r="B7" s="3214"/>
      <c r="C7" s="1650" t="s">
        <v>1530</v>
      </c>
      <c r="D7" s="960" t="e">
        <f ca="1">结果表!H102</f>
        <v>#REF!</v>
      </c>
      <c r="E7" s="1646"/>
    </row>
    <row r="8" spans="1:5" ht="15.75">
      <c r="A8" s="1646"/>
      <c r="B8" s="3215" t="str">
        <f>结果表!E103</f>
        <v>2.估价师知悉的法定优先受偿款</v>
      </c>
      <c r="C8" s="1651" t="s">
        <v>1531</v>
      </c>
      <c r="D8" s="960">
        <f>结果表!H103</f>
        <v>0</v>
      </c>
      <c r="E8" s="1646"/>
    </row>
    <row r="9" spans="1:5" ht="15.75">
      <c r="A9" s="1646"/>
      <c r="B9" s="321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8" t="str">
        <f>结果表!E107</f>
        <v>3.房地产抵押价值</v>
      </c>
      <c r="C13" s="1654" t="s">
        <v>1528</v>
      </c>
      <c r="D13" s="962" t="e">
        <f ca="1">结果表!H107</f>
        <v>#REF!</v>
      </c>
      <c r="E13" s="1646"/>
    </row>
    <row r="14" spans="1:5" ht="15.75">
      <c r="A14" s="1646"/>
      <c r="B14" s="3209"/>
      <c r="C14" s="1649" t="s">
        <v>1529</v>
      </c>
      <c r="D14" s="959" t="e">
        <f ca="1">NUMBERSTRING(INT(D13*10000),2)&amp;"元整"</f>
        <v>#REF!</v>
      </c>
      <c r="E14" s="1646"/>
    </row>
    <row r="15" spans="1:5" ht="15">
      <c r="A15" s="1646"/>
      <c r="B15" s="3214"/>
      <c r="C15" s="1650" t="s">
        <v>1539</v>
      </c>
      <c r="D15" s="968" t="e">
        <f ca="1">结果表!H108</f>
        <v>#REF!</v>
      </c>
      <c r="E15" s="1646"/>
    </row>
    <row r="16" spans="1:5" ht="15">
      <c r="A16" s="1646"/>
      <c r="B16" s="3215" t="str">
        <f>结果表!E109</f>
        <v>——</v>
      </c>
      <c r="C16" s="1654" t="s">
        <v>1540</v>
      </c>
      <c r="D16" s="1655" t="str">
        <f>结果表!H109</f>
        <v>——</v>
      </c>
      <c r="E16" s="1646"/>
    </row>
    <row r="17" spans="1:5" ht="15.75">
      <c r="A17" s="1646"/>
      <c r="B17" s="3216"/>
      <c r="C17" s="1649" t="s">
        <v>1541</v>
      </c>
      <c r="D17" s="959" t="e">
        <f>NUMBERSTRING(INT(D16*10000),2)&amp;"元整"</f>
        <v>#VALUE!</v>
      </c>
      <c r="E17" s="1646"/>
    </row>
    <row r="18" spans="1:5" ht="15">
      <c r="A18" s="1646"/>
      <c r="B18" s="3217"/>
      <c r="C18" s="1650" t="s">
        <v>1530</v>
      </c>
      <c r="D18" s="968" t="str">
        <f>结果表!H110</f>
        <v>——</v>
      </c>
      <c r="E18" s="1646"/>
    </row>
    <row r="19" spans="1:5" ht="15.75">
      <c r="A19" s="1646"/>
      <c r="B19" s="3208" t="str">
        <f>结果表!E111</f>
        <v>——</v>
      </c>
      <c r="C19" s="1654" t="s">
        <v>1528</v>
      </c>
      <c r="D19" s="960" t="str">
        <f>结果表!H111</f>
        <v>——</v>
      </c>
      <c r="E19" s="1646"/>
    </row>
    <row r="20" spans="1:5" ht="15.75">
      <c r="A20" s="1646"/>
      <c r="B20" s="3209"/>
      <c r="C20" s="1649" t="s">
        <v>1541</v>
      </c>
      <c r="D20" s="959" t="e">
        <f>NUMBERSTRING(INT(D19*10000),2)&amp;"元整"</f>
        <v>#VALUE!</v>
      </c>
      <c r="E20" s="1646"/>
    </row>
    <row r="21" spans="1:5" ht="15.75" thickBot="1">
      <c r="A21" s="1646"/>
      <c r="B21" s="321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27437</v>
      </c>
      <c r="C2" s="2" t="s">
        <v>133</v>
      </c>
      <c r="D2" s="205"/>
      <c r="E2" s="205"/>
      <c r="F2" s="205"/>
      <c r="G2" s="205"/>
    </row>
    <row r="3" spans="1:7" s="206" customFormat="1" ht="18" customHeight="1" thickBot="1">
      <c r="A3" s="209" t="s">
        <v>85</v>
      </c>
      <c r="B3" s="210">
        <f ca="1">ROUND(B2*10000/'数据-汇总表'!E3,0)</f>
        <v>211080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26</v>
      </c>
      <c r="D10" s="954">
        <f>'数据-汇总表'!E6</f>
        <v>1299.8399999999999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v>
      </c>
      <c r="D19" s="958">
        <f>'数据-汇总表'!E3</f>
        <v>1299.8399999999999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876</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3157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260</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26</v>
      </c>
      <c r="D37" s="223">
        <f>'数据-汇总表'!E3</f>
        <v>1299.8399999999999</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v>
      </c>
      <c r="D42" s="244"/>
      <c r="E42" s="244"/>
      <c r="F42" s="245"/>
      <c r="G42" s="3396" t="s">
        <v>121</v>
      </c>
    </row>
    <row r="43" spans="1:7" ht="13.5" customHeight="1">
      <c r="A43" s="888" t="s">
        <v>792</v>
      </c>
      <c r="B43" s="221" t="s">
        <v>1032</v>
      </c>
      <c r="C43" s="244">
        <f ca="1">ROUND(IF('数据-取费表'!B22&lt;=1,C39*F22*'数据-取费表'!B21/2,C39*(POWER((1+F22),'数据-取费表'!B21/2)-1)),0)</f>
        <v>0</v>
      </c>
      <c r="D43" s="244"/>
      <c r="E43" s="244"/>
      <c r="F43" s="245"/>
      <c r="G43" s="3397"/>
    </row>
    <row r="44" spans="1:7" ht="13.5" customHeight="1">
      <c r="A44" s="888" t="s">
        <v>793</v>
      </c>
      <c r="B44" s="221" t="s">
        <v>1034</v>
      </c>
      <c r="C44" s="244">
        <f ca="1">ROUND(IF('数据-取费表'!B22&lt;=1,C40*F22*'数据-取费表'!B21/2,C40*(POWER((1+F22),'数据-取费表'!B21/2)-1)),4)</f>
        <v>4.0000000000000002E-4</v>
      </c>
      <c r="D44" s="244"/>
      <c r="E44" s="244"/>
      <c r="F44" s="245"/>
      <c r="G44" s="3398"/>
    </row>
    <row r="45" spans="1:7" s="220" customFormat="1" ht="13.5" customHeight="1">
      <c r="A45" s="885" t="s">
        <v>786</v>
      </c>
      <c r="B45" s="250" t="s">
        <v>112</v>
      </c>
      <c r="C45" s="251">
        <f>C46</f>
        <v>46</v>
      </c>
      <c r="D45" s="241">
        <f>C47</f>
        <v>3.0000000000000001E-3</v>
      </c>
      <c r="E45" s="242" t="s">
        <v>129</v>
      </c>
      <c r="F45" s="252"/>
      <c r="G45" s="253" t="s">
        <v>1040</v>
      </c>
    </row>
    <row r="46" spans="1:7" s="220" customFormat="1" ht="13.5" customHeight="1">
      <c r="A46" s="888" t="s">
        <v>794</v>
      </c>
      <c r="B46" s="254" t="s">
        <v>1033</v>
      </c>
      <c r="C46" s="255">
        <f>ROUND((C33+C39)*F27,0)</f>
        <v>46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386</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270</v>
      </c>
      <c r="D51" s="238"/>
      <c r="E51" s="238"/>
      <c r="F51" s="270"/>
      <c r="G51" s="240" t="s">
        <v>64</v>
      </c>
    </row>
    <row r="52" spans="1:7" s="214" customFormat="1" ht="16.5" thickBot="1">
      <c r="A52" s="271" t="s">
        <v>65</v>
      </c>
      <c r="B52" s="272"/>
      <c r="C52" s="273">
        <f ca="1">C31+C51</f>
        <v>27437</v>
      </c>
      <c r="D52" s="272"/>
      <c r="E52" s="272"/>
      <c r="F52" s="272"/>
      <c r="G52" s="274"/>
    </row>
    <row r="55" spans="1:7" ht="15">
      <c r="B55" s="276" t="s">
        <v>66</v>
      </c>
      <c r="C55" s="277"/>
    </row>
    <row r="56" spans="1:7">
      <c r="B56" s="279" t="s">
        <v>67</v>
      </c>
      <c r="C56" s="280">
        <f ca="1">ROUND(C51/C52,3)</f>
        <v>0.01</v>
      </c>
    </row>
    <row r="57" spans="1:7">
      <c r="B57" s="279" t="s">
        <v>68</v>
      </c>
      <c r="C57" s="281">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0" t="s">
        <v>839</v>
      </c>
      <c r="B1" s="35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1546</v>
      </c>
      <c r="B2" s="3219" t="s">
        <v>1547</v>
      </c>
      <c r="C2" s="3219" t="s">
        <v>1548</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
      <c r="A3" s="3220"/>
      <c r="B3" s="3220"/>
      <c r="C3" s="3220"/>
      <c r="D3" s="963" t="s">
        <v>1543</v>
      </c>
      <c r="E3" s="963" t="s">
        <v>1549</v>
      </c>
      <c r="F3" s="963" t="s">
        <v>1543</v>
      </c>
      <c r="G3" s="963" t="s">
        <v>1544</v>
      </c>
      <c r="H3" s="963" t="s">
        <v>1543</v>
      </c>
      <c r="I3" s="963" t="s">
        <v>1544</v>
      </c>
    </row>
    <row r="4" spans="1:9" ht="15">
      <c r="A4" s="1660" t="str">
        <f>项目基本情况!S2</f>
        <v>房地产</v>
      </c>
      <c r="B4" s="963">
        <f>项目基本情况!C17</f>
        <v>1299.8399999999999</v>
      </c>
      <c r="C4" s="963">
        <f>项目基本情况!C18</f>
        <v>5499.09</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0" t="s">
        <v>1545</v>
      </c>
      <c r="B5" s="3220"/>
      <c r="C5" s="3220"/>
      <c r="D5" s="3221" t="e">
        <f ca="1">结果表!D119</f>
        <v>#REF!</v>
      </c>
      <c r="E5" s="3221"/>
      <c r="F5" s="3221" t="e">
        <f ca="1">结果表!F119</f>
        <v>#REF!</v>
      </c>
      <c r="G5" s="3221"/>
      <c r="H5" s="3221" t="e">
        <f ca="1">结果表!H119</f>
        <v>#REF!</v>
      </c>
      <c r="I5" s="3221"/>
    </row>
    <row r="6" spans="1:9" ht="15.75">
      <c r="A6" s="3222" t="str">
        <f>结果表!A120</f>
        <v>估价师知悉的法定优先受偿款</v>
      </c>
      <c r="B6" s="3222"/>
      <c r="C6" s="3222"/>
      <c r="D6" s="3222">
        <f>结果表!D120</f>
        <v>0</v>
      </c>
      <c r="E6" s="3222"/>
      <c r="F6" s="3222"/>
      <c r="G6" s="3222"/>
      <c r="H6" s="3222"/>
      <c r="I6" s="3222"/>
    </row>
    <row r="7" spans="1:9" ht="15">
      <c r="A7" s="3220" t="s">
        <v>1545</v>
      </c>
      <c r="B7" s="3220"/>
      <c r="C7" s="3220"/>
      <c r="D7" s="3223" t="str">
        <f>结果表!D121</f>
        <v>零元整</v>
      </c>
      <c r="E7" s="3224"/>
      <c r="F7" s="3224"/>
      <c r="G7" s="3224"/>
      <c r="H7" s="3224"/>
      <c r="I7" s="3225"/>
    </row>
    <row r="8" spans="1:9" ht="15.75">
      <c r="A8" s="3222" t="str">
        <f>结果表!A122</f>
        <v>房地产抵押价值</v>
      </c>
      <c r="B8" s="3222"/>
      <c r="C8" s="3222"/>
      <c r="D8" s="3222" t="e">
        <f ca="1">结果表!D122</f>
        <v>#REF!</v>
      </c>
      <c r="E8" s="3222"/>
      <c r="F8" s="3222"/>
      <c r="G8" s="3222"/>
      <c r="H8" s="3222"/>
      <c r="I8" s="3222"/>
    </row>
    <row r="9" spans="1:9" ht="15">
      <c r="A9" s="3220" t="s">
        <v>1545</v>
      </c>
      <c r="B9" s="3220"/>
      <c r="C9" s="3220"/>
      <c r="D9" s="3221" t="e">
        <f ca="1">结果表!D123</f>
        <v>#REF!</v>
      </c>
      <c r="E9" s="3221"/>
      <c r="F9" s="3221"/>
      <c r="G9" s="3221"/>
      <c r="H9" s="3221"/>
      <c r="I9" s="3221"/>
    </row>
    <row r="10" spans="1:9" ht="15.75">
      <c r="A10" s="3222" t="str">
        <f>结果表!A124</f>
        <v/>
      </c>
      <c r="B10" s="3222"/>
      <c r="C10" s="3222"/>
      <c r="D10" s="3222" t="str">
        <f>结果表!D124</f>
        <v>——</v>
      </c>
      <c r="E10" s="3222"/>
      <c r="F10" s="3222"/>
      <c r="G10" s="3222"/>
      <c r="H10" s="3222"/>
      <c r="I10" s="3222"/>
    </row>
    <row r="11" spans="1:9" ht="15">
      <c r="A11" s="3220" t="s">
        <v>1545</v>
      </c>
      <c r="B11" s="3220"/>
      <c r="C11" s="3220"/>
      <c r="D11" s="3221" t="e">
        <f>结果表!D125</f>
        <v>#VALUE!</v>
      </c>
      <c r="E11" s="3221"/>
      <c r="F11" s="3221"/>
      <c r="G11" s="3221"/>
      <c r="H11" s="3221"/>
      <c r="I11" s="3221"/>
    </row>
    <row r="12" spans="1:9" ht="15.75">
      <c r="A12" s="3222" t="str">
        <f>结果表!A126</f>
        <v/>
      </c>
      <c r="B12" s="3222"/>
      <c r="C12" s="3222"/>
      <c r="D12" s="3222" t="str">
        <f>结果表!D126</f>
        <v>——</v>
      </c>
      <c r="E12" s="3222"/>
      <c r="F12" s="3222"/>
      <c r="G12" s="3222"/>
      <c r="H12" s="3222"/>
      <c r="I12" s="3222"/>
    </row>
    <row r="13" spans="1:9" ht="15.75" thickBot="1">
      <c r="A13" s="3226" t="s">
        <v>1545</v>
      </c>
      <c r="B13" s="3226"/>
      <c r="C13" s="3226"/>
      <c r="D13" s="3227" t="e">
        <f>结果表!D127</f>
        <v>#VALUE!</v>
      </c>
      <c r="E13" s="3227"/>
      <c r="F13" s="3227"/>
      <c r="G13" s="3227"/>
      <c r="H13" s="3227"/>
      <c r="I13" s="3227"/>
    </row>
    <row r="14" spans="1:9" ht="15" thickTop="1">
      <c r="A14" s="3228" t="s">
        <v>1550</v>
      </c>
      <c r="B14" s="3228"/>
      <c r="C14" s="3228"/>
      <c r="D14" s="3228"/>
      <c r="E14" s="3228"/>
      <c r="F14" s="3228"/>
      <c r="G14" s="3228"/>
      <c r="H14" s="3228"/>
      <c r="I14" s="322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29" t="s">
        <v>1567</v>
      </c>
      <c r="B1" s="3229"/>
      <c r="C1" s="3229"/>
      <c r="D1" s="3229"/>
    </row>
    <row r="2" spans="1:4" ht="18">
      <c r="A2" s="3230" t="s">
        <v>1551</v>
      </c>
      <c r="B2" s="3230"/>
      <c r="C2" s="3230"/>
      <c r="D2" s="3230"/>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0" t="s">
        <v>1557</v>
      </c>
      <c r="B6" s="3230"/>
      <c r="C6" s="3230"/>
      <c r="D6" s="323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1"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1561</v>
      </c>
      <c r="B16" s="3235"/>
      <c r="C16" s="3235"/>
      <c r="D16" s="3235"/>
    </row>
    <row r="17" spans="1:4" ht="144" customHeight="1">
      <c r="A17" s="3235" t="s">
        <v>1562</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1563</v>
      </c>
      <c r="B22" s="3237"/>
      <c r="C22" s="3237"/>
      <c r="D22" s="323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3" t="s">
        <v>1574</v>
      </c>
      <c r="B15" s="3238" t="s">
        <v>136</v>
      </c>
      <c r="C15" s="3239"/>
    </row>
    <row r="16" spans="1:7" ht="13.5">
      <c r="A16" s="3244"/>
      <c r="B16" s="3238" t="s">
        <v>69</v>
      </c>
      <c r="C16" s="3239"/>
    </row>
    <row r="17" spans="1:3" ht="13.5">
      <c r="A17" s="3244"/>
      <c r="B17" s="3241" t="s">
        <v>1575</v>
      </c>
      <c r="C17" s="1687" t="s">
        <v>1574</v>
      </c>
    </row>
    <row r="18" spans="1:3" ht="13.5">
      <c r="A18" s="3244"/>
      <c r="B18" s="3241"/>
      <c r="C18" s="1687" t="s">
        <v>1576</v>
      </c>
    </row>
    <row r="19" spans="1:3" ht="13.5">
      <c r="A19" s="3244"/>
      <c r="B19" s="3241"/>
      <c r="C19" s="1687" t="s">
        <v>1577</v>
      </c>
    </row>
    <row r="20" spans="1:3" ht="13.5">
      <c r="A20" s="3245"/>
      <c r="B20" s="3240" t="s">
        <v>1578</v>
      </c>
      <c r="C20" s="3239"/>
    </row>
    <row r="21" spans="1:3" ht="13.5">
      <c r="A21" s="1688" t="s">
        <v>1579</v>
      </c>
      <c r="B21" s="1689"/>
      <c r="C21" s="1690"/>
    </row>
    <row r="22" spans="1:3" ht="13.5">
      <c r="A22" s="3242" t="s">
        <v>1580</v>
      </c>
      <c r="B22" s="3240" t="s">
        <v>1581</v>
      </c>
      <c r="C22" s="3239"/>
    </row>
    <row r="23" spans="1:3" ht="13.5">
      <c r="A23" s="3242"/>
      <c r="B23" s="3240" t="s">
        <v>1582</v>
      </c>
      <c r="C23" s="3239"/>
    </row>
    <row r="24" spans="1:3" ht="13.5">
      <c r="A24" s="3242"/>
      <c r="B24" s="3240" t="s">
        <v>1583</v>
      </c>
      <c r="C24" s="3239"/>
    </row>
    <row r="25" spans="1:3" ht="13.5">
      <c r="A25" s="3242"/>
      <c r="B25" s="3241" t="s">
        <v>1584</v>
      </c>
      <c r="C25" s="1687" t="s">
        <v>1585</v>
      </c>
    </row>
    <row r="26" spans="1:3" ht="13.5">
      <c r="A26" s="3242"/>
      <c r="B26" s="3241"/>
      <c r="C26" s="1687" t="s">
        <v>1586</v>
      </c>
    </row>
    <row r="27" spans="1:3" ht="13.5">
      <c r="A27" s="3242"/>
      <c r="B27" s="3241"/>
      <c r="C27" s="1687" t="s">
        <v>1587</v>
      </c>
    </row>
    <row r="28" spans="1:3" ht="13.5">
      <c r="A28" s="3242"/>
      <c r="B28" s="3241"/>
      <c r="C28" s="1687" t="s">
        <v>1588</v>
      </c>
    </row>
    <row r="29" spans="1:3" ht="13.5">
      <c r="A29" s="3242"/>
      <c r="B29" s="3241"/>
      <c r="C29" s="1687" t="s">
        <v>1589</v>
      </c>
    </row>
    <row r="30" spans="1:3" ht="13.5">
      <c r="A30" s="3242"/>
      <c r="B30" s="3241"/>
      <c r="C30" s="1687" t="s">
        <v>1590</v>
      </c>
    </row>
    <row r="31" spans="1:3" ht="13.5">
      <c r="A31" s="3242"/>
      <c r="B31" s="3241"/>
      <c r="C31" s="1687" t="s">
        <v>1591</v>
      </c>
    </row>
    <row r="32" spans="1:3" ht="13.5">
      <c r="A32" s="3242"/>
      <c r="B32" s="3241"/>
      <c r="C32" s="1687" t="s">
        <v>1592</v>
      </c>
    </row>
    <row r="33" spans="1:3" ht="13.5">
      <c r="A33" s="3242"/>
      <c r="B33" s="324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44638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6" t="s">
        <v>2842</v>
      </c>
      <c r="B17" s="3246"/>
      <c r="C17" s="3246"/>
      <c r="D17" s="3246"/>
      <c r="E17" s="3246"/>
      <c r="F17" s="3246"/>
      <c r="G17" s="3246"/>
      <c r="H17" s="3246"/>
    </row>
    <row r="18" spans="1:8" ht="24" customHeight="1">
      <c r="A18" s="3247" t="s">
        <v>2843</v>
      </c>
      <c r="B18" s="3247"/>
      <c r="C18" s="3247"/>
      <c r="D18" s="2536"/>
      <c r="E18" s="3248" t="s">
        <v>2844</v>
      </c>
      <c r="F18" s="3247"/>
      <c r="G18" s="324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2022-03-18T07:32:52Z</dcterms:modified>
</cp:coreProperties>
</file>