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36" windowWidth="11388" windowHeight="946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比较法-商业" sheetId="33" state="hidden" r:id="rId21"/>
    <sheet name="收益法办公" sheetId="15" r:id="rId22"/>
    <sheet name="收益法 (元)" sheetId="67" state="hidden" r:id="rId23"/>
    <sheet name="成本法 (元)" sheetId="69" state="hidden" r:id="rId24"/>
    <sheet name="假设开发法" sheetId="12" state="hidden" r:id="rId25"/>
    <sheet name="收益法车库" sheetId="80" r:id="rId26"/>
    <sheet name="收益法（汇总）" sheetId="70"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土地案例" sheetId="78" r:id="rId47"/>
    <sheet name="面积明细"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收益法办公!$A$1:$AK$69</definedName>
    <definedName name="_xlnm.Print_Area" localSheetId="25">收益法车库!$A$1:$AK$69</definedName>
    <definedName name="_xlnm.Print_Area" localSheetId="13">'数据-汇总表'!$A$1:$P$32</definedName>
    <definedName name="八级">区片价!$O$1:$O$40</definedName>
    <definedName name="办公层高" localSheetId="47">'[1]比较法-办公'!$B$119:$M$119</definedName>
    <definedName name="办公层高">'比较法-办公'!$B$119:$M$119</definedName>
    <definedName name="办公朝向" localSheetId="47">'[1]比较法-办公'!$B$91:$M$91</definedName>
    <definedName name="办公朝向">'比较法-办公'!$B$91:$M$91</definedName>
    <definedName name="办公道路级别" localSheetId="47">'[1]比较法-办公'!$B$87:$M$87</definedName>
    <definedName name="办公道路级别">'比较法-办公'!$B$87:$M$87</definedName>
    <definedName name="办公公共部分装修" localSheetId="47">'[1]比较法-办公'!$B$108:$M$108</definedName>
    <definedName name="办公公共部分装修">'比较法-办公'!$B$108:$M$108</definedName>
    <definedName name="办公基础设施水平" localSheetId="47">'[1]比较法-办公'!$B$117:$M$117</definedName>
    <definedName name="办公基础设施水平">'比较法-办公'!$B$117:$M$117</definedName>
    <definedName name="办公集聚程度" localSheetId="47">[1]定义!$M$1:$M$6</definedName>
    <definedName name="办公集聚程度">定义!$M$1:$M$6</definedName>
    <definedName name="办公建筑结构" localSheetId="47">'[1]比较法-办公'!$B$106:$M$106</definedName>
    <definedName name="办公建筑结构">'比较法-办公'!$B$106:$M$106</definedName>
    <definedName name="办公建筑类型" localSheetId="47">'[1]比较法-办公'!$B$101:$M$101</definedName>
    <definedName name="办公建筑类型">'比较法-办公'!$B$101:$M$101</definedName>
    <definedName name="办公交易情况" localSheetId="47">'[1]比较法-办公'!$A$62:$M$62</definedName>
    <definedName name="办公交易情况">'比较法-办公'!$A$62:$M$62</definedName>
    <definedName name="办公楼层" localSheetId="47">'[1]比较法-办公'!$B$89:$M$89</definedName>
    <definedName name="办公楼层">'比较法-办公'!$B$89:$M$89</definedName>
    <definedName name="办公内部装修" localSheetId="47">'[1]比较法-办公'!$B$123:$M$123</definedName>
    <definedName name="办公内部装修">'比较法-办公'!$B$123:$M$123</definedName>
    <definedName name="办公物业管理" localSheetId="47">'[1]比较法-办公'!$B$115:$M$115</definedName>
    <definedName name="办公物业管理">'比较法-办公'!$B$115:$M$115</definedName>
    <definedName name="办公用途" localSheetId="47">'[1]比较法-办公'!$B$64:$M$64</definedName>
    <definedName name="办公用途">'比较法-办公'!$B$64:$M$64</definedName>
    <definedName name="仓储公共部分装修" localSheetId="47">'[1]比较法-仓储'!$B$77:$M$77</definedName>
    <definedName name="仓储公共部分装修">'比较法-仓储'!$B$77:$M$77</definedName>
    <definedName name="仓储交易情况" localSheetId="47">'[1]比较法-仓储'!$A$49:$M$49</definedName>
    <definedName name="仓储交易情况">'比较法-仓储'!$A$49:$M$49</definedName>
    <definedName name="仓储楼层" localSheetId="47">'[1]比较法-仓储'!$B$69:$M$69</definedName>
    <definedName name="仓储楼层">'比较法-仓储'!$B$69:$M$69</definedName>
    <definedName name="仓储物业等级" localSheetId="47">'[1]比较法-仓储'!$B$82:$M$82</definedName>
    <definedName name="仓储物业等级">'比较法-仓储'!$B$82:$M$82</definedName>
    <definedName name="仓储用途" localSheetId="47">'[1]比较法-仓储'!$B$51:$M$51</definedName>
    <definedName name="仓储用途">'比较法-仓储'!$B$51:$M$51</definedName>
    <definedName name="产业集聚程度" localSheetId="47">[1]定义!$N$1:$N$6</definedName>
    <definedName name="产业集聚程度">定义!$N$1:$N$6</definedName>
    <definedName name="车位公共部分装修" localSheetId="47">'[1]比较法-车位'!$B$83:$M$83</definedName>
    <definedName name="车位公共部分装修">'比较法-车位'!$B$83:$M$83</definedName>
    <definedName name="车位交易情况" localSheetId="47">'[1]比较法-车位'!$A$51:$M$51</definedName>
    <definedName name="车位交易情况">'比较法-车位'!$A$51:$M$51</definedName>
    <definedName name="车位类型" localSheetId="47">'[1]比较法-车位'!$B$93:$M$93</definedName>
    <definedName name="车位类型">'比较法-车位'!$B$93:$M$93</definedName>
    <definedName name="车位楼层" localSheetId="47">'[1]比较法-车位'!$B$71:$M$71</definedName>
    <definedName name="车位楼层">'比较法-车位'!$B$71:$M$71</definedName>
    <definedName name="车位配套类型" localSheetId="47">'[1]比较法-车位'!$B$79:$M$79</definedName>
    <definedName name="车位配套类型">'比较法-车位'!$B$79:$M$79</definedName>
    <definedName name="车位物业等级" localSheetId="47">'[1]比较法-车位'!$B$88:$M$88</definedName>
    <definedName name="车位物业等级">'比较法-车位'!$B$88:$M$88</definedName>
    <definedName name="车位用途" localSheetId="47">'[1]比较法-车位'!$B$53:$M$53</definedName>
    <definedName name="车位用途">'比较法-车位'!$B$53:$M$53</definedName>
    <definedName name="城镇土地纳税等级分级范围" localSheetId="47">'[1]数据-取费表'!$A$53:$A$63</definedName>
    <definedName name="城镇土地纳税等级分级范围">'数据-取费表'!$A$53:$A$63</definedName>
    <definedName name="单价内涵" localSheetId="47">[1]定义!$V$1:$V$3</definedName>
    <definedName name="单价内涵">定义!$V$1:$V$3</definedName>
    <definedName name="地类判定" localSheetId="47">[1]定义!$H$1:$H$9</definedName>
    <definedName name="地类判定">定义!$H$1:$H$9</definedName>
    <definedName name="二级">区片价!$I$1:$I$20</definedName>
    <definedName name="二级分类" localSheetId="47">[1]修正!$C$17:$C$39</definedName>
    <definedName name="二级分类">修正!$C$17:$C$39</definedName>
    <definedName name="法定最高年限" localSheetId="47">[1]定义!$G$1:$G$4</definedName>
    <definedName name="法定最高年限">定义!$G$1:$G$4</definedName>
    <definedName name="工业公共部分装修" localSheetId="47">'[1]比较法-工业'!$B$95:$M$95</definedName>
    <definedName name="工业公共部分装修">'比较法-工业'!$B$95:$M$95</definedName>
    <definedName name="工业基础设施水平" localSheetId="47">'[1]比较法-工业'!$B$102:$M$102</definedName>
    <definedName name="工业基础设施水平">'比较法-工业'!$B$102:$M$102</definedName>
    <definedName name="工业建筑结构" localSheetId="47">'[1]比较法-工业'!$B$93:$M$93</definedName>
    <definedName name="工业建筑结构">'比较法-工业'!$B$93:$M$93</definedName>
    <definedName name="工业建筑类型" localSheetId="47">'[1]比较法-工业'!$B$88:$M$88</definedName>
    <definedName name="工业建筑类型">'比较法-工业'!$B$88:$M$88</definedName>
    <definedName name="工业交易情况" localSheetId="47">'[1]比较法-工业'!$A$55:$M$55</definedName>
    <definedName name="工业交易情况">'比较法-工业'!$A$55:$M$55</definedName>
    <definedName name="工业内部装修" localSheetId="47">'[1]比较法-工业'!$B$104:$M$104</definedName>
    <definedName name="工业内部装修">'比较法-工业'!$B$104:$M$104</definedName>
    <definedName name="工业物业管理" localSheetId="47">'[1]比较法-工业'!$B$100:$M$100</definedName>
    <definedName name="工业物业管理">'比较法-工业'!$B$100:$M$100</definedName>
    <definedName name="工业用途" localSheetId="47">'[1]比较法-工业'!$B$57:$M$57</definedName>
    <definedName name="工业用途">'比较法-工业'!$B$57:$M$57</definedName>
    <definedName name="公共配套设施" localSheetId="47">[1]定义!$Q$1:$Q$6</definedName>
    <definedName name="公共配套设施">定义!$Q$1:$Q$6</definedName>
    <definedName name="估价方法" localSheetId="47">[1]定义!$B$1:$B$50</definedName>
    <definedName name="估价方法">定义!$B$1:$B$50</definedName>
    <definedName name="环境" localSheetId="47">[1]定义!$S$1:$S$6</definedName>
    <definedName name="环境">定义!$S$1:$S$6</definedName>
    <definedName name="基础设施水平" localSheetId="47">[1]定义!$R$1:$R$6</definedName>
    <definedName name="基础设施水平">定义!$R$1:$R$6</definedName>
    <definedName name="季度">基准地价修正!$Q$19:$AD$19</definedName>
    <definedName name="价值类型2" localSheetId="47">[1]定义!$B$54:$B$56</definedName>
    <definedName name="价值类型2">定义!$B$54:$B$56</definedName>
    <definedName name="交通便捷度" localSheetId="47">[1]定义!$O$1:$O$6</definedName>
    <definedName name="交通便捷度">定义!$O$1:$O$6</definedName>
    <definedName name="九级">区片价!$P$1:$P$46</definedName>
    <definedName name="居住社区成熟度" localSheetId="47">[1]定义!$K$1:$K$6</definedName>
    <definedName name="居住社区成熟度">定义!$K$1:$K$6</definedName>
    <definedName name="类别" localSheetId="47">[1]定义!$J$1:$J$3</definedName>
    <definedName name="类别">定义!$J$1:$J$3</definedName>
    <definedName name="临街状况" localSheetId="47">[1]定义!$T$1:$T$5</definedName>
    <definedName name="临街状况">定义!$T$1:$T$5</definedName>
    <definedName name="六级">区片价!$M$1:$M$49</definedName>
    <definedName name="内部装修维护情况" localSheetId="47">[1]定义!$U$1:$U$6</definedName>
    <definedName name="内部装修维护情况">定义!$U$1:$U$6</definedName>
    <definedName name="判定" localSheetId="47">[1]定义!$D$1:$D$4</definedName>
    <definedName name="判定">定义!$D$1:$D$4</definedName>
    <definedName name="七级">区片价!$N$1:$N$49</definedName>
    <definedName name="七通一平" localSheetId="47">[1]修正!$A$6:$A$14</definedName>
    <definedName name="七通一平">修正!$A$6:$A$14</definedName>
    <definedName name="区域土地利用方向" localSheetId="47">[1]定义!$P$1:$P$6</definedName>
    <definedName name="区域土地利用方向">定义!$P$1:$P$6</definedName>
    <definedName name="三级">区片价!$J$1:$J$21</definedName>
    <definedName name="商业层高" localSheetId="47">'[1]比较法-商业'!$B$116:$M$116</definedName>
    <definedName name="商业层高">'比较法-商业'!$B$116:$M$116</definedName>
    <definedName name="商业成新度">'比较法-商业'!$B$109:$M$109</definedName>
    <definedName name="商业繁华度" localSheetId="47">[1]定义!$L$1:$L$6</definedName>
    <definedName name="商业繁华度">定义!$L$1:$L$6</definedName>
    <definedName name="商业公共部分装修" localSheetId="47">'[1]比较法-商业'!$B$107:$M$107</definedName>
    <definedName name="商业公共部分装修">'比较法-商业'!$B$107:$M$107</definedName>
    <definedName name="商业基础设施水平" localSheetId="47">'[1]比较法-商业'!$B$112:$M$112</definedName>
    <definedName name="商业基础设施水平">'比较法-商业'!$B$112:$M$112</definedName>
    <definedName name="商业建筑结构" localSheetId="47">'[1]比较法-商业'!$B$105:$M$105</definedName>
    <definedName name="商业建筑结构">'比较法-商业'!$B$105:$M$105</definedName>
    <definedName name="商业交易情况" localSheetId="47">'[1]比较法-商业'!$A$61:$M$61</definedName>
    <definedName name="商业交易情况">'比较法-商业'!$A$61:$M$61</definedName>
    <definedName name="商业街名称" localSheetId="47">[1]修正!$C$59:$C$119</definedName>
    <definedName name="商业街名称">修正!$C$59:$C$119</definedName>
    <definedName name="商业进深比" localSheetId="47">'[1]比较法-商业'!$B$120:$M$120</definedName>
    <definedName name="商业进深比">'比较法-商业'!$B$120:$M$120</definedName>
    <definedName name="商业类型" localSheetId="47">'[1]比较法-商业'!$B$100:$M$100</definedName>
    <definedName name="商业类型">'比较法-商业'!$B$100:$M$100</definedName>
    <definedName name="商业临街状况" localSheetId="47">'[1]比较法-商业'!$B$86:$M$86</definedName>
    <definedName name="商业临街状况">'比较法-商业'!$B$86:$M$86</definedName>
    <definedName name="商业楼层" localSheetId="47">'[1]比较法-商业'!$B$92:$M$92</definedName>
    <definedName name="商业楼层">'比较法-商业'!$B$92:$M$92</definedName>
    <definedName name="商业内部装修" localSheetId="47">'[1]比较法-商业'!$B$122:$M$122</definedName>
    <definedName name="商业内部装修">'比较法-商业'!$B$122:$M$122</definedName>
    <definedName name="商业人流量" localSheetId="47">'[1]比较法-商业'!$B$90:$M$90</definedName>
    <definedName name="商业人流量">'比较法-商业'!$B$90:$M$90</definedName>
    <definedName name="商业业态" localSheetId="47">'[1]比较法-商业'!$B$114:$M$114</definedName>
    <definedName name="商业业态">'比较法-商业'!$B$114:$M$114</definedName>
    <definedName name="商业用途" localSheetId="4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'比较法-仓储'!$B$89:$M$89</definedName>
    <definedName name="是否直接入户" localSheetId="47">'[1]比较法-车位'!$B$95:$M$95</definedName>
    <definedName name="是否直接入户">'比较法-车位'!$B$95:$M$95</definedName>
    <definedName name="四级">区片价!$K$1:$K$28</definedName>
    <definedName name="套工道路等级" localSheetId="47">'[1]土地比较法-工业'!$B$97:$M$97</definedName>
    <definedName name="套工道路等级">'土地比较法-工业'!$B$97:$M$97</definedName>
    <definedName name="套工地质条件" localSheetId="47">'[1]土地比较法-工业'!$B$114:$M$114</definedName>
    <definedName name="套工地质条件">'土地比较法-工业'!$B$114:$M$114</definedName>
    <definedName name="套工交易情况" localSheetId="47">'[1]土地比较法-住宅、综合'!$A$73:$M$73</definedName>
    <definedName name="套工交易情况">'土地比较法-住宅、综合'!$A$73:$M$73</definedName>
    <definedName name="套工土地级别" localSheetId="47">'[1]土地比较法-工业'!$B$99:$M$99</definedName>
    <definedName name="套工土地级别">'土地比较法-工业'!$B$99:$M$99</definedName>
    <definedName name="套工用途" localSheetId="47">'[1]土地比较法-工业'!$B$70:$M$70</definedName>
    <definedName name="套工用途">'土地比较法-工业'!$B$70:$M$70</definedName>
    <definedName name="套工宗地开发程度" localSheetId="47">'[1]土地比较法-工业'!$B$112:$M$112</definedName>
    <definedName name="套工宗地开发程度">'土地比较法-工业'!$B$112:$M$112</definedName>
    <definedName name="套工宗地形状" localSheetId="47">'[1]土地比较法-工业'!$B$110:$M$110</definedName>
    <definedName name="套工宗地形状">'土地比较法-工业'!$B$110:$M$110</definedName>
    <definedName name="套综道路等级" localSheetId="47">'[1]土地比较法-住宅、综合'!$B$106:$M$106</definedName>
    <definedName name="套综道路等级">'土地比较法-住宅、综合'!$B$106:$M$106</definedName>
    <definedName name="套综工程地质条件" localSheetId="47">'[1]土地比较法-住宅、综合'!$B$125:$M$125</definedName>
    <definedName name="套综工程地质条件">'土地比较法-住宅、综合'!$B$125:$M$125</definedName>
    <definedName name="套综交易情况" localSheetId="47">'[1]土地比较法-住宅、综合'!$A$73:$M$73</definedName>
    <definedName name="套综交易情况">'土地比较法-住宅、综合'!$A$73:$M$73</definedName>
    <definedName name="套综临街宽度及深度" localSheetId="47">'[1]土地比较法-住宅、综合'!$B$121:$M$121</definedName>
    <definedName name="套综临街宽度及深度">'土地比较法-住宅、综合'!$B$121:$M$121</definedName>
    <definedName name="套综土地级别" localSheetId="47">'[1]土地比较法-住宅、综合'!$B$108:$M$108</definedName>
    <definedName name="套综土地级别">'土地比较法-住宅、综合'!$B$108:$M$108</definedName>
    <definedName name="套综用途" localSheetId="47">'[1]土地比较法-住宅、综合'!$B$75:$M$75</definedName>
    <definedName name="套综用途">'土地比较法-住宅、综合'!$B$75:$M$75</definedName>
    <definedName name="套综宗地内开发程度" localSheetId="47">'[1]土地比较法-住宅、综合'!$B$123:$M$123</definedName>
    <definedName name="套综宗地内开发程度">'土地比较法-住宅、综合'!$B$123:$M$123</definedName>
    <definedName name="套综宗地形状" localSheetId="47">'[1]土地比较法-住宅、综合'!$B$119:$M$119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定义!$C$1:$C$14</definedName>
    <definedName name="土地利用方向">定义!$P$1:$P$6</definedName>
    <definedName name="土地年限区间" localSheetId="47">[1]定义!$I$1:$I$8</definedName>
    <definedName name="土地年限区间">定义!$I$1:$I$8</definedName>
    <definedName name="位置" localSheetId="47">[1]定义!$E$2:$E$4</definedName>
    <definedName name="位置">定义!$E$2:$E$4</definedName>
    <definedName name="五等判定" localSheetId="47">[1]定义!$W$1:$W$6</definedName>
    <definedName name="五等判定">定义!$W$1:$W$6</definedName>
    <definedName name="五级">区片价!$L$1:$L$35</definedName>
    <definedName name="项目类型" localSheetId="47">'[1]数据-汇总表'!$C$17:$C$26</definedName>
    <definedName name="项目类型">'数据-汇总表'!$C$17:$C$26</definedName>
    <definedName name="写字楼等级" localSheetId="47">'[1]比较法-办公'!$B$113:$M$113</definedName>
    <definedName name="写字楼等级">'比较法-办公'!$B$113:$M$113</definedName>
    <definedName name="一级">区片价!$H$1:$H$6</definedName>
    <definedName name="一修多修正项2" localSheetId="47">[1]典型户型修正!$5:$5</definedName>
    <definedName name="一修多修正项2">典型户型修正!$5:$5</definedName>
    <definedName name="一修多修正项3" localSheetId="47">[1]典型户型修正!$7:$7</definedName>
    <definedName name="一修多修正项3">典型户型修正!$7:$7</definedName>
    <definedName name="一修多修正项4" localSheetId="47">[1]典型户型修正!$9:$9</definedName>
    <definedName name="一修多修正项4">典型户型修正!$9:$9</definedName>
    <definedName name="一修多修正项5" localSheetId="47">[1]典型户型修正!$11:$11</definedName>
    <definedName name="一修多修正项5">典型户型修正!$11:$11</definedName>
    <definedName name="一修多修正项6" localSheetId="47">[1]典型户型修正!$13:$13</definedName>
    <definedName name="一修多修正项6">典型户型修正!$13:$13</definedName>
    <definedName name="一修多修正项7" localSheetId="47">[1]典型户型修正!$15:$15</definedName>
    <definedName name="一修多修正项7">典型户型修正!$15:$15</definedName>
    <definedName name="一修多修正项8" localSheetId="47">[1]典型户型修正!$17:$17</definedName>
    <definedName name="一修多修正项8">典型户型修正!$17:$17</definedName>
    <definedName name="用途明细" localSheetId="47">[1]定义!$A$1:$A$50</definedName>
    <definedName name="用途明细">定义!$A$1:$A$50</definedName>
    <definedName name="有无电梯" localSheetId="47">'[1]比较法-仓储'!$B$84:$M$84</definedName>
    <definedName name="有无电梯">'比较法-仓储'!$B$84:$M$84</definedName>
    <definedName name="主用途" localSheetId="47">[1]定义!$F$1:$F$10</definedName>
    <definedName name="主用途">定义!$F$1:$F$10</definedName>
    <definedName name="住宅朝向" localSheetId="47">'[1]比较法-住宅'!$B$88:$M$88</definedName>
    <definedName name="住宅朝向">'比较法-住宅'!$B$88:$M$88</definedName>
    <definedName name="住宅房型" localSheetId="47">'[1]比较法-住宅'!$B$118:$M$118</definedName>
    <definedName name="住宅房型">'比较法-住宅'!$B$118:$M$118</definedName>
    <definedName name="住宅公共部分装修" localSheetId="47">'[1]比较法-住宅'!$B$109:$M$109</definedName>
    <definedName name="住宅公共部分装修">'比较法-住宅'!$B$109:$M$109</definedName>
    <definedName name="住宅基础设施水平" localSheetId="47">'[1]比较法-住宅'!$B$116:$M$116</definedName>
    <definedName name="住宅基础设施水平">'比较法-住宅'!$B$116:$M$116</definedName>
    <definedName name="住宅建筑结构" localSheetId="47">'[1]比较法-住宅'!$B$105:$M$105</definedName>
    <definedName name="住宅建筑结构">'比较法-住宅'!$B$105:$M$105</definedName>
    <definedName name="住宅建筑类型" localSheetId="47">'[1]比较法-住宅'!$B$100:$M$100</definedName>
    <definedName name="住宅建筑类型">'比较法-住宅'!$B$100:$M$100</definedName>
    <definedName name="住宅建筑品质" localSheetId="47">'[1]比较法-住宅'!$B$107:$M$107</definedName>
    <definedName name="住宅建筑品质">'比较法-住宅'!$B$107:$M$107</definedName>
    <definedName name="住宅交易情况" localSheetId="47">'[1]比较法-住宅'!$A$61:$M$61</definedName>
    <definedName name="住宅交易情况">'比较法-住宅'!$A$61:$M$61</definedName>
    <definedName name="住宅楼层" localSheetId="47">'[1]比较法-住宅'!$B$86:$M$86</definedName>
    <definedName name="住宅楼层">'比较法-住宅'!$B$86:$M$86</definedName>
    <definedName name="住宅内部装修" localSheetId="47">'[1]比较法-住宅'!$B$122:$M$122</definedName>
    <definedName name="住宅内部装修">'比较法-住宅'!$B$122:$M$122</definedName>
    <definedName name="住宅物业管理" localSheetId="47">'[1]比较法-住宅'!$B$114:$M$114</definedName>
    <definedName name="住宅物业管理">'比较法-住宅'!$B$114:$M$114</definedName>
    <definedName name="住宅用途" localSheetId="47">'[1]比较法-住宅'!$B$63:$M$63</definedName>
    <definedName name="住宅用途">'比较法-住宅'!$B$63:$M$63</definedName>
    <definedName name="住宅主力户型面积">'比较法-住宅'!$B$120:$M$120</definedName>
    <definedName name="注册房地产估价师" localSheetId="4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4" i="74" l="1"/>
  <c r="B14" i="74"/>
  <c r="P74" i="80" l="1"/>
  <c r="Q72" i="80"/>
  <c r="Q59" i="80"/>
  <c r="K59" i="80"/>
  <c r="P61"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G1" i="80"/>
  <c r="AM7" i="1"/>
  <c r="AL7" i="1"/>
  <c r="AK7" i="1"/>
  <c r="Y7" i="1"/>
  <c r="N7" i="1"/>
  <c r="N6" i="1"/>
  <c r="G20" i="6"/>
  <c r="F19" i="6"/>
  <c r="K13" i="3"/>
  <c r="I13" i="3"/>
  <c r="F9" i="80"/>
  <c r="F7" i="80"/>
  <c r="F8" i="80"/>
  <c r="M22" i="80"/>
  <c r="C76" i="80"/>
  <c r="F50" i="80" l="1"/>
  <c r="M7" i="80"/>
  <c r="Q71" i="80"/>
  <c r="F51" i="80"/>
  <c r="F42" i="80"/>
  <c r="C14" i="80"/>
  <c r="F38" i="80"/>
  <c r="F6" i="80"/>
  <c r="M26" i="80"/>
  <c r="F43" i="80"/>
  <c r="J15" i="80"/>
  <c r="F37" i="80"/>
  <c r="M6" i="80"/>
  <c r="F40" i="80"/>
  <c r="M8" i="80"/>
  <c r="M9" i="80"/>
  <c r="F36" i="80"/>
  <c r="L47" i="80"/>
  <c r="F16" i="80"/>
  <c r="M23" i="80"/>
  <c r="F13" i="80"/>
  <c r="M29" i="80"/>
  <c r="M27" i="80"/>
  <c r="F26" i="80"/>
  <c r="M28" i="80"/>
  <c r="M24" i="80"/>
  <c r="F71" i="80" l="1"/>
  <c r="F68" i="80"/>
  <c r="F66" i="80"/>
  <c r="F64" i="80"/>
  <c r="C27" i="80"/>
  <c r="C6" i="80"/>
  <c r="F65" i="80"/>
  <c r="C18" i="80"/>
  <c r="C15" i="80"/>
  <c r="J6" i="80"/>
  <c r="C49" i="80"/>
  <c r="C17" i="80"/>
  <c r="C16" i="80"/>
  <c r="C19" i="80" l="1"/>
  <c r="C20" i="80" l="1"/>
  <c r="C26" i="80" s="1"/>
  <c r="E110" i="79" l="1"/>
  <c r="E109" i="79"/>
  <c r="E108" i="79"/>
  <c r="K107" i="79"/>
  <c r="H107" i="79"/>
  <c r="D107" i="79"/>
  <c r="D108" i="79" s="1"/>
  <c r="K106" i="79"/>
  <c r="H106" i="79"/>
  <c r="K105" i="79"/>
  <c r="H105" i="79"/>
  <c r="K104" i="79"/>
  <c r="H104" i="79"/>
  <c r="K103" i="79"/>
  <c r="H103" i="79"/>
  <c r="K102" i="79"/>
  <c r="H102" i="79"/>
  <c r="K101" i="79"/>
  <c r="H101" i="79"/>
  <c r="K100" i="79"/>
  <c r="H100" i="79"/>
  <c r="K99" i="79"/>
  <c r="H99" i="79"/>
  <c r="K98" i="79"/>
  <c r="H98" i="79"/>
  <c r="K97" i="79"/>
  <c r="H97" i="79"/>
  <c r="K96" i="79"/>
  <c r="H96" i="79"/>
  <c r="K95" i="79"/>
  <c r="H95" i="79"/>
  <c r="K94" i="79"/>
  <c r="H94" i="79"/>
  <c r="K93" i="79"/>
  <c r="H93" i="79"/>
  <c r="K92" i="79"/>
  <c r="H92" i="79"/>
  <c r="K91" i="79"/>
  <c r="H91" i="79"/>
  <c r="K90" i="79"/>
  <c r="H90" i="79"/>
  <c r="K89" i="79"/>
  <c r="H89" i="79"/>
  <c r="K88" i="79"/>
  <c r="H88" i="79"/>
  <c r="K87" i="79"/>
  <c r="H87" i="79"/>
  <c r="K86" i="79"/>
  <c r="H86" i="79"/>
  <c r="K85" i="79"/>
  <c r="H85" i="79"/>
  <c r="K84" i="79"/>
  <c r="H84" i="79"/>
  <c r="K83" i="79"/>
  <c r="H83" i="79"/>
  <c r="K82" i="79"/>
  <c r="H82" i="79"/>
  <c r="K81" i="79"/>
  <c r="H81" i="79"/>
  <c r="K80" i="79"/>
  <c r="H80" i="79"/>
  <c r="K79" i="79"/>
  <c r="H79" i="79"/>
  <c r="O34" i="79"/>
  <c r="P17" i="79"/>
  <c r="P16" i="79"/>
  <c r="P15" i="79"/>
  <c r="P14" i="79"/>
  <c r="I38" i="39"/>
  <c r="G38" i="39"/>
  <c r="E38" i="39"/>
  <c r="F71" i="39"/>
  <c r="G71" i="39" s="1"/>
  <c r="H71" i="39" s="1"/>
  <c r="I71" i="39" s="1"/>
  <c r="J71" i="39" s="1"/>
  <c r="K71" i="39" s="1"/>
  <c r="L71" i="39" s="1"/>
  <c r="M71" i="39" s="1"/>
  <c r="N71" i="39" s="1"/>
  <c r="E71" i="39"/>
  <c r="I7" i="39"/>
  <c r="G7" i="39"/>
  <c r="E7" i="39"/>
  <c r="I5" i="39"/>
  <c r="G5" i="39"/>
  <c r="E5" i="39"/>
  <c r="I106" i="79" l="1"/>
  <c r="G106" i="79" s="1"/>
  <c r="I105" i="79"/>
  <c r="G105" i="79" s="1"/>
  <c r="I104" i="79"/>
  <c r="G104" i="79" s="1"/>
  <c r="I103" i="79"/>
  <c r="G103" i="79" s="1"/>
  <c r="I102" i="79"/>
  <c r="G102" i="79" s="1"/>
  <c r="I101" i="79"/>
  <c r="G101" i="79" s="1"/>
  <c r="I100" i="79"/>
  <c r="G100" i="79" s="1"/>
  <c r="I99" i="79"/>
  <c r="G99" i="79" s="1"/>
  <c r="I98" i="79"/>
  <c r="G98" i="79" s="1"/>
  <c r="I97" i="79"/>
  <c r="G97" i="79" s="1"/>
  <c r="I96" i="79"/>
  <c r="G96" i="79" s="1"/>
  <c r="I95" i="79"/>
  <c r="G95" i="79" s="1"/>
  <c r="I94" i="79"/>
  <c r="G94" i="79" s="1"/>
  <c r="I93" i="79"/>
  <c r="G93" i="79" s="1"/>
  <c r="I92" i="79"/>
  <c r="G92" i="79" s="1"/>
  <c r="I91" i="79"/>
  <c r="G91" i="79" s="1"/>
  <c r="I90" i="79"/>
  <c r="G90" i="79" s="1"/>
  <c r="I89" i="79"/>
  <c r="G89" i="79" s="1"/>
  <c r="I88" i="79"/>
  <c r="G88" i="79" s="1"/>
  <c r="I87" i="79"/>
  <c r="G87" i="79" s="1"/>
  <c r="I86" i="79"/>
  <c r="G86" i="79" s="1"/>
  <c r="I85" i="79"/>
  <c r="G85" i="79" s="1"/>
  <c r="I84" i="79"/>
  <c r="G84" i="79" s="1"/>
  <c r="I83" i="79"/>
  <c r="G83" i="79" s="1"/>
  <c r="I82" i="79"/>
  <c r="G82" i="79" s="1"/>
  <c r="I81" i="79"/>
  <c r="G81" i="79" s="1"/>
  <c r="I80" i="79"/>
  <c r="G80" i="79" s="1"/>
  <c r="I79" i="79"/>
  <c r="G79" i="79" s="1"/>
  <c r="I107" i="79"/>
  <c r="G107" i="79" s="1"/>
  <c r="N19" i="79" l="1"/>
  <c r="N20" i="79" l="1"/>
  <c r="N18" i="79" s="1"/>
  <c r="N17" i="79" l="1"/>
  <c r="P26" i="79"/>
  <c r="Q16" i="79" s="1"/>
  <c r="R29" i="79"/>
  <c r="L51" i="79" l="1"/>
  <c r="L49" i="79"/>
  <c r="L46" i="79"/>
  <c r="L44" i="79"/>
  <c r="L42" i="79"/>
  <c r="L40" i="79"/>
  <c r="L38" i="79"/>
  <c r="L36" i="79"/>
  <c r="L35" i="79"/>
  <c r="L33" i="79"/>
  <c r="L31" i="79"/>
  <c r="L30" i="79"/>
  <c r="L28" i="79"/>
  <c r="L27" i="79"/>
  <c r="L26" i="79"/>
  <c r="L24" i="79"/>
  <c r="L22" i="79"/>
  <c r="R16" i="79"/>
  <c r="L13" i="79"/>
  <c r="L11" i="79"/>
  <c r="L9" i="79"/>
  <c r="L7" i="79"/>
  <c r="L5" i="79"/>
  <c r="L52" i="79"/>
  <c r="L48" i="79"/>
  <c r="L45" i="79"/>
  <c r="L41" i="79"/>
  <c r="L37" i="79"/>
  <c r="L34" i="79"/>
  <c r="L29" i="79"/>
  <c r="L23" i="79"/>
  <c r="L15" i="79"/>
  <c r="L12" i="79"/>
  <c r="L8" i="79"/>
  <c r="L50" i="79"/>
  <c r="L47" i="79"/>
  <c r="L43" i="79"/>
  <c r="L39" i="79"/>
  <c r="L32" i="79"/>
  <c r="L25" i="79"/>
  <c r="L21" i="79"/>
  <c r="L19" i="79"/>
  <c r="L16" i="79"/>
  <c r="Q14" i="79"/>
  <c r="L14" i="79"/>
  <c r="L10" i="79"/>
  <c r="L6" i="79"/>
  <c r="L20" i="79"/>
  <c r="L18" i="79"/>
  <c r="L17" i="79"/>
  <c r="Q15" i="79"/>
  <c r="L4" i="79"/>
  <c r="K4" i="79" l="1"/>
  <c r="K17" i="79"/>
  <c r="H17" i="79"/>
  <c r="K20" i="79"/>
  <c r="H20" i="79"/>
  <c r="K10" i="79"/>
  <c r="H10" i="79"/>
  <c r="K19" i="79"/>
  <c r="H19" i="79"/>
  <c r="K25" i="79"/>
  <c r="H25" i="79"/>
  <c r="K39" i="79"/>
  <c r="H39" i="79"/>
  <c r="K47" i="79"/>
  <c r="H47" i="79"/>
  <c r="K8" i="79"/>
  <c r="H8" i="79"/>
  <c r="K15" i="79"/>
  <c r="H15" i="79"/>
  <c r="K29" i="79"/>
  <c r="H29" i="79"/>
  <c r="K37" i="79"/>
  <c r="H37" i="79"/>
  <c r="K45" i="79"/>
  <c r="H45" i="79"/>
  <c r="K52" i="79"/>
  <c r="H52" i="79"/>
  <c r="H7" i="79"/>
  <c r="K7" i="79"/>
  <c r="H11" i="79"/>
  <c r="K11" i="79"/>
  <c r="H24" i="79"/>
  <c r="K24" i="79"/>
  <c r="H27" i="79"/>
  <c r="K27" i="79"/>
  <c r="K30" i="79"/>
  <c r="H30" i="79"/>
  <c r="H33" i="79"/>
  <c r="K33" i="79"/>
  <c r="H36" i="79"/>
  <c r="K36" i="79"/>
  <c r="H40" i="79"/>
  <c r="K40" i="79"/>
  <c r="H44" i="79"/>
  <c r="K44" i="79"/>
  <c r="K49" i="79"/>
  <c r="H49" i="79"/>
  <c r="L78" i="79"/>
  <c r="L76" i="79"/>
  <c r="L74" i="79"/>
  <c r="L73" i="79"/>
  <c r="L71" i="79"/>
  <c r="L69" i="79"/>
  <c r="L67" i="79"/>
  <c r="L65" i="79"/>
  <c r="L63" i="79"/>
  <c r="L77" i="79"/>
  <c r="L75" i="79"/>
  <c r="L72" i="79"/>
  <c r="L70" i="79"/>
  <c r="L68" i="79"/>
  <c r="L66" i="79"/>
  <c r="L64" i="79"/>
  <c r="L61" i="79"/>
  <c r="L59" i="79"/>
  <c r="L57" i="79"/>
  <c r="L55" i="79"/>
  <c r="L53" i="79"/>
  <c r="R15" i="79"/>
  <c r="R14" i="79" s="1"/>
  <c r="R17" i="79" s="1"/>
  <c r="L60" i="79"/>
  <c r="L56" i="79"/>
  <c r="L62" i="79"/>
  <c r="L58" i="79"/>
  <c r="L54" i="79"/>
  <c r="K18" i="79"/>
  <c r="H18" i="79"/>
  <c r="K6" i="79"/>
  <c r="H6" i="79"/>
  <c r="K14" i="79"/>
  <c r="H14" i="79"/>
  <c r="K16" i="79"/>
  <c r="H16" i="79"/>
  <c r="K21" i="79"/>
  <c r="H21" i="79"/>
  <c r="K32" i="79"/>
  <c r="H32" i="79"/>
  <c r="K43" i="79"/>
  <c r="H43" i="79"/>
  <c r="K50" i="79"/>
  <c r="H50" i="79"/>
  <c r="K12" i="79"/>
  <c r="H12" i="79"/>
  <c r="K23" i="79"/>
  <c r="H23" i="79"/>
  <c r="K34" i="79"/>
  <c r="H34" i="79"/>
  <c r="K41" i="79"/>
  <c r="H41" i="79"/>
  <c r="K48" i="79"/>
  <c r="K5" i="79"/>
  <c r="H5" i="79"/>
  <c r="H9" i="79"/>
  <c r="K9" i="79"/>
  <c r="H13" i="79"/>
  <c r="K13" i="79"/>
  <c r="H22" i="79"/>
  <c r="K22" i="79"/>
  <c r="K26" i="79"/>
  <c r="H26" i="79"/>
  <c r="H28" i="79"/>
  <c r="K28" i="79"/>
  <c r="K31" i="79"/>
  <c r="H31" i="79"/>
  <c r="K35" i="79"/>
  <c r="H35" i="79"/>
  <c r="K38" i="79"/>
  <c r="H38" i="79"/>
  <c r="K42" i="79"/>
  <c r="H42" i="79"/>
  <c r="K46" i="79"/>
  <c r="H46" i="79"/>
  <c r="H51" i="79"/>
  <c r="K51" i="79"/>
  <c r="I46" i="79" l="1"/>
  <c r="G46" i="79" s="1"/>
  <c r="I42" i="79"/>
  <c r="G42" i="79" s="1"/>
  <c r="I38" i="79"/>
  <c r="G38" i="79" s="1"/>
  <c r="I35" i="79"/>
  <c r="G35" i="79" s="1"/>
  <c r="I31" i="79"/>
  <c r="G31" i="79" s="1"/>
  <c r="I26" i="79"/>
  <c r="G26" i="79" s="1"/>
  <c r="I5" i="79"/>
  <c r="G5" i="79" s="1"/>
  <c r="I48" i="79"/>
  <c r="J48" i="79" s="1"/>
  <c r="H48" i="79" s="1"/>
  <c r="I41" i="79"/>
  <c r="G41" i="79" s="1"/>
  <c r="I34" i="79"/>
  <c r="G34" i="79" s="1"/>
  <c r="I23" i="79"/>
  <c r="G23" i="79" s="1"/>
  <c r="I12" i="79"/>
  <c r="G12" i="79" s="1"/>
  <c r="I50" i="79"/>
  <c r="G50" i="79" s="1"/>
  <c r="I43" i="79"/>
  <c r="G43" i="79" s="1"/>
  <c r="I32" i="79"/>
  <c r="G32" i="79" s="1"/>
  <c r="I21" i="79"/>
  <c r="G21" i="79" s="1"/>
  <c r="I16" i="79"/>
  <c r="G16" i="79" s="1"/>
  <c r="I14" i="79"/>
  <c r="G14" i="79" s="1"/>
  <c r="I6" i="79"/>
  <c r="G6" i="79" s="1"/>
  <c r="I18" i="79"/>
  <c r="G18" i="79" s="1"/>
  <c r="K58" i="79"/>
  <c r="H58" i="79"/>
  <c r="K56" i="79"/>
  <c r="H56" i="79"/>
  <c r="H55" i="79"/>
  <c r="K55" i="79"/>
  <c r="H59" i="79"/>
  <c r="K59" i="79"/>
  <c r="K64" i="79"/>
  <c r="H64" i="79"/>
  <c r="K68" i="79"/>
  <c r="H68" i="79"/>
  <c r="K72" i="79"/>
  <c r="H72" i="79"/>
  <c r="K77" i="79"/>
  <c r="H77" i="79"/>
  <c r="H65" i="79"/>
  <c r="K65" i="79"/>
  <c r="K69" i="79"/>
  <c r="H69" i="79"/>
  <c r="K73" i="79"/>
  <c r="H73" i="79"/>
  <c r="K76" i="79"/>
  <c r="H76" i="79"/>
  <c r="I44" i="79"/>
  <c r="G44" i="79" s="1"/>
  <c r="I40" i="79"/>
  <c r="G40" i="79" s="1"/>
  <c r="I36" i="79"/>
  <c r="G36" i="79" s="1"/>
  <c r="I33" i="79"/>
  <c r="G33" i="79" s="1"/>
  <c r="I27" i="79"/>
  <c r="G27" i="79" s="1"/>
  <c r="I24" i="79"/>
  <c r="G24" i="79" s="1"/>
  <c r="I11" i="79"/>
  <c r="G11" i="79" s="1"/>
  <c r="I7" i="79"/>
  <c r="G7" i="79" s="1"/>
  <c r="I51" i="79"/>
  <c r="G51" i="79" s="1"/>
  <c r="I28" i="79"/>
  <c r="G28" i="79" s="1"/>
  <c r="I22" i="79"/>
  <c r="G22" i="79" s="1"/>
  <c r="I13" i="79"/>
  <c r="G13" i="79" s="1"/>
  <c r="I9" i="79"/>
  <c r="G9" i="79" s="1"/>
  <c r="K54" i="79"/>
  <c r="H54" i="79"/>
  <c r="K62" i="79"/>
  <c r="H62" i="79"/>
  <c r="K60" i="79"/>
  <c r="H60" i="79"/>
  <c r="K53" i="79"/>
  <c r="H53" i="79"/>
  <c r="K57" i="79"/>
  <c r="H57" i="79"/>
  <c r="K61" i="79"/>
  <c r="H61" i="79"/>
  <c r="K66" i="79"/>
  <c r="H66" i="79"/>
  <c r="K70" i="79"/>
  <c r="H70" i="79"/>
  <c r="K75" i="79"/>
  <c r="H75" i="79"/>
  <c r="H63" i="79"/>
  <c r="K63" i="79"/>
  <c r="K67" i="79"/>
  <c r="H67" i="79"/>
  <c r="K71" i="79"/>
  <c r="H71" i="79"/>
  <c r="K74" i="79"/>
  <c r="K78" i="79"/>
  <c r="H78" i="79"/>
  <c r="I49" i="79"/>
  <c r="G49" i="79" s="1"/>
  <c r="I30" i="79"/>
  <c r="G30" i="79" s="1"/>
  <c r="I52" i="79"/>
  <c r="G52" i="79" s="1"/>
  <c r="I45" i="79"/>
  <c r="G45" i="79" s="1"/>
  <c r="I37" i="79"/>
  <c r="G37" i="79" s="1"/>
  <c r="I29" i="79"/>
  <c r="G29" i="79" s="1"/>
  <c r="I15" i="79"/>
  <c r="G15" i="79" s="1"/>
  <c r="I8" i="79"/>
  <c r="G8" i="79" s="1"/>
  <c r="I47" i="79"/>
  <c r="G47" i="79" s="1"/>
  <c r="I39" i="79"/>
  <c r="G39" i="79" s="1"/>
  <c r="I25" i="79"/>
  <c r="G25" i="79" s="1"/>
  <c r="I19" i="79"/>
  <c r="G19" i="79" s="1"/>
  <c r="I10" i="79"/>
  <c r="G10" i="79" s="1"/>
  <c r="I20" i="79"/>
  <c r="G20" i="79" s="1"/>
  <c r="I17" i="79"/>
  <c r="G17" i="79" s="1"/>
  <c r="I4" i="79"/>
  <c r="J4" i="79" s="1"/>
  <c r="H4" i="79" s="1"/>
  <c r="P34" i="79"/>
  <c r="P35" i="79" s="1"/>
  <c r="P27" i="79" l="1"/>
  <c r="Q29" i="79" s="1"/>
  <c r="Q30" i="79" s="1"/>
  <c r="G4" i="79"/>
  <c r="I74" i="79"/>
  <c r="J74" i="79" s="1"/>
  <c r="H74" i="79" s="1"/>
  <c r="I63" i="79"/>
  <c r="G63" i="79" s="1"/>
  <c r="I65" i="79"/>
  <c r="G65" i="79" s="1"/>
  <c r="I59" i="79"/>
  <c r="G59" i="79" s="1"/>
  <c r="I55" i="79"/>
  <c r="G55" i="79" s="1"/>
  <c r="G48" i="79"/>
  <c r="I78" i="79"/>
  <c r="G78" i="79" s="1"/>
  <c r="I71" i="79"/>
  <c r="G71" i="79" s="1"/>
  <c r="I67" i="79"/>
  <c r="G67" i="79" s="1"/>
  <c r="I75" i="79"/>
  <c r="G75" i="79" s="1"/>
  <c r="I70" i="79"/>
  <c r="G70" i="79" s="1"/>
  <c r="I66" i="79"/>
  <c r="G66" i="79" s="1"/>
  <c r="I61" i="79"/>
  <c r="G61" i="79" s="1"/>
  <c r="I57" i="79"/>
  <c r="G57" i="79" s="1"/>
  <c r="I53" i="79"/>
  <c r="G53" i="79" s="1"/>
  <c r="I60" i="79"/>
  <c r="G60" i="79" s="1"/>
  <c r="I62" i="79"/>
  <c r="G62" i="79" s="1"/>
  <c r="I54" i="79"/>
  <c r="G54" i="79" s="1"/>
  <c r="I76" i="79"/>
  <c r="G76" i="79" s="1"/>
  <c r="I73" i="79"/>
  <c r="G73" i="79" s="1"/>
  <c r="I69" i="79"/>
  <c r="G69" i="79" s="1"/>
  <c r="I77" i="79"/>
  <c r="G77" i="79" s="1"/>
  <c r="I72" i="79"/>
  <c r="G72" i="79" s="1"/>
  <c r="I68" i="79"/>
  <c r="G68" i="79" s="1"/>
  <c r="I64" i="79"/>
  <c r="G64" i="79" s="1"/>
  <c r="I56" i="79"/>
  <c r="G56" i="79" s="1"/>
  <c r="I58" i="79"/>
  <c r="G58" i="79" s="1"/>
  <c r="G74" i="79" l="1"/>
  <c r="K2" i="79"/>
  <c r="L2" i="79"/>
  <c r="I2" i="79" l="1"/>
  <c r="G2" i="79" s="1"/>
  <c r="K3" i="79"/>
  <c r="K108" i="79" s="1"/>
  <c r="L3" i="79"/>
  <c r="J2" i="79" l="1"/>
  <c r="J3" i="79" l="1"/>
  <c r="H2" i="79"/>
  <c r="I3" i="79" l="1"/>
  <c r="H3" i="79"/>
  <c r="G3" i="79" l="1"/>
  <c r="G108" i="79" s="1"/>
  <c r="I108" i="79"/>
  <c r="Y6" i="1" l="1"/>
  <c r="C36" i="33"/>
  <c r="C33" i="33"/>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H21" i="33"/>
  <c r="U21" i="33" s="1"/>
  <c r="F21" i="33"/>
  <c r="S21" i="33" s="1"/>
  <c r="E83" i="21"/>
  <c r="S21" i="21"/>
  <c r="H1" i="69"/>
  <c r="AC25" i="40"/>
  <c r="W25" i="40"/>
  <c r="AB25" i="40"/>
  <c r="U25" i="40"/>
  <c r="AB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C21" i="69" s="1"/>
  <c r="F20" i="69"/>
  <c r="E10" i="69"/>
  <c r="E9" i="69"/>
  <c r="C7" i="69"/>
  <c r="AC21" i="37"/>
  <c r="W21" i="37"/>
  <c r="AC21" i="34"/>
  <c r="W21" i="34"/>
  <c r="AC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B2" i="1"/>
  <c r="J51" i="80"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c r="A4" i="62"/>
  <c r="B70" i="72"/>
  <c r="F33" i="9"/>
  <c r="B37" i="48"/>
  <c r="B2" i="72" s="1"/>
  <c r="B13" i="53"/>
  <c r="B29" i="72" s="1"/>
  <c r="R35" i="4"/>
  <c r="Q35" i="4"/>
  <c r="P35" i="4"/>
  <c r="O35" i="4"/>
  <c r="N35" i="4"/>
  <c r="M35" i="4"/>
  <c r="L35" i="4"/>
  <c r="K34" i="4"/>
  <c r="T34" i="4"/>
  <c r="G13" i="1"/>
  <c r="G11" i="1"/>
  <c r="I15" i="4"/>
  <c r="H15" i="4"/>
  <c r="G15" i="4"/>
  <c r="F7" i="1" s="1"/>
  <c r="E15" i="4"/>
  <c r="D15" i="4"/>
  <c r="L21" i="4"/>
  <c r="F19" i="4"/>
  <c r="F2" i="52"/>
  <c r="B50" i="72" s="1"/>
  <c r="D2" i="52"/>
  <c r="B46" i="72" s="1"/>
  <c r="B8" i="53"/>
  <c r="B23" i="72" s="1"/>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M59" i="80"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69" i="31"/>
  <c r="E171" i="31"/>
  <c r="E173" i="31"/>
  <c r="E175" i="31"/>
  <c r="E177" i="31"/>
  <c r="E179"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B92" i="33"/>
  <c r="B90" i="33"/>
  <c r="D87" i="33"/>
  <c r="E87" i="33" s="1"/>
  <c r="D85" i="33"/>
  <c r="E85" i="33" s="1"/>
  <c r="D81" i="33"/>
  <c r="E81" i="33" s="1"/>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S9" i="33" s="1"/>
  <c r="J8" i="33"/>
  <c r="AC8" i="33"/>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U41" i="39" s="1"/>
  <c r="W27" i="39"/>
  <c r="AB34" i="39"/>
  <c r="S42" i="39"/>
  <c r="W14" i="39"/>
  <c r="AA41" i="39"/>
  <c r="W8" i="39"/>
  <c r="J19" i="40"/>
  <c r="AC19" i="40"/>
  <c r="J50" i="40"/>
  <c r="H103" i="9"/>
  <c r="D8" i="53"/>
  <c r="B16" i="53"/>
  <c r="B33" i="72" s="1"/>
  <c r="C7" i="37"/>
  <c r="C7" i="34"/>
  <c r="C7" i="36"/>
  <c r="W35" i="40"/>
  <c r="A118" i="9"/>
  <c r="A4" i="52"/>
  <c r="B41" i="72" s="1"/>
  <c r="J11" i="39"/>
  <c r="W11" i="39" s="1"/>
  <c r="F11" i="39"/>
  <c r="AA11" i="39"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B27" i="39"/>
  <c r="U31"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AA29" i="33"/>
  <c r="AB29" i="33"/>
  <c r="W38" i="33"/>
  <c r="H41" i="33"/>
  <c r="U41" i="33" s="1"/>
  <c r="J35" i="33"/>
  <c r="W35" i="33" s="1"/>
  <c r="S37" i="33"/>
  <c r="AA37" i="33"/>
  <c r="S46" i="33"/>
  <c r="S43" i="33"/>
  <c r="U9"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G30" i="6"/>
  <c r="G31" i="6"/>
  <c r="J56" i="9"/>
  <c r="J57" i="9"/>
  <c r="A24" i="51"/>
  <c r="B18" i="72" s="1"/>
  <c r="U29" i="34"/>
  <c r="E14" i="6"/>
  <c r="E64" i="39" s="1"/>
  <c r="E5" i="6"/>
  <c r="D9" i="69" s="1"/>
  <c r="C9" i="69"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s="1"/>
  <c r="B24" i="72"/>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7" i="21"/>
  <c r="C58" i="21" s="1"/>
  <c r="C7" i="40"/>
  <c r="C63" i="40" s="1"/>
  <c r="C65" i="40" s="1"/>
  <c r="M47" i="9"/>
  <c r="G19" i="43"/>
  <c r="O19" i="43" s="1"/>
  <c r="C19" i="43" s="1"/>
  <c r="T35" i="4"/>
  <c r="A19" i="51"/>
  <c r="B14" i="72" s="1"/>
  <c r="C46" i="36"/>
  <c r="C59" i="34"/>
  <c r="D59" i="34" s="1"/>
  <c r="E59" i="34" s="1"/>
  <c r="C52" i="37"/>
  <c r="A4" i="51"/>
  <c r="B6" i="72" s="1"/>
  <c r="C48" i="35"/>
  <c r="C4" i="12"/>
  <c r="H66" i="43"/>
  <c r="H65" i="43"/>
  <c r="H64" i="43"/>
  <c r="H63" i="43"/>
  <c r="H55" i="43"/>
  <c r="H56" i="43"/>
  <c r="H72" i="43"/>
  <c r="L20" i="6"/>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41" i="39"/>
  <c r="U13" i="39"/>
  <c r="AB13" i="39"/>
  <c r="AA13" i="39"/>
  <c r="S13" i="39"/>
  <c r="S14" i="39"/>
  <c r="AA14" i="39"/>
  <c r="U43" i="39"/>
  <c r="AB43" i="39"/>
  <c r="AB11" i="39"/>
  <c r="U11" i="39"/>
  <c r="AA27"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T11" i="1"/>
  <c r="AQ9" i="1"/>
  <c r="AR11" i="1"/>
  <c r="K15" i="1"/>
  <c r="T13" i="1"/>
  <c r="E7" i="70"/>
  <c r="AA39" i="40"/>
  <c r="S39" i="40"/>
  <c r="S12" i="33"/>
  <c r="AA12" i="33"/>
  <c r="J32" i="39"/>
  <c r="W32" i="39" s="1"/>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10" i="33"/>
  <c r="AB10" i="33"/>
  <c r="AC37" i="21"/>
  <c r="U33" i="21"/>
  <c r="S37" i="21"/>
  <c r="AA23" i="21"/>
  <c r="AB15" i="21"/>
  <c r="J23" i="21"/>
  <c r="F85" i="21"/>
  <c r="G85" i="21"/>
  <c r="H23" i="21"/>
  <c r="S13" i="21"/>
  <c r="D6" i="52"/>
  <c r="D121" i="9"/>
  <c r="D7" i="52"/>
  <c r="K120" i="9"/>
  <c r="AZ5" i="3"/>
  <c r="E329" i="3"/>
  <c r="E347" i="3"/>
  <c r="E539" i="3"/>
  <c r="E583" i="3"/>
  <c r="E545" i="3"/>
  <c r="AA6" i="3"/>
  <c r="E567" i="3"/>
  <c r="X6" i="3"/>
  <c r="E510" i="3"/>
  <c r="E399" i="3"/>
  <c r="E461" i="3"/>
  <c r="E336" i="3"/>
  <c r="E352" i="3"/>
  <c r="E280" i="3"/>
  <c r="E227" i="3"/>
  <c r="E246" i="3"/>
  <c r="E205" i="3"/>
  <c r="E124" i="3"/>
  <c r="E165" i="3"/>
  <c r="E293" i="3"/>
  <c r="E128" i="3"/>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5" i="62"/>
  <c r="B73" i="72" s="1"/>
  <c r="L27" i="6"/>
  <c r="AP7" i="1"/>
  <c r="C36" i="69" s="1"/>
  <c r="AB45" i="21"/>
  <c r="AC33" i="21"/>
  <c r="W33" i="21"/>
  <c r="S33" i="21"/>
  <c r="AA33" i="21"/>
  <c r="W32" i="21"/>
  <c r="AC32" i="21"/>
  <c r="AB9" i="21"/>
  <c r="U9" i="21"/>
  <c r="AA32" i="21"/>
  <c r="S32" i="21"/>
  <c r="W9" i="21"/>
  <c r="AC9" i="21"/>
  <c r="AB32" i="21"/>
  <c r="U32" i="21"/>
  <c r="AA10" i="21"/>
  <c r="S10" i="21"/>
  <c r="A18" i="62"/>
  <c r="B64" i="72" s="1"/>
  <c r="U32" i="39"/>
  <c r="AB32" i="39"/>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AC11" i="37"/>
  <c r="W11" i="37"/>
  <c r="W11" i="34"/>
  <c r="AC11" i="34"/>
  <c r="F34" i="11"/>
  <c r="F11" i="12"/>
  <c r="C23" i="12" s="1"/>
  <c r="F34" i="68"/>
  <c r="R8" i="1"/>
  <c r="AE8" i="1"/>
  <c r="AG6" i="1"/>
  <c r="H109" i="9"/>
  <c r="H110" i="9" s="1"/>
  <c r="D18" i="53" s="1"/>
  <c r="B35" i="72" s="1"/>
  <c r="H112" i="9"/>
  <c r="D21" i="53"/>
  <c r="B39" i="72" s="1"/>
  <c r="H111" i="9"/>
  <c r="D126" i="9" s="1"/>
  <c r="D19" i="53"/>
  <c r="B38" i="72" s="1"/>
  <c r="D59" i="9"/>
  <c r="M55" i="9"/>
  <c r="AD3" i="71"/>
  <c r="D63" i="40"/>
  <c r="E63" i="40" s="1"/>
  <c r="E65"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G20" i="43"/>
  <c r="V10" i="71"/>
  <c r="C10" i="71"/>
  <c r="D11" i="71"/>
  <c r="F63" i="40"/>
  <c r="F65" i="40" s="1"/>
  <c r="E41" i="43"/>
  <c r="C41" i="43"/>
  <c r="D8" i="71"/>
  <c r="T10" i="71"/>
  <c r="D9" i="71"/>
  <c r="D10" i="71"/>
  <c r="U10" i="71"/>
  <c r="M6" i="67"/>
  <c r="B8" i="76"/>
  <c r="F7" i="67"/>
  <c r="M28" i="67"/>
  <c r="E2" i="69"/>
  <c r="D2" i="37"/>
  <c r="E2" i="68"/>
  <c r="F36" i="67"/>
  <c r="F43" i="15"/>
  <c r="M26" i="67"/>
  <c r="D4" i="73"/>
  <c r="M23" i="67"/>
  <c r="AO11" i="1"/>
  <c r="M27" i="67"/>
  <c r="D6" i="73"/>
  <c r="F3" i="73"/>
  <c r="F36" i="15"/>
  <c r="E13" i="76"/>
  <c r="D7" i="73"/>
  <c r="F7" i="73"/>
  <c r="F37" i="15"/>
  <c r="L48" i="15"/>
  <c r="B13" i="76"/>
  <c r="F43" i="67"/>
  <c r="D35" i="9"/>
  <c r="L48" i="80"/>
  <c r="F6" i="67"/>
  <c r="F37" i="67"/>
  <c r="M26" i="15"/>
  <c r="M24" i="15"/>
  <c r="L48" i="67"/>
  <c r="F13" i="67"/>
  <c r="B11" i="76"/>
  <c r="M8" i="67"/>
  <c r="F6" i="73"/>
  <c r="D2" i="35"/>
  <c r="M23" i="15"/>
  <c r="AO10" i="1"/>
  <c r="F40" i="67"/>
  <c r="F6" i="15"/>
  <c r="M27" i="15"/>
  <c r="M29" i="67"/>
  <c r="F9" i="15"/>
  <c r="D3" i="73"/>
  <c r="F42" i="67"/>
  <c r="E11" i="76"/>
  <c r="L47" i="67"/>
  <c r="F20" i="31"/>
  <c r="F26" i="67"/>
  <c r="B12" i="76"/>
  <c r="F26" i="15"/>
  <c r="E12" i="76"/>
  <c r="C76" i="67"/>
  <c r="F8" i="67"/>
  <c r="E7" i="76"/>
  <c r="AO12" i="1"/>
  <c r="J15" i="15"/>
  <c r="D2" i="34"/>
  <c r="M22" i="15"/>
  <c r="F4" i="73"/>
  <c r="L47" i="15"/>
  <c r="F16" i="15"/>
  <c r="D5" i="73"/>
  <c r="M9" i="67"/>
  <c r="D2" i="21"/>
  <c r="E8" i="76"/>
  <c r="F13" i="15"/>
  <c r="M8" i="15"/>
  <c r="E10" i="76"/>
  <c r="F16" i="67"/>
  <c r="D2" i="33"/>
  <c r="J15" i="67"/>
  <c r="B7" i="76"/>
  <c r="B9" i="76"/>
  <c r="M9" i="15"/>
  <c r="F40" i="15"/>
  <c r="M22" i="67"/>
  <c r="M24" i="67"/>
  <c r="F38" i="15"/>
  <c r="C76" i="15"/>
  <c r="F9" i="67"/>
  <c r="D2" i="36"/>
  <c r="AO8" i="1"/>
  <c r="M6" i="15"/>
  <c r="M29" i="15"/>
  <c r="F7" i="15"/>
  <c r="AO13" i="1"/>
  <c r="E9" i="76"/>
  <c r="D34" i="9"/>
  <c r="B10" i="76"/>
  <c r="M28" i="15"/>
  <c r="F38" i="67"/>
  <c r="F8" i="15"/>
  <c r="AO9" i="1"/>
  <c r="F5" i="73"/>
  <c r="F42" i="15"/>
  <c r="D68" i="39" l="1"/>
  <c r="L57" i="80"/>
  <c r="L56" i="80"/>
  <c r="L60" i="80"/>
  <c r="L58" i="80"/>
  <c r="G7" i="1"/>
  <c r="G63" i="40"/>
  <c r="J51" i="15"/>
  <c r="C58" i="33"/>
  <c r="D58" i="33" s="1"/>
  <c r="E58" i="33" s="1"/>
  <c r="F58" i="33" s="1"/>
  <c r="G58" i="33" s="1"/>
  <c r="H58" i="33" s="1"/>
  <c r="I58" i="33" s="1"/>
  <c r="J58" i="33" s="1"/>
  <c r="K58" i="33" s="1"/>
  <c r="L58" i="33" s="1"/>
  <c r="M58" i="33" s="1"/>
  <c r="N58" i="33" s="1"/>
  <c r="O58" i="33" s="1"/>
  <c r="G7" i="33"/>
  <c r="I7" i="33"/>
  <c r="J7" i="33" s="1"/>
  <c r="E7" i="33"/>
  <c r="C28" i="80"/>
  <c r="J18" i="80"/>
  <c r="C32" i="80"/>
  <c r="C33" i="80"/>
  <c r="D65" i="40"/>
  <c r="J53" i="80"/>
  <c r="I54" i="80"/>
  <c r="J57" i="80"/>
  <c r="J55" i="80" s="1"/>
  <c r="J58" i="80" s="1"/>
  <c r="Q50" i="80" s="1"/>
  <c r="L59" i="80"/>
  <c r="N59" i="80"/>
  <c r="S23" i="39"/>
  <c r="AB23" i="39"/>
  <c r="J21" i="39"/>
  <c r="F95" i="39"/>
  <c r="G95" i="39" s="1"/>
  <c r="F21" i="39"/>
  <c r="S21" i="39" s="1"/>
  <c r="H21" i="39"/>
  <c r="U21" i="39" s="1"/>
  <c r="H25" i="39"/>
  <c r="F25" i="39"/>
  <c r="F99" i="39"/>
  <c r="G99" i="39" s="1"/>
  <c r="J25" i="39"/>
  <c r="E10" i="49"/>
  <c r="D124" i="9"/>
  <c r="H14" i="74" s="1"/>
  <c r="B7" i="74" s="1"/>
  <c r="D20" i="53"/>
  <c r="B40" i="72" s="1"/>
  <c r="D125" i="9"/>
  <c r="D11" i="52" s="1"/>
  <c r="D16" i="53"/>
  <c r="B4" i="62"/>
  <c r="B71" i="72" s="1"/>
  <c r="G17" i="43"/>
  <c r="C16" i="43" s="1"/>
  <c r="S31" i="39"/>
  <c r="H19" i="39"/>
  <c r="J19" i="39"/>
  <c r="F93" i="39"/>
  <c r="G93" i="39" s="1"/>
  <c r="F19" i="39"/>
  <c r="AC15" i="39"/>
  <c r="AC29" i="39"/>
  <c r="S29" i="39"/>
  <c r="AB21" i="39"/>
  <c r="AA21" i="39"/>
  <c r="E8" i="49"/>
  <c r="B22" i="49"/>
  <c r="H17" i="39"/>
  <c r="F91" i="39"/>
  <c r="G91" i="39" s="1"/>
  <c r="F17" i="39"/>
  <c r="J17" i="39"/>
  <c r="S15" i="39"/>
  <c r="P61" i="15"/>
  <c r="M7" i="1"/>
  <c r="O7" i="1" s="1"/>
  <c r="E13" i="6"/>
  <c r="E15" i="6"/>
  <c r="E12" i="6"/>
  <c r="D9" i="68"/>
  <c r="C9" i="68" s="1"/>
  <c r="C5" i="43"/>
  <c r="D5" i="43"/>
  <c r="C35" i="43" s="1"/>
  <c r="S11" i="39"/>
  <c r="U42" i="39"/>
  <c r="U40" i="39"/>
  <c r="AC11" i="39"/>
  <c r="W9" i="39"/>
  <c r="U9" i="39"/>
  <c r="G6" i="31"/>
  <c r="H6" i="31" s="1"/>
  <c r="I6" i="31" s="1"/>
  <c r="J6" i="31" s="1"/>
  <c r="K6" i="31" s="1"/>
  <c r="L6" i="31" s="1"/>
  <c r="M6" i="31" s="1"/>
  <c r="N6" i="31" s="1"/>
  <c r="O6" i="31" s="1"/>
  <c r="P6" i="31" s="1"/>
  <c r="Q6" i="31" s="1"/>
  <c r="R6" i="31" s="1"/>
  <c r="S6" i="31"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F27" i="33"/>
  <c r="AA27" i="33" s="1"/>
  <c r="F91" i="33"/>
  <c r="G91" i="33" s="1"/>
  <c r="H91" i="33" s="1"/>
  <c r="I91" i="33" s="1"/>
  <c r="J91" i="33" s="1"/>
  <c r="K91" i="33" s="1"/>
  <c r="L91" i="33" s="1"/>
  <c r="M91" i="33" s="1"/>
  <c r="H27" i="33"/>
  <c r="U27" i="33" s="1"/>
  <c r="J27" i="33"/>
  <c r="W27" i="33" s="1"/>
  <c r="F85" i="33"/>
  <c r="G85" i="33" s="1"/>
  <c r="F23" i="33"/>
  <c r="J23" i="33"/>
  <c r="H23" i="33"/>
  <c r="F81" i="33"/>
  <c r="G81" i="33" s="1"/>
  <c r="F19" i="33"/>
  <c r="H19" i="33"/>
  <c r="AB19" i="33" s="1"/>
  <c r="J19" i="33"/>
  <c r="F79" i="33"/>
  <c r="G79" i="33" s="1"/>
  <c r="F17" i="33"/>
  <c r="AA17" i="33" s="1"/>
  <c r="J17" i="33"/>
  <c r="W17" i="33" s="1"/>
  <c r="H17" i="33"/>
  <c r="F77" i="33"/>
  <c r="G77" i="33" s="1"/>
  <c r="F15" i="33"/>
  <c r="J15" i="33"/>
  <c r="H15" i="33"/>
  <c r="F42" i="33"/>
  <c r="AA42" i="33" s="1"/>
  <c r="J42" i="33"/>
  <c r="S39" i="33"/>
  <c r="H36" i="33"/>
  <c r="U36" i="33" s="1"/>
  <c r="H111" i="33"/>
  <c r="I111" i="33" s="1"/>
  <c r="J111" i="33" s="1"/>
  <c r="K111" i="33" s="1"/>
  <c r="L111" i="33" s="1"/>
  <c r="M111" i="33" s="1"/>
  <c r="J36" i="33"/>
  <c r="F36" i="33"/>
  <c r="H32" i="33"/>
  <c r="AB32" i="33" s="1"/>
  <c r="F32" i="33"/>
  <c r="H101" i="33"/>
  <c r="I101" i="33" s="1"/>
  <c r="J101" i="33" s="1"/>
  <c r="K101" i="33" s="1"/>
  <c r="L101" i="33" s="1"/>
  <c r="M101" i="33" s="1"/>
  <c r="J32" i="33"/>
  <c r="AC32" i="33" s="1"/>
  <c r="AB21" i="33"/>
  <c r="U19" i="33"/>
  <c r="AC17" i="33"/>
  <c r="S17" i="33"/>
  <c r="F87" i="33"/>
  <c r="G87" i="33" s="1"/>
  <c r="H87" i="33" s="1"/>
  <c r="I87" i="33" s="1"/>
  <c r="J87" i="33" s="1"/>
  <c r="K87" i="33" s="1"/>
  <c r="L87" i="33" s="1"/>
  <c r="M87" i="33" s="1"/>
  <c r="F25" i="33"/>
  <c r="AA25" i="33" s="1"/>
  <c r="J25" i="33"/>
  <c r="W25" i="33" s="1"/>
  <c r="H25" i="33"/>
  <c r="S26" i="33"/>
  <c r="AB41" i="33"/>
  <c r="W43" i="33"/>
  <c r="U42" i="33"/>
  <c r="S41" i="33"/>
  <c r="W41" i="33"/>
  <c r="AC35" i="33"/>
  <c r="AA34" i="33"/>
  <c r="D22" i="67"/>
  <c r="P74" i="67"/>
  <c r="S42" i="33"/>
  <c r="W39" i="33"/>
  <c r="S38" i="33"/>
  <c r="U37" i="33"/>
  <c r="U35" i="33"/>
  <c r="AB34" i="33"/>
  <c r="AC28" i="33"/>
  <c r="AC27" i="33"/>
  <c r="S27" i="33"/>
  <c r="AB26" i="33"/>
  <c r="B4" i="49"/>
  <c r="E9" i="49"/>
  <c r="E6" i="49"/>
  <c r="W10" i="33"/>
  <c r="W9" i="33"/>
  <c r="AA9" i="33"/>
  <c r="C92" i="9"/>
  <c r="C94" i="9"/>
  <c r="F32" i="15"/>
  <c r="F60" i="15" s="1"/>
  <c r="D68" i="9"/>
  <c r="F31" i="12"/>
  <c r="M18" i="15"/>
  <c r="M18" i="67"/>
  <c r="F30" i="68"/>
  <c r="C31" i="12"/>
  <c r="C24" i="12"/>
  <c r="C77" i="9"/>
  <c r="C74" i="9" s="1"/>
  <c r="C13" i="12"/>
  <c r="C36" i="11"/>
  <c r="F54" i="9"/>
  <c r="F28" i="15"/>
  <c r="C28" i="15" s="1"/>
  <c r="F30" i="69"/>
  <c r="C30" i="69" s="1"/>
  <c r="F32" i="67"/>
  <c r="F60" i="67" s="1"/>
  <c r="F52" i="9"/>
  <c r="F28" i="67"/>
  <c r="C28" i="67" s="1"/>
  <c r="F30" i="11"/>
  <c r="D23" i="67"/>
  <c r="P7" i="1"/>
  <c r="F27" i="69"/>
  <c r="C47" i="69" s="1"/>
  <c r="D45" i="69" s="1"/>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F27" i="6"/>
  <c r="E27" i="6" s="1"/>
  <c r="E51" i="40"/>
  <c r="E56" i="39"/>
  <c r="F27" i="11"/>
  <c r="F28" i="12"/>
  <c r="C29" i="12" s="1"/>
  <c r="D28" i="12" s="1"/>
  <c r="H16" i="1"/>
  <c r="E59" i="40"/>
  <c r="AY6" i="3"/>
  <c r="E3" i="6"/>
  <c r="P11" i="1"/>
  <c r="D9" i="11"/>
  <c r="C9" i="11" s="1"/>
  <c r="D19" i="12"/>
  <c r="C19" i="12" s="1"/>
  <c r="O12" i="1"/>
  <c r="P12" i="1" s="1"/>
  <c r="AR8" i="1"/>
  <c r="T8" i="1"/>
  <c r="E30" i="6"/>
  <c r="K14" i="1"/>
  <c r="E16" i="6"/>
  <c r="O9" i="1"/>
  <c r="P9" i="1" s="1"/>
  <c r="O8" i="1"/>
  <c r="P8" i="1" s="1"/>
  <c r="T9" i="1"/>
  <c r="F22" i="43"/>
  <c r="K101" i="43"/>
  <c r="F101" i="43"/>
  <c r="N101" i="43"/>
  <c r="E22" i="43"/>
  <c r="L101" i="43"/>
  <c r="H101" i="43"/>
  <c r="G22" i="43"/>
  <c r="J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G16" i="1"/>
  <c r="J10" i="40" s="1"/>
  <c r="I14" i="74"/>
  <c r="B8" i="74" s="1"/>
  <c r="D127" i="9"/>
  <c r="D13" i="52" s="1"/>
  <c r="D12" i="52"/>
  <c r="T11" i="43"/>
  <c r="V11" i="43" s="1"/>
  <c r="T12" i="43"/>
  <c r="V12" i="43" s="1"/>
  <c r="F59" i="34"/>
  <c r="G59" i="34" s="1"/>
  <c r="H59" i="34" s="1"/>
  <c r="I59" i="34" s="1"/>
  <c r="J59" i="34" s="1"/>
  <c r="K59" i="34" s="1"/>
  <c r="L59" i="34" s="1"/>
  <c r="M59" i="34" s="1"/>
  <c r="N59" i="34" s="1"/>
  <c r="O59" i="34" s="1"/>
  <c r="H7" i="34"/>
  <c r="W7" i="33"/>
  <c r="AC7" i="33"/>
  <c r="D46" i="36"/>
  <c r="D58" i="21"/>
  <c r="D48" i="35"/>
  <c r="D52" i="37"/>
  <c r="C48" i="69"/>
  <c r="B6" i="49"/>
  <c r="B10" i="49"/>
  <c r="E13" i="49"/>
  <c r="B8" i="49"/>
  <c r="E14" i="49"/>
  <c r="Y6" i="71"/>
  <c r="Z6" i="71" s="1"/>
  <c r="Y5" i="71"/>
  <c r="AA6" i="71"/>
  <c r="AB3" i="71"/>
  <c r="E22" i="49"/>
  <c r="E21" i="49"/>
  <c r="B14" i="49"/>
  <c r="B9" i="49"/>
  <c r="E11" i="49"/>
  <c r="B11" i="49"/>
  <c r="C36" i="43"/>
  <c r="E36" i="43" s="1"/>
  <c r="E4" i="49"/>
  <c r="B13" i="49"/>
  <c r="E7" i="49"/>
  <c r="T9" i="43"/>
  <c r="V9" i="43" s="1"/>
  <c r="C37" i="43"/>
  <c r="E37" i="43" s="1"/>
  <c r="B6" i="71"/>
  <c r="B5" i="71" s="1"/>
  <c r="X6" i="71"/>
  <c r="AB6" i="71"/>
  <c r="T15" i="43"/>
  <c r="V15" i="43" s="1"/>
  <c r="Z5" i="71"/>
  <c r="Y3" i="71"/>
  <c r="Z3" i="71" s="1"/>
  <c r="D6" i="71"/>
  <c r="F6" i="71"/>
  <c r="F5" i="71" s="1"/>
  <c r="AF3" i="71"/>
  <c r="P22" i="43" s="1"/>
  <c r="P21" i="43"/>
  <c r="P24" i="43"/>
  <c r="B66" i="40"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15"/>
  <c r="M17" i="67"/>
  <c r="M17" i="15"/>
  <c r="F59" i="15"/>
  <c r="F59" i="67"/>
  <c r="F31" i="67"/>
  <c r="G1" i="73"/>
  <c r="C14" i="15"/>
  <c r="C17" i="15"/>
  <c r="C16" i="67"/>
  <c r="C16" i="15"/>
  <c r="J7" i="34" l="1"/>
  <c r="F7" i="34"/>
  <c r="F7" i="33"/>
  <c r="E68" i="39"/>
  <c r="D70" i="39"/>
  <c r="Q52" i="80"/>
  <c r="F1" i="80"/>
  <c r="H7" i="33"/>
  <c r="Q60" i="80"/>
  <c r="Q73" i="80"/>
  <c r="Q61" i="80"/>
  <c r="Q74" i="80"/>
  <c r="G65" i="40"/>
  <c r="H63" i="40"/>
  <c r="Q66" i="80"/>
  <c r="Q57" i="80"/>
  <c r="AC21" i="39"/>
  <c r="W21" i="39"/>
  <c r="AC25" i="39"/>
  <c r="W25" i="39"/>
  <c r="AA25" i="39"/>
  <c r="S25" i="39"/>
  <c r="AB25" i="39"/>
  <c r="U25" i="39"/>
  <c r="D10" i="52"/>
  <c r="B34" i="72"/>
  <c r="D17" i="53"/>
  <c r="B36" i="72" s="1"/>
  <c r="E35" i="43"/>
  <c r="G35" i="43"/>
  <c r="I35" i="43" s="1"/>
  <c r="C39" i="43"/>
  <c r="F11" i="80"/>
  <c r="M11" i="80"/>
  <c r="J10" i="80" s="1"/>
  <c r="J5" i="80" s="1"/>
  <c r="AA19" i="39"/>
  <c r="S19" i="39"/>
  <c r="AC19" i="39"/>
  <c r="W19" i="39"/>
  <c r="AB19" i="39"/>
  <c r="U19" i="39"/>
  <c r="W17" i="39"/>
  <c r="AC17" i="39"/>
  <c r="AA17" i="39"/>
  <c r="S17" i="39"/>
  <c r="AB17" i="39"/>
  <c r="U17" i="39"/>
  <c r="F31" i="6"/>
  <c r="E60" i="40"/>
  <c r="E65" i="39"/>
  <c r="E58" i="40"/>
  <c r="E63" i="39"/>
  <c r="H6" i="3"/>
  <c r="E57" i="40"/>
  <c r="E62" i="39"/>
  <c r="W32" i="33"/>
  <c r="U32" i="33"/>
  <c r="S25" i="33"/>
  <c r="AB27" i="33"/>
  <c r="AB23" i="33"/>
  <c r="U23" i="33"/>
  <c r="AA23" i="33"/>
  <c r="S23" i="33"/>
  <c r="AC23" i="33"/>
  <c r="W23" i="33"/>
  <c r="AC19" i="33"/>
  <c r="W19" i="33"/>
  <c r="S19" i="33"/>
  <c r="AA19" i="33"/>
  <c r="AB17" i="33"/>
  <c r="U17" i="33"/>
  <c r="AB15" i="33"/>
  <c r="U15" i="33"/>
  <c r="AA15" i="33"/>
  <c r="S15" i="33"/>
  <c r="AC15" i="33"/>
  <c r="W15" i="33"/>
  <c r="AC42" i="33"/>
  <c r="W42" i="33"/>
  <c r="AB36" i="33"/>
  <c r="AA36" i="33"/>
  <c r="S36" i="33"/>
  <c r="W36" i="33"/>
  <c r="AC36" i="33"/>
  <c r="AA32" i="33"/>
  <c r="S32" i="33"/>
  <c r="AC25" i="33"/>
  <c r="AB25" i="33"/>
  <c r="U25" i="33"/>
  <c r="C30" i="68"/>
  <c r="C48" i="68"/>
  <c r="C30" i="11"/>
  <c r="C48" i="11"/>
  <c r="C47" i="68"/>
  <c r="D45" i="68" s="1"/>
  <c r="C29" i="69"/>
  <c r="D27" i="69" s="1"/>
  <c r="G36" i="43"/>
  <c r="I36" i="43" s="1"/>
  <c r="K21" i="6"/>
  <c r="M21" i="6" s="1"/>
  <c r="I21" i="6" s="1"/>
  <c r="S21" i="6" s="1"/>
  <c r="K23" i="6"/>
  <c r="M23" i="6" s="1"/>
  <c r="I23" i="6" s="1"/>
  <c r="S23" i="6" s="1"/>
  <c r="K22" i="6"/>
  <c r="M22" i="6" s="1"/>
  <c r="I22" i="6" s="1"/>
  <c r="S22" i="6" s="1"/>
  <c r="K25" i="6"/>
  <c r="M25" i="6" s="1"/>
  <c r="I25" i="6" s="1"/>
  <c r="S25" i="6" s="1"/>
  <c r="K20" i="6"/>
  <c r="K19" i="6"/>
  <c r="S6" i="1" s="1"/>
  <c r="K24" i="6"/>
  <c r="M24" i="6" s="1"/>
  <c r="I24" i="6" s="1"/>
  <c r="S24" i="6" s="1"/>
  <c r="K26" i="6"/>
  <c r="M26" i="6" s="1"/>
  <c r="I26" i="6" s="1"/>
  <c r="S26" i="6" s="1"/>
  <c r="E31" i="6"/>
  <c r="AC6" i="3"/>
  <c r="C29" i="11"/>
  <c r="D27" i="11" s="1"/>
  <c r="C47" i="11"/>
  <c r="D45" i="11" s="1"/>
  <c r="C15" i="15"/>
  <c r="C18" i="15"/>
  <c r="M19" i="6"/>
  <c r="M14" i="1"/>
  <c r="C34" i="69"/>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83" i="3"/>
  <c r="AY66" i="3"/>
  <c r="AY23" i="3"/>
  <c r="AY176" i="3"/>
  <c r="AY155" i="3"/>
  <c r="AY115" i="3"/>
  <c r="AY59" i="3"/>
  <c r="AY188" i="3"/>
  <c r="AY131" i="3"/>
  <c r="AY276" i="3"/>
  <c r="AY58" i="3"/>
  <c r="AY297" i="3"/>
  <c r="AY268" i="3"/>
  <c r="AY225"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51" i="3"/>
  <c r="AY207" i="3"/>
  <c r="AY124" i="3"/>
  <c r="AY42" i="3"/>
  <c r="AY281" i="3"/>
  <c r="AY168" i="3"/>
  <c r="AY236"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87" i="3"/>
  <c r="AY144" i="3"/>
  <c r="AY152" i="3"/>
  <c r="AY253" i="3"/>
  <c r="AY366" i="3"/>
  <c r="AY473" i="3"/>
  <c r="AY441" i="3"/>
  <c r="AY26" i="3"/>
  <c r="AY260" i="3"/>
  <c r="AY372" i="3"/>
  <c r="AY310" i="3"/>
  <c r="AY420" i="3"/>
  <c r="AY549" i="3"/>
  <c r="AY533" i="3"/>
  <c r="AY97" i="3"/>
  <c r="AY61" i="3"/>
  <c r="AY44" i="3"/>
  <c r="AY190"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5"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4" i="3"/>
  <c r="AY111"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3" i="34"/>
  <c r="D3" i="33"/>
  <c r="E6" i="6"/>
  <c r="D37" i="11"/>
  <c r="C37" i="11" s="1"/>
  <c r="D14" i="12"/>
  <c r="M18" i="9"/>
  <c r="B118" i="9" s="1"/>
  <c r="B1" i="74" s="1"/>
  <c r="C7" i="74" s="1"/>
  <c r="C17" i="4"/>
  <c r="B4" i="52" s="1"/>
  <c r="B43" i="72" s="1"/>
  <c r="D19" i="11"/>
  <c r="C19" i="11" s="1"/>
  <c r="D3" i="37"/>
  <c r="D3" i="2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G37" i="43"/>
  <c r="I37" i="43" s="1"/>
  <c r="J10" i="39"/>
  <c r="AC10" i="39" s="1"/>
  <c r="H10" i="39"/>
  <c r="AB10" i="39" s="1"/>
  <c r="F10" i="40"/>
  <c r="F10" i="39"/>
  <c r="H10" i="40"/>
  <c r="E46" i="36"/>
  <c r="U7" i="34"/>
  <c r="AB7" i="34"/>
  <c r="T49" i="34" s="1"/>
  <c r="G49" i="34" s="1"/>
  <c r="AC10" i="40"/>
  <c r="W10" i="40"/>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AC7" i="34"/>
  <c r="V49" i="34" s="1"/>
  <c r="I49" i="34" s="1"/>
  <c r="W7" i="34"/>
  <c r="AA7" i="34"/>
  <c r="R49" i="34" s="1"/>
  <c r="S7" i="34"/>
  <c r="C49" i="67"/>
  <c r="E39" i="43"/>
  <c r="G39" i="43"/>
  <c r="I39" i="43" s="1"/>
  <c r="P25" i="43"/>
  <c r="P23" i="43"/>
  <c r="B71" i="39" s="1"/>
  <c r="M20" i="43"/>
  <c r="E38" i="43"/>
  <c r="G38" i="43"/>
  <c r="I38" i="43" s="1"/>
  <c r="G34" i="43"/>
  <c r="I34" i="43" s="1"/>
  <c r="E34" i="43"/>
  <c r="G33" i="43"/>
  <c r="I33" i="43" s="1"/>
  <c r="E33" i="43"/>
  <c r="C49" i="15"/>
  <c r="B40" i="1"/>
  <c r="F24" i="80"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AE6" i="1"/>
  <c r="F41" i="15" s="1"/>
  <c r="AE7" i="1"/>
  <c r="C14" i="67"/>
  <c r="F41" i="80"/>
  <c r="E70" i="39" l="1"/>
  <c r="F68" i="39"/>
  <c r="S7" i="33"/>
  <c r="AA7" i="33"/>
  <c r="U10" i="39"/>
  <c r="H65" i="40"/>
  <c r="I63" i="40"/>
  <c r="AB7" i="33"/>
  <c r="T48" i="33" s="1"/>
  <c r="G48" i="33" s="1"/>
  <c r="G52" i="33" s="1"/>
  <c r="H52" i="33" s="1"/>
  <c r="U7" i="33"/>
  <c r="F69" i="80"/>
  <c r="C24" i="80"/>
  <c r="C23" i="80"/>
  <c r="C53" i="80"/>
  <c r="C48" i="80" s="1"/>
  <c r="C10" i="80"/>
  <c r="C5" i="80" s="1"/>
  <c r="J26" i="80"/>
  <c r="J29" i="80" s="1"/>
  <c r="J24" i="80"/>
  <c r="F69" i="15"/>
  <c r="M20" i="6"/>
  <c r="I20" i="6" s="1"/>
  <c r="S20" i="6" s="1"/>
  <c r="S7" i="1"/>
  <c r="E66" i="39"/>
  <c r="E6" i="3"/>
  <c r="C8" i="74"/>
  <c r="C15" i="67"/>
  <c r="C18" i="67"/>
  <c r="K27" i="6"/>
  <c r="E6" i="70"/>
  <c r="E2" i="70" s="1"/>
  <c r="R48" i="33"/>
  <c r="E48" i="33" s="1"/>
  <c r="V48" i="33"/>
  <c r="I48" i="33" s="1"/>
  <c r="I52" i="33" s="1"/>
  <c r="J52" i="33" s="1"/>
  <c r="C19" i="15"/>
  <c r="C20" i="15" s="1"/>
  <c r="C26" i="15" s="1"/>
  <c r="AR6" i="1"/>
  <c r="S16" i="1"/>
  <c r="AQ6" i="1"/>
  <c r="T6" i="1"/>
  <c r="O14" i="1"/>
  <c r="O16" i="1" s="1"/>
  <c r="M16" i="1"/>
  <c r="H20" i="6"/>
  <c r="D26" i="6"/>
  <c r="D8" i="6"/>
  <c r="D14" i="6"/>
  <c r="D5" i="6"/>
  <c r="D12" i="6"/>
  <c r="D11" i="6"/>
  <c r="D13" i="6"/>
  <c r="D28" i="6"/>
  <c r="E61" i="40"/>
  <c r="H22" i="6"/>
  <c r="H21" i="6"/>
  <c r="H24" i="6"/>
  <c r="D19" i="6"/>
  <c r="M19" i="9" s="1"/>
  <c r="C118" i="9" s="1"/>
  <c r="B2" i="74" s="1"/>
  <c r="C18" i="4"/>
  <c r="D23" i="6"/>
  <c r="D6" i="6"/>
  <c r="D9" i="6"/>
  <c r="D10" i="6"/>
  <c r="D29" i="6"/>
  <c r="H25" i="6"/>
  <c r="H23" i="6"/>
  <c r="H26" i="6"/>
  <c r="D20" i="6"/>
  <c r="R20" i="6" s="1"/>
  <c r="R7" i="1" s="1"/>
  <c r="D21" i="6"/>
  <c r="D15" i="6"/>
  <c r="D24" i="6"/>
  <c r="D22" i="6"/>
  <c r="D25" i="6"/>
  <c r="W10" i="39"/>
  <c r="C20" i="11"/>
  <c r="C28" i="11" s="1"/>
  <c r="C27" i="11" s="1"/>
  <c r="D17" i="12"/>
  <c r="C17" i="12" s="1"/>
  <c r="C14" i="12"/>
  <c r="D10" i="11"/>
  <c r="C10" i="11" s="1"/>
  <c r="D10" i="69"/>
  <c r="D10" i="68"/>
  <c r="D20" i="12"/>
  <c r="C20" i="12" s="1"/>
  <c r="C35" i="69"/>
  <c r="C38" i="69"/>
  <c r="M27" i="6"/>
  <c r="I19" i="6"/>
  <c r="C115" i="43"/>
  <c r="D113" i="43" s="1"/>
  <c r="S5" i="43"/>
  <c r="T5" i="43" s="1"/>
  <c r="V5" i="43" s="1"/>
  <c r="S3" i="43"/>
  <c r="T3" i="43" s="1"/>
  <c r="V3" i="43" s="1"/>
  <c r="S4" i="43"/>
  <c r="T4" i="43" s="1"/>
  <c r="V4" i="43" s="1"/>
  <c r="S2" i="43"/>
  <c r="T2" i="43" s="1"/>
  <c r="V2" i="43" s="1"/>
  <c r="S6" i="43"/>
  <c r="T6" i="43" s="1"/>
  <c r="V6" i="43" s="1"/>
  <c r="C23" i="43"/>
  <c r="C21" i="43" s="1"/>
  <c r="C29" i="43" s="1"/>
  <c r="S7" i="43"/>
  <c r="T7" i="43" s="1"/>
  <c r="V7" i="43" s="1"/>
  <c r="AA10" i="39"/>
  <c r="S10" i="39"/>
  <c r="AB10" i="40"/>
  <c r="U10" i="40"/>
  <c r="S10" i="40"/>
  <c r="AA10" i="40"/>
  <c r="R50" i="34"/>
  <c r="E49" i="34"/>
  <c r="I53" i="34"/>
  <c r="J53" i="34" s="1"/>
  <c r="I54" i="34"/>
  <c r="J54" i="34" s="1"/>
  <c r="F58" i="21"/>
  <c r="F7" i="35"/>
  <c r="H7" i="37"/>
  <c r="F7" i="37"/>
  <c r="F46" i="36"/>
  <c r="J7" i="35"/>
  <c r="G53" i="34"/>
  <c r="H53" i="34" s="1"/>
  <c r="G54" i="34"/>
  <c r="H54" i="34" s="1"/>
  <c r="J7" i="37"/>
  <c r="H7" i="35"/>
  <c r="J26" i="67"/>
  <c r="J24" i="67"/>
  <c r="J24" i="15"/>
  <c r="J26" i="15"/>
  <c r="J29" i="15" s="1"/>
  <c r="C53" i="67"/>
  <c r="C48" i="67" s="1"/>
  <c r="C10" i="67"/>
  <c r="C5" i="67" s="1"/>
  <c r="C53" i="15"/>
  <c r="C48" i="15" s="1"/>
  <c r="C10" i="15"/>
  <c r="C5" i="15" s="1"/>
  <c r="F25" i="12"/>
  <c r="F22" i="69"/>
  <c r="F24" i="67"/>
  <c r="C24" i="67" s="1"/>
  <c r="F22" i="11"/>
  <c r="F22" i="68"/>
  <c r="F24" i="15"/>
  <c r="C24" i="15" s="1"/>
  <c r="F41" i="67"/>
  <c r="G68" i="39" l="1"/>
  <c r="F70" i="39"/>
  <c r="I65" i="40"/>
  <c r="J63" i="40"/>
  <c r="C29" i="80"/>
  <c r="C36" i="80" s="1"/>
  <c r="C66" i="80"/>
  <c r="C60" i="80"/>
  <c r="C38" i="80"/>
  <c r="T16" i="1"/>
  <c r="AR7" i="1"/>
  <c r="AQ7" i="1"/>
  <c r="T7" i="1"/>
  <c r="C19" i="67"/>
  <c r="C20" i="67" s="1"/>
  <c r="C26" i="67" s="1"/>
  <c r="H19" i="6"/>
  <c r="L19" i="9" s="1"/>
  <c r="L18" i="9"/>
  <c r="F69" i="67"/>
  <c r="J29" i="67"/>
  <c r="E53" i="33"/>
  <c r="F53" i="33" s="1"/>
  <c r="E52" i="33"/>
  <c r="F52" i="33" s="1"/>
  <c r="I53" i="33"/>
  <c r="J53" i="33" s="1"/>
  <c r="G53" i="33"/>
  <c r="H53" i="33" s="1"/>
  <c r="R49" i="33"/>
  <c r="C49" i="33" s="1"/>
  <c r="B2" i="33" s="1"/>
  <c r="H27" i="6"/>
  <c r="R24" i="6"/>
  <c r="D30" i="6"/>
  <c r="D16" i="6"/>
  <c r="R25" i="6"/>
  <c r="R21" i="6"/>
  <c r="P14" i="1"/>
  <c r="P16" i="1" s="1"/>
  <c r="C11" i="12" s="1"/>
  <c r="C12" i="12" s="1"/>
  <c r="C10" i="68"/>
  <c r="B29" i="1" s="1"/>
  <c r="D19" i="68"/>
  <c r="C4" i="52"/>
  <c r="B45" i="72" s="1"/>
  <c r="A7" i="51"/>
  <c r="B7" i="72" s="1"/>
  <c r="A10" i="51"/>
  <c r="B9" i="72" s="1"/>
  <c r="D7" i="74"/>
  <c r="D8" i="74"/>
  <c r="S19" i="6"/>
  <c r="S27" i="6" s="1"/>
  <c r="I27" i="6"/>
  <c r="C10" i="69"/>
  <c r="C8" i="69" s="1"/>
  <c r="C5" i="69" s="1"/>
  <c r="D19" i="69"/>
  <c r="R22" i="6"/>
  <c r="R23" i="6"/>
  <c r="D27" i="6"/>
  <c r="D31" i="6" s="1"/>
  <c r="R26" i="6"/>
  <c r="N16" i="1"/>
  <c r="L16" i="1"/>
  <c r="C34" i="11"/>
  <c r="C34" i="68"/>
  <c r="C30" i="43"/>
  <c r="E30" i="43" s="1"/>
  <c r="C27" i="43" s="1"/>
  <c r="E29" i="43"/>
  <c r="C26" i="43" s="1"/>
  <c r="B2" i="43"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E6" i="76"/>
  <c r="B6" i="76"/>
  <c r="H68" i="39" l="1"/>
  <c r="G70" i="39"/>
  <c r="C23" i="67"/>
  <c r="C29" i="67" s="1"/>
  <c r="C13" i="67" s="1"/>
  <c r="K63" i="40"/>
  <c r="J65" i="40"/>
  <c r="C57" i="80"/>
  <c r="C61" i="80" s="1"/>
  <c r="C13" i="80"/>
  <c r="C75" i="80" s="1"/>
  <c r="J59" i="80"/>
  <c r="J60" i="80" s="1"/>
  <c r="L46" i="80" s="1"/>
  <c r="Q49" i="80"/>
  <c r="J19" i="80"/>
  <c r="J14" i="80"/>
  <c r="J13" i="80" s="1"/>
  <c r="J23" i="80" s="1"/>
  <c r="C64" i="80"/>
  <c r="R19" i="6"/>
  <c r="R27" i="6" s="1"/>
  <c r="B3" i="33"/>
  <c r="C48" i="33"/>
  <c r="C15" i="12"/>
  <c r="C16" i="12" s="1"/>
  <c r="C38" i="11"/>
  <c r="C35" i="11"/>
  <c r="C23" i="69"/>
  <c r="C38" i="68"/>
  <c r="C35" i="68"/>
  <c r="I6" i="6"/>
  <c r="I5" i="6"/>
  <c r="C19" i="69"/>
  <c r="C24" i="69" s="1"/>
  <c r="D37" i="69"/>
  <c r="C37" i="69" s="1"/>
  <c r="C33" i="69" s="1"/>
  <c r="C19" i="68"/>
  <c r="D37" i="68"/>
  <c r="C37" i="68" s="1"/>
  <c r="F50" i="69"/>
  <c r="F50" i="11"/>
  <c r="F50" i="68"/>
  <c r="E2" i="76"/>
  <c r="I46" i="37"/>
  <c r="J46" i="37" s="1"/>
  <c r="H58" i="21"/>
  <c r="R39" i="35"/>
  <c r="E38" i="35"/>
  <c r="I43" i="35" s="1"/>
  <c r="J43" i="35" s="1"/>
  <c r="E42" i="37"/>
  <c r="R43" i="37"/>
  <c r="G46" i="37"/>
  <c r="H46" i="37" s="1"/>
  <c r="G47" i="37"/>
  <c r="H47" i="37" s="1"/>
  <c r="H46" i="36"/>
  <c r="I42" i="35"/>
  <c r="J42" i="35" s="1"/>
  <c r="G42" i="35"/>
  <c r="H42" i="35" s="1"/>
  <c r="G43" i="35"/>
  <c r="H43" i="35" s="1"/>
  <c r="B2" i="76"/>
  <c r="B3" i="43"/>
  <c r="J14" i="15"/>
  <c r="C57" i="15"/>
  <c r="C36" i="15"/>
  <c r="C33" i="15"/>
  <c r="C13" i="15"/>
  <c r="Q49" i="15"/>
  <c r="J19" i="15"/>
  <c r="J59" i="15"/>
  <c r="J60" i="15" s="1"/>
  <c r="C22" i="11"/>
  <c r="C31" i="11" s="1"/>
  <c r="C36" i="67"/>
  <c r="C33" i="67"/>
  <c r="J14" i="67"/>
  <c r="J19" i="67"/>
  <c r="Q49" i="67"/>
  <c r="I68" i="39" l="1"/>
  <c r="H70" i="39"/>
  <c r="J59" i="67"/>
  <c r="J60" i="67" s="1"/>
  <c r="Q48" i="67" s="1"/>
  <c r="C57" i="67"/>
  <c r="L63" i="40"/>
  <c r="K65" i="40"/>
  <c r="Q70" i="80"/>
  <c r="C56" i="80"/>
  <c r="C65" i="80" s="1"/>
  <c r="J22" i="80"/>
  <c r="C37" i="80"/>
  <c r="Q48" i="80"/>
  <c r="R6" i="1"/>
  <c r="C33" i="11"/>
  <c r="C42" i="11" s="1"/>
  <c r="C33" i="68"/>
  <c r="C42" i="68" s="1"/>
  <c r="C24" i="68"/>
  <c r="C20" i="69"/>
  <c r="C25" i="69" s="1"/>
  <c r="C22" i="69" s="1"/>
  <c r="C39" i="69"/>
  <c r="C43" i="69" s="1"/>
  <c r="C42" i="69"/>
  <c r="B3" i="76"/>
  <c r="C42" i="37"/>
  <c r="C43" i="37"/>
  <c r="B2" i="37" s="1"/>
  <c r="B3" i="37" s="1"/>
  <c r="E43" i="35"/>
  <c r="F43" i="35" s="1"/>
  <c r="E42" i="35"/>
  <c r="F42" i="35" s="1"/>
  <c r="I46" i="36"/>
  <c r="E47" i="37"/>
  <c r="F47" i="37" s="1"/>
  <c r="E46" i="37"/>
  <c r="F46" i="37" s="1"/>
  <c r="C39" i="35"/>
  <c r="B2" i="35" s="1"/>
  <c r="B3" i="35" s="1"/>
  <c r="C38" i="35"/>
  <c r="I58" i="21"/>
  <c r="J58" i="21" s="1"/>
  <c r="K58" i="21" s="1"/>
  <c r="L58" i="21" s="1"/>
  <c r="M58" i="21" s="1"/>
  <c r="N58" i="21" s="1"/>
  <c r="O58" i="21" s="1"/>
  <c r="F7" i="21" s="1"/>
  <c r="J7" i="21"/>
  <c r="H7" i="21"/>
  <c r="I47" i="37"/>
  <c r="J47" i="37" s="1"/>
  <c r="Q48" i="15"/>
  <c r="J13" i="67"/>
  <c r="J23" i="67" s="1"/>
  <c r="J22" i="67"/>
  <c r="C61" i="67"/>
  <c r="C64" i="67"/>
  <c r="C64" i="15"/>
  <c r="C61" i="15"/>
  <c r="C56" i="67"/>
  <c r="C65" i="67" s="1"/>
  <c r="C75" i="67"/>
  <c r="Q70" i="67"/>
  <c r="C37" i="67"/>
  <c r="C56" i="15"/>
  <c r="C65" i="15" s="1"/>
  <c r="Q70" i="15"/>
  <c r="C37" i="15"/>
  <c r="C75" i="15"/>
  <c r="J22" i="15"/>
  <c r="J13" i="15"/>
  <c r="J23" i="15" s="1"/>
  <c r="M21" i="80"/>
  <c r="M21" i="67"/>
  <c r="F35" i="80"/>
  <c r="M21" i="15"/>
  <c r="F35" i="15"/>
  <c r="F35" i="67"/>
  <c r="I70" i="39" l="1"/>
  <c r="J68" i="39"/>
  <c r="M63" i="40"/>
  <c r="L65" i="40"/>
  <c r="F63" i="80"/>
  <c r="C62" i="80" s="1"/>
  <c r="C59" i="80" s="1"/>
  <c r="C58" i="80" s="1"/>
  <c r="C67" i="80" s="1"/>
  <c r="C68" i="80" s="1"/>
  <c r="C34" i="80"/>
  <c r="C31" i="80" s="1"/>
  <c r="C30" i="80" s="1"/>
  <c r="C39" i="80" s="1"/>
  <c r="J20" i="80"/>
  <c r="J17" i="80" s="1"/>
  <c r="J16" i="80" s="1"/>
  <c r="J25" i="80" s="1"/>
  <c r="C34" i="15"/>
  <c r="C31" i="15" s="1"/>
  <c r="C30" i="15" s="1"/>
  <c r="C39" i="15" s="1"/>
  <c r="F63" i="15"/>
  <c r="C62" i="15" s="1"/>
  <c r="C59" i="15" s="1"/>
  <c r="C58" i="15" s="1"/>
  <c r="C67" i="15" s="1"/>
  <c r="C68" i="15" s="1"/>
  <c r="C71" i="15" s="1"/>
  <c r="J20" i="15"/>
  <c r="J17" i="15" s="1"/>
  <c r="J16" i="15" s="1"/>
  <c r="J25" i="15" s="1"/>
  <c r="R16" i="1"/>
  <c r="F63" i="67"/>
  <c r="C62" i="67" s="1"/>
  <c r="C59" i="67" s="1"/>
  <c r="C58" i="67" s="1"/>
  <c r="C67" i="67" s="1"/>
  <c r="C68" i="67" s="1"/>
  <c r="C34" i="67"/>
  <c r="C31" i="67" s="1"/>
  <c r="C30" i="67" s="1"/>
  <c r="C39" i="67" s="1"/>
  <c r="C80" i="67" s="1"/>
  <c r="C79" i="67" s="1"/>
  <c r="J20" i="67"/>
  <c r="J17" i="67" s="1"/>
  <c r="J16" i="67" s="1"/>
  <c r="J25" i="67" s="1"/>
  <c r="C39" i="11"/>
  <c r="C43" i="11" s="1"/>
  <c r="C41" i="11" s="1"/>
  <c r="C41" i="69"/>
  <c r="C39" i="68"/>
  <c r="C46" i="68" s="1"/>
  <c r="C45" i="68" s="1"/>
  <c r="C28" i="69"/>
  <c r="C27" i="69" s="1"/>
  <c r="C31" i="69" s="1"/>
  <c r="C46" i="69"/>
  <c r="C45" i="69" s="1"/>
  <c r="U7" i="21"/>
  <c r="AB7" i="21"/>
  <c r="T48" i="21" s="1"/>
  <c r="G48" i="21" s="1"/>
  <c r="AA7" i="21"/>
  <c r="R48" i="21" s="1"/>
  <c r="S7" i="21"/>
  <c r="J46" i="36"/>
  <c r="AC7" i="21"/>
  <c r="V48" i="21" s="1"/>
  <c r="I48" i="21" s="1"/>
  <c r="W7" i="21"/>
  <c r="L51" i="67"/>
  <c r="L51" i="15"/>
  <c r="J70" i="39" l="1"/>
  <c r="K68" i="39"/>
  <c r="N63" i="40"/>
  <c r="M65" i="40"/>
  <c r="Q69" i="80"/>
  <c r="Q68" i="80" s="1"/>
  <c r="C40" i="80"/>
  <c r="C46" i="80" s="1"/>
  <c r="C80" i="80"/>
  <c r="C79" i="80" s="1"/>
  <c r="C71" i="80"/>
  <c r="C80" i="15"/>
  <c r="C79" i="15" s="1"/>
  <c r="C40" i="15"/>
  <c r="Q65" i="15" s="1"/>
  <c r="Q69" i="15"/>
  <c r="Q68" i="15" s="1"/>
  <c r="C46" i="11"/>
  <c r="C45" i="11" s="1"/>
  <c r="C49" i="11" s="1"/>
  <c r="C51" i="11" s="1"/>
  <c r="C52" i="11" s="1"/>
  <c r="B2" i="11" s="1"/>
  <c r="B3" i="11" s="1"/>
  <c r="C40" i="67"/>
  <c r="Q47" i="67" s="1"/>
  <c r="Q53" i="67" s="1"/>
  <c r="Q69" i="67"/>
  <c r="Q68" i="67" s="1"/>
  <c r="C49" i="69"/>
  <c r="C51" i="69" s="1"/>
  <c r="C52" i="69" s="1"/>
  <c r="C57" i="69" s="1"/>
  <c r="C56" i="69" s="1"/>
  <c r="C43" i="68"/>
  <c r="C41" i="68" s="1"/>
  <c r="C49" i="68" s="1"/>
  <c r="C51" i="68" s="1"/>
  <c r="I52" i="21"/>
  <c r="J52" i="21" s="1"/>
  <c r="G52" i="21"/>
  <c r="H52" i="21" s="1"/>
  <c r="G53" i="21"/>
  <c r="H53" i="21" s="1"/>
  <c r="K46" i="36"/>
  <c r="R49" i="21"/>
  <c r="E48" i="21"/>
  <c r="I53" i="21" s="1"/>
  <c r="J53" i="21" s="1"/>
  <c r="Q67" i="15"/>
  <c r="L57" i="15"/>
  <c r="L60" i="15" s="1"/>
  <c r="L46" i="15" s="1"/>
  <c r="B2" i="15" s="1"/>
  <c r="B3" i="15" s="1"/>
  <c r="Q67" i="67"/>
  <c r="L57" i="67"/>
  <c r="L60" i="67" s="1"/>
  <c r="L46" i="67" s="1"/>
  <c r="C71" i="67"/>
  <c r="Q56" i="15"/>
  <c r="L51" i="80"/>
  <c r="L68" i="39" l="1"/>
  <c r="K70" i="39"/>
  <c r="N65" i="40"/>
  <c r="O63" i="40"/>
  <c r="O65" i="40" s="1"/>
  <c r="C83" i="15"/>
  <c r="C82" i="15" s="1"/>
  <c r="C43" i="15"/>
  <c r="Q67" i="80"/>
  <c r="Q47" i="80"/>
  <c r="Q53" i="80" s="1"/>
  <c r="Q65" i="80"/>
  <c r="Q75" i="80" s="1"/>
  <c r="Q56" i="80"/>
  <c r="Q62" i="80" s="1"/>
  <c r="C43" i="80"/>
  <c r="B2" i="80"/>
  <c r="B3" i="80" s="1"/>
  <c r="C83" i="80"/>
  <c r="C82" i="80" s="1"/>
  <c r="C46" i="15"/>
  <c r="Q47" i="15"/>
  <c r="Q53" i="15" s="1"/>
  <c r="C43" i="67"/>
  <c r="C45" i="67"/>
  <c r="C46" i="67" s="1"/>
  <c r="C83" i="67"/>
  <c r="C82" i="67" s="1"/>
  <c r="Q56" i="67"/>
  <c r="Q65" i="67"/>
  <c r="D2" i="67"/>
  <c r="B2" i="67" s="1"/>
  <c r="B2" i="69"/>
  <c r="B3" i="69" s="1"/>
  <c r="C56" i="11"/>
  <c r="C57" i="11" s="1"/>
  <c r="C48" i="21"/>
  <c r="C49" i="21"/>
  <c r="B2" i="21" s="1"/>
  <c r="B3" i="21" s="1"/>
  <c r="L46" i="36"/>
  <c r="E52" i="21"/>
  <c r="F52" i="21" s="1"/>
  <c r="E53" i="21"/>
  <c r="F53" i="21" s="1"/>
  <c r="Q66" i="15"/>
  <c r="Q75" i="15" s="1"/>
  <c r="Q57" i="15"/>
  <c r="Q62" i="15" s="1"/>
  <c r="Q66" i="67"/>
  <c r="Q57" i="67"/>
  <c r="AO7" i="1"/>
  <c r="AO6" i="1"/>
  <c r="L70" i="39" l="1"/>
  <c r="M68" i="39"/>
  <c r="J7" i="40"/>
  <c r="F7" i="40"/>
  <c r="H7" i="40"/>
  <c r="B7" i="70"/>
  <c r="B3" i="67"/>
  <c r="Q75" i="67"/>
  <c r="Q62" i="67"/>
  <c r="B6" i="70"/>
  <c r="B2" i="70" s="1"/>
  <c r="M46" i="36"/>
  <c r="N46" i="36" s="1"/>
  <c r="O46" i="36" s="1"/>
  <c r="D19" i="9"/>
  <c r="M70" i="39" l="1"/>
  <c r="N68" i="39"/>
  <c r="U7" i="40"/>
  <c r="AB7" i="40"/>
  <c r="T42" i="40" s="1"/>
  <c r="G42" i="40" s="1"/>
  <c r="H7" i="36"/>
  <c r="AA7" i="40"/>
  <c r="R42" i="40" s="1"/>
  <c r="S7" i="40"/>
  <c r="AC7" i="40"/>
  <c r="V42" i="40" s="1"/>
  <c r="I42" i="40" s="1"/>
  <c r="W7" i="40"/>
  <c r="D21" i="9"/>
  <c r="D102" i="9"/>
  <c r="B3" i="70"/>
  <c r="U7" i="36"/>
  <c r="AB7" i="36"/>
  <c r="T36" i="36" s="1"/>
  <c r="G36" i="36" s="1"/>
  <c r="F7" i="36"/>
  <c r="J7" i="36"/>
  <c r="D20" i="9"/>
  <c r="O68" i="39" l="1"/>
  <c r="O70" i="39" s="1"/>
  <c r="N70" i="39"/>
  <c r="I46" i="40"/>
  <c r="J46" i="40" s="1"/>
  <c r="E42" i="40"/>
  <c r="R43" i="40"/>
  <c r="G47" i="40"/>
  <c r="H47" i="40" s="1"/>
  <c r="G46" i="40"/>
  <c r="H46" i="40" s="1"/>
  <c r="D103" i="9"/>
  <c r="W7" i="36"/>
  <c r="AC7" i="36"/>
  <c r="V36" i="36" s="1"/>
  <c r="I36" i="36" s="1"/>
  <c r="G40" i="36"/>
  <c r="H40" i="36" s="1"/>
  <c r="G41" i="36"/>
  <c r="H41" i="36" s="1"/>
  <c r="AA7" i="36"/>
  <c r="R36" i="36" s="1"/>
  <c r="S7" i="36"/>
  <c r="J7" i="39" l="1"/>
  <c r="H7" i="39"/>
  <c r="F7" i="39"/>
  <c r="E46" i="40"/>
  <c r="F46" i="40" s="1"/>
  <c r="E47" i="40"/>
  <c r="F47" i="40" s="1"/>
  <c r="C42" i="40"/>
  <c r="C43" i="40"/>
  <c r="I47" i="40"/>
  <c r="J47" i="40" s="1"/>
  <c r="I40" i="36"/>
  <c r="J40" i="36" s="1"/>
  <c r="E36" i="36"/>
  <c r="I41" i="36" s="1"/>
  <c r="J41" i="36" s="1"/>
  <c r="R37" i="36"/>
  <c r="AA7" i="39" l="1"/>
  <c r="R47" i="39" s="1"/>
  <c r="S7" i="39"/>
  <c r="AB7" i="39"/>
  <c r="T47" i="39" s="1"/>
  <c r="G47" i="39" s="1"/>
  <c r="U7" i="39"/>
  <c r="W7" i="39"/>
  <c r="AC7" i="39"/>
  <c r="V47" i="39" s="1"/>
  <c r="I47" i="39" s="1"/>
  <c r="I51" i="39" s="1"/>
  <c r="J51" i="39"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C36" i="36"/>
  <c r="C37" i="36"/>
  <c r="B2" i="36" s="1"/>
  <c r="B3" i="36" s="1"/>
  <c r="E40" i="36"/>
  <c r="F40" i="36" s="1"/>
  <c r="E41" i="36"/>
  <c r="F41" i="36" s="1"/>
  <c r="R48" i="39" l="1"/>
  <c r="E47" i="39"/>
  <c r="G52" i="39"/>
  <c r="H52" i="39" s="1"/>
  <c r="G51" i="39"/>
  <c r="H51" i="39" s="1"/>
  <c r="C8" i="68"/>
  <c r="E51" i="39" l="1"/>
  <c r="F51" i="39" s="1"/>
  <c r="I52" i="39"/>
  <c r="J52" i="39" s="1"/>
  <c r="E52" i="39"/>
  <c r="F52" i="39" s="1"/>
  <c r="C48" i="39"/>
  <c r="C47" i="39"/>
  <c r="C18" i="12"/>
  <c r="C21" i="12" s="1"/>
  <c r="C22" i="12" s="1"/>
  <c r="C30" i="12" s="1"/>
  <c r="C28" i="12" s="1"/>
  <c r="B57" i="39" l="1"/>
  <c r="F57" i="39" s="1"/>
  <c r="B58" i="39"/>
  <c r="F58" i="39" s="1"/>
  <c r="B63" i="39"/>
  <c r="F63" i="39" s="1"/>
  <c r="B59" i="39"/>
  <c r="F59" i="39" s="1"/>
  <c r="B62" i="39"/>
  <c r="F62" i="39" s="1"/>
  <c r="B56" i="39"/>
  <c r="F56" i="39" s="1"/>
  <c r="B64" i="39"/>
  <c r="F64" i="39" s="1"/>
  <c r="B65" i="39"/>
  <c r="F65" i="39" s="1"/>
  <c r="B61" i="39"/>
  <c r="F61" i="39" s="1"/>
  <c r="B60" i="39"/>
  <c r="F60" i="39" s="1"/>
  <c r="C27" i="12"/>
  <c r="C25" i="12" s="1"/>
  <c r="C32" i="12" s="1"/>
  <c r="B2" i="12" s="1"/>
  <c r="B3" i="12" s="1"/>
  <c r="F66" i="39" l="1"/>
  <c r="B2" i="39" s="1"/>
  <c r="B3" i="39" s="1"/>
  <c r="C6" i="68"/>
  <c r="C7" i="68" l="1"/>
  <c r="C5" i="68" s="1"/>
  <c r="C20" i="68" l="1"/>
  <c r="C25" i="68" s="1"/>
  <c r="C23" i="68"/>
  <c r="C28" i="68"/>
  <c r="C27" i="68" s="1"/>
  <c r="C22" i="68" l="1"/>
  <c r="C31" i="68" s="1"/>
  <c r="C52" i="68" s="1"/>
  <c r="B2" i="68" l="1"/>
  <c r="C57" i="68"/>
  <c r="C56" i="68" s="1"/>
  <c r="C19" i="9"/>
  <c r="C102" i="9" l="1"/>
  <c r="G19" i="9"/>
  <c r="C21" i="9"/>
  <c r="D22" i="9"/>
  <c r="B3" i="68"/>
  <c r="C20" i="9"/>
  <c r="G20" i="9" l="1"/>
  <c r="R24" i="31" s="1"/>
  <c r="C103" i="9"/>
  <c r="G21" i="9"/>
  <c r="C32" i="9"/>
  <c r="S24" i="31" l="1"/>
  <c r="R30" i="31"/>
  <c r="S30" i="31" s="1"/>
  <c r="R62" i="31"/>
  <c r="S62" i="31" s="1"/>
  <c r="R29" i="31"/>
  <c r="S29" i="31" s="1"/>
  <c r="R63" i="31"/>
  <c r="S63" i="31" s="1"/>
  <c r="R53" i="31"/>
  <c r="S53" i="31" s="1"/>
  <c r="R70" i="31"/>
  <c r="S70" i="31" s="1"/>
  <c r="R34" i="31"/>
  <c r="S34" i="31" s="1"/>
  <c r="R67" i="31"/>
  <c r="S67" i="31" s="1"/>
  <c r="R69" i="31"/>
  <c r="S69" i="31" s="1"/>
  <c r="R56" i="31"/>
  <c r="S56" i="31" s="1"/>
  <c r="R26" i="31"/>
  <c r="S26" i="31" s="1"/>
  <c r="R43" i="31"/>
  <c r="S43" i="31" s="1"/>
  <c r="R60" i="31"/>
  <c r="S60" i="31" s="1"/>
  <c r="R50" i="31"/>
  <c r="S50" i="31" s="1"/>
  <c r="R68" i="31"/>
  <c r="S68" i="31" s="1"/>
  <c r="R47" i="31"/>
  <c r="S47" i="31" s="1"/>
  <c r="R32" i="31"/>
  <c r="S32" i="31" s="1"/>
  <c r="R45" i="31"/>
  <c r="S45" i="31" s="1"/>
  <c r="R46" i="31"/>
  <c r="S46" i="31" s="1"/>
  <c r="R64" i="31"/>
  <c r="S64" i="31" s="1"/>
  <c r="R38" i="31"/>
  <c r="S38" i="31" s="1"/>
  <c r="R55" i="31"/>
  <c r="S55" i="31" s="1"/>
  <c r="R49" i="31"/>
  <c r="S49" i="31" s="1"/>
  <c r="R35" i="31"/>
  <c r="S35" i="31" s="1"/>
  <c r="R52" i="31"/>
  <c r="S52" i="31" s="1"/>
  <c r="R31" i="31"/>
  <c r="S31" i="31" s="1"/>
  <c r="R37" i="31"/>
  <c r="S37" i="31" s="1"/>
  <c r="R54" i="31"/>
  <c r="S54" i="31" s="1"/>
  <c r="R71" i="31"/>
  <c r="S71" i="31" s="1"/>
  <c r="R25" i="31"/>
  <c r="S25" i="31" s="1"/>
  <c r="R57" i="31"/>
  <c r="S57" i="31" s="1"/>
  <c r="R42" i="31"/>
  <c r="S42" i="31" s="1"/>
  <c r="R27" i="31"/>
  <c r="S27" i="31" s="1"/>
  <c r="R59" i="31"/>
  <c r="S59" i="31" s="1"/>
  <c r="R44" i="31"/>
  <c r="S44" i="31" s="1"/>
  <c r="R40" i="31"/>
  <c r="S40" i="31" s="1"/>
  <c r="R65" i="31"/>
  <c r="S65" i="31" s="1"/>
  <c r="R66" i="31"/>
  <c r="S66" i="31" s="1"/>
  <c r="R36" i="31"/>
  <c r="S36" i="31" s="1"/>
  <c r="R72" i="31"/>
  <c r="S72" i="31" s="1"/>
  <c r="R61" i="31"/>
  <c r="S61" i="31" s="1"/>
  <c r="R48" i="31"/>
  <c r="S48" i="31" s="1"/>
  <c r="R39" i="31"/>
  <c r="S39" i="31" s="1"/>
  <c r="R41" i="31"/>
  <c r="S41" i="31" s="1"/>
  <c r="R58" i="31"/>
  <c r="S58" i="31" s="1"/>
  <c r="R28" i="31"/>
  <c r="S28" i="31" s="1"/>
  <c r="R33" i="31"/>
  <c r="S33" i="31" s="1"/>
  <c r="R51" i="31"/>
  <c r="S51" i="31" s="1"/>
  <c r="C35" i="9"/>
  <c r="F118" i="9" s="1"/>
  <c r="H118" i="9"/>
  <c r="C34" i="9" l="1"/>
  <c r="D118" i="9" s="1"/>
  <c r="D119" i="9" s="1"/>
  <c r="D5" i="52" s="1"/>
  <c r="B49" i="72" s="1"/>
  <c r="F4" i="52"/>
  <c r="B51" i="72" s="1"/>
  <c r="G118" i="9"/>
  <c r="G4" i="52" s="1"/>
  <c r="B52" i="72" s="1"/>
  <c r="F119" i="9"/>
  <c r="F5" i="52" s="1"/>
  <c r="B53" i="72" s="1"/>
  <c r="H4" i="52"/>
  <c r="I118" i="9"/>
  <c r="D14" i="74"/>
  <c r="C104" i="9"/>
  <c r="H101" i="9"/>
  <c r="H119" i="9"/>
  <c r="H5" i="52" s="1"/>
  <c r="S22" i="31"/>
  <c r="D4" i="52" l="1"/>
  <c r="B47" i="72" s="1"/>
  <c r="B20" i="31"/>
  <c r="B21" i="31" s="1"/>
  <c r="R22" i="31"/>
  <c r="D45" i="9"/>
  <c r="M48" i="9"/>
  <c r="D5" i="53"/>
  <c r="H107" i="9"/>
  <c r="F14" i="74"/>
  <c r="E14" i="74"/>
  <c r="B5" i="74"/>
  <c r="E118" i="9"/>
  <c r="E4" i="52" s="1"/>
  <c r="B48" i="72" s="1"/>
  <c r="C105" i="9"/>
  <c r="H102" i="9"/>
  <c r="D7" i="53" s="1"/>
  <c r="B21" i="72" s="1"/>
  <c r="I4" i="52"/>
  <c r="D122" i="9" l="1"/>
  <c r="D13" i="53"/>
  <c r="M49" i="9"/>
  <c r="H108" i="9"/>
  <c r="D15" i="53" s="1"/>
  <c r="B31" i="72" s="1"/>
  <c r="D5" i="74"/>
  <c r="C5" i="74"/>
  <c r="D6" i="53"/>
  <c r="B22" i="72" s="1"/>
  <c r="B20" i="72"/>
  <c r="C85" i="9"/>
  <c r="C95" i="9" s="1"/>
  <c r="D52" i="9"/>
  <c r="D55" i="9"/>
  <c r="M53" i="9" s="1"/>
  <c r="C72" i="9"/>
  <c r="C64" i="9"/>
  <c r="C63" i="9" s="1"/>
  <c r="C67" i="9" s="1"/>
  <c r="C68" i="9" s="1"/>
  <c r="D54" i="9" s="1"/>
  <c r="C93" i="9"/>
  <c r="C86" i="9" s="1"/>
  <c r="D53" i="9"/>
  <c r="C78" i="9"/>
  <c r="C73" i="9" s="1"/>
  <c r="L66" i="9" l="1"/>
  <c r="M66" i="9" s="1"/>
  <c r="L68" i="9"/>
  <c r="M68" i="9" s="1"/>
  <c r="L64" i="9"/>
  <c r="M64" i="9" s="1"/>
  <c r="L67" i="9"/>
  <c r="M67" i="9" s="1"/>
  <c r="L63" i="9"/>
  <c r="M63" i="9" s="1"/>
  <c r="L65" i="9"/>
  <c r="M65" i="9" s="1"/>
  <c r="D123" i="9"/>
  <c r="D9" i="52" s="1"/>
  <c r="G14" i="74"/>
  <c r="B6" i="74" s="1"/>
  <c r="D8" i="52"/>
  <c r="C79" i="9"/>
  <c r="B30" i="72"/>
  <c r="D14" i="53"/>
  <c r="B32" i="72" s="1"/>
  <c r="C96" i="9"/>
  <c r="E96" i="9" s="1"/>
  <c r="E97" i="9" s="1"/>
  <c r="M69" i="9" l="1"/>
  <c r="N69" i="9" s="1"/>
  <c r="C97" i="9"/>
  <c r="D58" i="9" s="1"/>
  <c r="D56" i="9" s="1"/>
  <c r="M54" i="9" s="1"/>
  <c r="N57" i="9" s="1"/>
  <c r="N58" i="9" s="1"/>
  <c r="C80" i="9"/>
  <c r="E80" i="9" s="1"/>
  <c r="E81" i="9" s="1"/>
  <c r="D6" i="74"/>
  <c r="C6" i="74"/>
  <c r="N59" i="9" l="1"/>
  <c r="N60" i="9" s="1"/>
  <c r="C81"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<sst xmlns="http://schemas.openxmlformats.org/spreadsheetml/2006/main" count="8893" uniqueCount="3661">
  <si>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</si>
  <si>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</si>
  <si>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</si>
  <si>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</si>
  <si>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</si>
  <si>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</si>
  <si>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</si>
  <si>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</si>
  <si>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</si>
  <si>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</si>
  <si>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</si>
  <si>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</si>
  <si>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</si>
  <si>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</si>
  <si>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</si>
  <si>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</si>
  <si>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</si>
  <si>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</si>
  <si>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</si>
  <si>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</si>
  <si>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</si>
  <si>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</si>
  <si>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</si>
  <si>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</si>
  <si>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</si>
  <si>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</si>
  <si>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</si>
  <si>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</si>
  <si>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</si>
  <si>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</si>
  <si>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</si>
  <si>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</si>
  <si>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</si>
  <si>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</si>
  <si>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</si>
  <si>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</si>
  <si>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</si>
  <si>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</si>
  <si>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</si>
  <si>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</si>
  <si>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</si>
  <si>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</si>
  <si>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</si>
  <si>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</si>
  <si>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</si>
  <si>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</si>
  <si>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</si>
  <si>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</si>
  <si>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</si>
  <si>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</si>
  <si>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</si>
  <si>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</si>
  <si>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</si>
  <si>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</si>
  <si>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</si>
  <si>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</si>
  <si>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</si>
  <si>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</si>
  <si>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</si>
  <si>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</si>
  <si>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</si>
  <si>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</si>
  <si>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</si>
  <si>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</si>
  <si>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</si>
  <si>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</si>
  <si>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</si>
  <si>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</si>
  <si>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</si>
  <si>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</si>
  <si>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</si>
  <si>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</si>
  <si>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</si>
  <si>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</si>
  <si>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</si>
  <si>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</si>
  <si>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</si>
  <si>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</si>
  <si>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</si>
  <si>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</si>
  <si>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</si>
  <si>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</si>
  <si>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</si>
  <si>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</si>
  <si>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</si>
  <si>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</si>
  <si>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</si>
  <si>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</si>
  <si>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</si>
  <si>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</si>
  <si>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</si>
  <si>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</si>
  <si>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</si>
  <si>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</si>
  <si>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</si>
  <si>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</si>
  <si>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</si>
  <si>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</si>
  <si>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</si>
  <si>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</si>
  <si>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</si>
  <si>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</si>
  <si>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</si>
  <si>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</si>
  <si>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</si>
  <si>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</si>
  <si>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</si>
  <si>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</si>
  <si>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</si>
  <si>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</si>
  <si>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</si>
  <si>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</si>
  <si>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</si>
  <si>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</si>
  <si>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</si>
  <si>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</si>
  <si>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</si>
  <si>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</si>
  <si>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</si>
  <si>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</si>
  <si>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</si>
  <si>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</si>
  <si>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</si>
  <si>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</si>
  <si>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</si>
  <si>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</si>
  <si>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</si>
  <si>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</si>
  <si>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</si>
  <si>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</si>
  <si>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</si>
  <si>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</si>
  <si>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</si>
  <si>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</si>
  <si>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</si>
  <si>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</si>
  <si>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</si>
  <si>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</si>
  <si>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</si>
  <si>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</si>
  <si>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</si>
  <si>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</si>
  <si>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</si>
  <si>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</si>
  <si>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</si>
  <si>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</si>
  <si>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</si>
  <si>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</si>
  <si>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</si>
  <si>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</si>
  <si>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</si>
  <si>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</si>
  <si>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</si>
  <si>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</si>
  <si>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</si>
  <si>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</si>
  <si>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</si>
  <si>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</si>
  <si>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</si>
  <si>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</si>
  <si>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</si>
  <si>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</si>
  <si>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</si>
  <si>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</si>
  <si>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</si>
  <si>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</si>
  <si>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</si>
  <si>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</si>
  <si>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</si>
  <si>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</si>
  <si>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</si>
  <si>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</si>
  <si>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</si>
  <si>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</si>
  <si>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</si>
  <si>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</si>
  <si>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</si>
  <si>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</si>
  <si>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</si>
  <si>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</si>
  <si>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</si>
  <si>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</si>
  <si>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</si>
  <si>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</si>
  <si>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</si>
  <si>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</si>
  <si>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</si>
  <si>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</si>
  <si>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</si>
  <si>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</si>
  <si>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</si>
  <si>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</si>
  <si>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</si>
  <si>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</si>
  <si>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</si>
  <si>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</si>
  <si>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</si>
  <si>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</si>
  <si>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</si>
  <si>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</si>
  <si>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</si>
  <si>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</si>
  <si>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</si>
  <si>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</si>
  <si>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</si>
  <si>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</si>
  <si>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</si>
  <si>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</si>
  <si>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</si>
  <si>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</si>
  <si>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</si>
  <si>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</si>
  <si>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</si>
  <si>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</si>
  <si>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</si>
  <si>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</si>
  <si>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</si>
  <si>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</si>
  <si>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</si>
  <si>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</si>
  <si>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</si>
  <si>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</si>
  <si>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</si>
  <si>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</si>
  <si>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</si>
  <si>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</si>
  <si>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</si>
  <si>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</si>
  <si>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</si>
  <si>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</si>
  <si>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</si>
  <si>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</si>
  <si>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</si>
  <si>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</si>
  <si>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</si>
  <si>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</si>
  <si>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</si>
  <si>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</si>
  <si>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</si>
  <si>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</si>
  <si>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</si>
  <si>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</si>
  <si>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</si>
  <si>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</si>
  <si>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</si>
  <si>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</si>
  <si>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</si>
  <si>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</si>
  <si>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</si>
  <si>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</si>
  <si>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</si>
  <si>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</si>
  <si>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</si>
  <si>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</si>
  <si>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</si>
  <si>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</si>
  <si>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</si>
  <si>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</si>
  <si>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</si>
  <si>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</si>
  <si>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</si>
  <si>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</si>
  <si>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</si>
  <si>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</si>
  <si>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</si>
  <si>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</si>
  <si>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</si>
  <si>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</si>
  <si>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</si>
  <si>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</si>
  <si>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</si>
  <si>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</si>
  <si>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</si>
  <si>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</si>
  <si>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</si>
  <si>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</si>
  <si>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</si>
  <si>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</si>
  <si>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</si>
  <si>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</si>
  <si>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</si>
  <si>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</si>
  <si>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</si>
  <si>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</si>
  <si>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</si>
  <si>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</si>
  <si>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</si>
  <si>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</si>
  <si>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</si>
  <si>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</si>
  <si>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</si>
  <si>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</si>
  <si>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</si>
  <si>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</si>
  <si>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</si>
  <si>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</si>
  <si>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</si>
  <si>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</si>
  <si>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</si>
  <si>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</si>
  <si>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</si>
  <si>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</si>
  <si>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</si>
  <si>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</si>
  <si>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</si>
  <si>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</si>
  <si>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</si>
  <si>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</si>
  <si>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</si>
  <si>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</si>
  <si>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</si>
  <si>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</si>
  <si>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</si>
  <si>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</si>
  <si>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</si>
  <si>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</si>
  <si>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</si>
  <si>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</si>
  <si>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</si>
  <si>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</si>
  <si>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</si>
  <si>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</si>
  <si>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</si>
  <si>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</si>
  <si>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</si>
  <si>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</si>
  <si>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</si>
  <si>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</si>
  <si>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</si>
  <si>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</si>
  <si>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</si>
  <si>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</si>
  <si>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</si>
  <si>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</si>
  <si>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</si>
  <si>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</si>
  <si>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</si>
  <si>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</si>
  <si>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</si>
  <si>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</si>
  <si>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</si>
  <si>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</si>
  <si>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</si>
  <si>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</si>
  <si>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</si>
  <si>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</si>
  <si>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</si>
  <si>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</si>
  <si>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</si>
  <si>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</si>
  <si>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</si>
  <si>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</si>
  <si>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</si>
  <si>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</si>
  <si>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</si>
  <si>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</si>
  <si>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</si>
  <si>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</si>
  <si>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</si>
  <si>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</si>
  <si>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</si>
  <si>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</si>
  <si>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</si>
  <si>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</si>
  <si>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</si>
  <si>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</si>
  <si>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</si>
  <si>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</si>
  <si>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</si>
  <si>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</si>
  <si>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</si>
  <si>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</si>
  <si>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</si>
  <si>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</si>
  <si>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</si>
  <si>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</si>
  <si>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</si>
  <si>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</si>
  <si>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</si>
  <si>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</si>
  <si>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</si>
  <si>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</si>
  <si>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</si>
  <si>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</si>
  <si>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</si>
  <si>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</si>
  <si>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</si>
  <si>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</si>
  <si>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</si>
  <si>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</si>
  <si>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</si>
  <si>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</si>
  <si>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</si>
  <si>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</si>
  <si>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</si>
  <si>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</si>
  <si>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</si>
  <si>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</si>
  <si>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</si>
  <si>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</si>
  <si>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</si>
  <si>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</si>
  <si>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</si>
  <si>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</si>
  <si>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</si>
  <si>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</si>
  <si>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</si>
  <si>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</si>
  <si>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</si>
  <si>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</si>
  <si>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</si>
  <si>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</si>
  <si>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</si>
  <si>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</si>
  <si>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</si>
  <si>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</si>
  <si>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</si>
  <si>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</si>
  <si>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</si>
  <si>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</si>
  <si>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</si>
  <si>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</si>
  <si>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</si>
  <si>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</si>
  <si>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</si>
  <si>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</si>
  <si>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</si>
  <si>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</si>
  <si>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</si>
  <si>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</si>
  <si>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</si>
  <si>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</si>
  <si>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</si>
  <si>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</si>
  <si>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</si>
  <si>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</si>
  <si>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</si>
  <si>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</si>
  <si>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</si>
  <si>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</si>
  <si>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</si>
  <si>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</si>
  <si>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</si>
  <si>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</si>
  <si>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</si>
  <si>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</si>
  <si>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</si>
  <si>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</si>
  <si>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</si>
  <si>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</si>
  <si>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</si>
  <si>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</si>
  <si>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</si>
  <si>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</si>
  <si>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</si>
  <si>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</si>
  <si>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</si>
  <si>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</si>
  <si>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</si>
  <si>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</si>
  <si>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</si>
  <si>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</si>
  <si>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</si>
  <si>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</si>
  <si>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</si>
  <si>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</si>
  <si>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</si>
  <si>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</si>
  <si>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</si>
  <si>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</si>
  <si>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</si>
  <si>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</si>
  <si>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</si>
  <si>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</si>
  <si>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</si>
  <si>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</si>
  <si>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</si>
  <si>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</si>
  <si>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</si>
  <si>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</si>
  <si>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</si>
  <si>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</si>
  <si>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</si>
  <si>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</si>
  <si>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</si>
  <si>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</si>
  <si>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</si>
  <si>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</si>
  <si>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</si>
  <si>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</si>
  <si>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</si>
  <si>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</si>
  <si>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</si>
  <si>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</si>
  <si>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</si>
  <si>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</si>
  <si>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</si>
  <si>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</si>
  <si>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</si>
  <si>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</si>
  <si>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</si>
  <si>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</si>
  <si>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</si>
  <si>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</si>
  <si>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</si>
  <si>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</si>
  <si>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</si>
  <si>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</si>
  <si>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</si>
  <si>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</si>
  <si>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</si>
  <si>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</si>
  <si>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</si>
  <si>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</si>
  <si>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</si>
  <si>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</si>
  <si>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</si>
  <si>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</si>
  <si>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</si>
  <si>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</si>
  <si>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</si>
  <si>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</si>
  <si>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</si>
  <si>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</si>
  <si>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</si>
  <si>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</si>
  <si>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</si>
  <si>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</si>
  <si>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</si>
  <si>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</si>
  <si>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</si>
  <si>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</si>
  <si>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</si>
  <si>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</si>
  <si>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</si>
  <si>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</si>
  <si>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</si>
  <si>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</si>
  <si>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</si>
  <si>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</si>
  <si>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</si>
  <si>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</si>
  <si>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</si>
  <si>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</si>
  <si>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</si>
  <si>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</si>
  <si>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</si>
  <si>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</si>
  <si>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</si>
  <si>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</si>
  <si>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</si>
  <si>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</si>
  <si>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</si>
  <si>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</si>
  <si>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</si>
  <si>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</si>
  <si>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</si>
  <si>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</si>
  <si>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</si>
  <si>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</si>
  <si>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</si>
  <si>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</si>
  <si>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</si>
  <si>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</si>
  <si>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</si>
  <si>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</si>
  <si>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</si>
  <si>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</si>
  <si>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</si>
  <si>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</si>
  <si>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</si>
  <si>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</si>
  <si>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</si>
  <si>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</si>
  <si>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</si>
  <si>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</si>
  <si>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</si>
  <si>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</si>
  <si>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</si>
  <si>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</si>
  <si>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</si>
  <si>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</si>
  <si>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</si>
  <si>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</si>
  <si>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</si>
  <si>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</si>
  <si>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</si>
  <si>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</si>
  <si>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</si>
  <si>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</si>
  <si>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</si>
  <si>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</si>
  <si>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</si>
  <si>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</si>
  <si>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</si>
  <si>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</si>
  <si>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</si>
  <si>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</si>
  <si>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</si>
  <si>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</si>
  <si>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</si>
  <si>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</si>
  <si>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</si>
  <si>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</si>
  <si>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</si>
  <si>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</si>
  <si>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</si>
  <si>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</si>
  <si>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</si>
  <si>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</si>
  <si>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</si>
  <si>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</si>
  <si>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</si>
  <si>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</si>
  <si>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</si>
  <si>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</si>
  <si>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</si>
  <si>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</si>
  <si>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</si>
  <si>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</si>
  <si>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</si>
  <si>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</si>
  <si>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</si>
  <si>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</si>
  <si>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</si>
  <si>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</si>
  <si>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</si>
  <si>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</si>
  <si>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</si>
  <si>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</si>
  <si>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</si>
  <si>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</si>
  <si>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</si>
  <si>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</si>
  <si>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</si>
  <si>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</si>
  <si>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</si>
  <si>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</si>
  <si>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</si>
  <si>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</si>
  <si>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</si>
  <si>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</si>
  <si>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</si>
  <si>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</si>
  <si>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</si>
  <si>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</si>
  <si>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</si>
  <si>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</si>
  <si>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</si>
  <si>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</si>
  <si>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</si>
  <si>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</si>
  <si>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</si>
  <si>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</si>
  <si>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</si>
  <si>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</si>
  <si>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</si>
  <si>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</si>
  <si>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</si>
  <si>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</si>
  <si>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</si>
  <si>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</si>
  <si>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</si>
  <si>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</si>
  <si>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</si>
  <si>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</si>
  <si>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</si>
  <si>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</si>
  <si>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</si>
  <si>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</si>
  <si>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</si>
  <si>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</si>
  <si>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</si>
  <si>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</si>
  <si>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</si>
  <si>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</si>
  <si>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</si>
  <si>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</si>
  <si>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</si>
  <si>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</si>
  <si>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</si>
  <si>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</si>
  <si>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</si>
  <si>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</si>
  <si>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</si>
  <si>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</si>
  <si>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</si>
  <si>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</si>
  <si>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</si>
  <si>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</si>
  <si>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</si>
  <si>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</si>
  <si>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</si>
  <si>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</si>
  <si>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</si>
  <si>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</si>
  <si>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</si>
  <si>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</si>
  <si>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</si>
  <si>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</si>
  <si>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</si>
  <si>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</si>
  <si>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</si>
  <si>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</si>
  <si>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</si>
  <si>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</si>
  <si>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</si>
  <si>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</si>
  <si>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</si>
  <si>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</si>
  <si>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</si>
  <si>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</si>
  <si>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</si>
  <si>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</si>
  <si>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</si>
  <si>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</si>
  <si>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</si>
  <si>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</si>
  <si>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</si>
  <si>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</si>
  <si>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</si>
  <si>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</si>
  <si>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</si>
  <si>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</si>
  <si>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</si>
  <si>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</si>
  <si>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</si>
  <si>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</si>
  <si>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</si>
  <si>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</si>
  <si>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</si>
  <si>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</si>
  <si>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</si>
  <si>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</si>
  <si>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</si>
  <si>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</si>
  <si>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</si>
  <si>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</si>
  <si>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</si>
  <si>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</si>
  <si>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</si>
  <si>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</si>
  <si>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</si>
  <si>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</si>
  <si>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</si>
  <si>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</si>
  <si>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</si>
  <si>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</si>
  <si>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</si>
  <si>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</si>
  <si>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</si>
  <si>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</si>
  <si>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</si>
  <si>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</si>
  <si>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</si>
  <si>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</si>
  <si>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</si>
  <si>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</si>
  <si>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</si>
  <si>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</si>
  <si>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</si>
  <si>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</si>
  <si>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</si>
  <si>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</si>
  <si>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</si>
  <si>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</si>
  <si>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</si>
  <si>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</si>
  <si>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</si>
  <si>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</si>
  <si>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</si>
  <si>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</si>
  <si>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</si>
  <si>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</si>
  <si>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</si>
  <si>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</si>
  <si>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</si>
  <si>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</si>
  <si>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</si>
  <si>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</si>
  <si>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</si>
  <si>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</si>
  <si>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</si>
  <si>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</si>
  <si>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</si>
  <si>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</si>
  <si>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</si>
  <si>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</si>
  <si>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</si>
  <si>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</si>
  <si>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</si>
  <si>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</si>
  <si>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</si>
  <si>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</si>
  <si>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</si>
  <si>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</si>
  <si>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</si>
  <si>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</si>
  <si>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</si>
  <si>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</si>
  <si>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</si>
  <si>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</si>
  <si>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</si>
  <si>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</si>
  <si>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</si>
  <si>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</si>
  <si>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</si>
  <si>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</si>
  <si>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</si>
  <si>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</si>
  <si>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</si>
  <si>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</si>
  <si>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</si>
  <si>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</si>
  <si>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</si>
  <si>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</si>
  <si>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</si>
  <si>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</si>
  <si>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</si>
  <si>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</si>
  <si>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</si>
  <si>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</si>
  <si>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</si>
  <si>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</si>
  <si>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</si>
  <si>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</si>
  <si>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</si>
  <si>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</si>
  <si>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</si>
  <si>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</si>
  <si>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</si>
  <si>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</si>
  <si>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</si>
  <si>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</si>
  <si>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</si>
  <si>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</si>
  <si>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</si>
  <si>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</si>
  <si>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</si>
  <si>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</si>
  <si>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</si>
  <si>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</si>
  <si>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</si>
  <si>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</si>
  <si>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</si>
  <si>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</si>
  <si>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</si>
  <si>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</si>
  <si>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</si>
  <si>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</si>
  <si>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</si>
  <si>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</si>
  <si>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</si>
  <si>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</si>
  <si>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</si>
  <si>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</si>
  <si>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</si>
  <si>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</si>
  <si>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</si>
  <si>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</si>
  <si>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</si>
  <si>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</si>
  <si>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</si>
  <si>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</si>
  <si>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</si>
  <si>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</si>
  <si>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</si>
  <si>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</si>
  <si>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</si>
  <si>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</si>
  <si>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</si>
  <si>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</si>
  <si>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</si>
  <si>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</si>
  <si>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</si>
  <si>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</si>
  <si>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</si>
  <si>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</si>
  <si>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</si>
  <si>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</si>
  <si>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</si>
  <si>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</si>
  <si>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</si>
  <si>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</si>
  <si>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</si>
  <si>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</si>
  <si>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</si>
  <si>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</si>
  <si>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</si>
  <si>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</si>
  <si>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</si>
  <si>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</si>
  <si>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</si>
  <si>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</si>
  <si>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</si>
  <si>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</si>
  <si>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</si>
  <si>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</si>
  <si>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</si>
  <si>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</si>
  <si>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</si>
  <si>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</si>
  <si>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</si>
  <si>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</si>
  <si>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</si>
  <si>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</si>
  <si>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</si>
  <si>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</si>
  <si>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</si>
  <si>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</si>
  <si>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</si>
  <si>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</si>
  <si>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</si>
  <si>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</si>
  <si>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</si>
  <si>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</si>
  <si>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</si>
  <si>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</si>
  <si>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</si>
  <si>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</si>
  <si>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</si>
  <si>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</si>
  <si>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</si>
  <si>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</si>
  <si>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</si>
  <si>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</si>
  <si>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</si>
  <si>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</si>
  <si>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</si>
  <si>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</si>
  <si>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</si>
  <si>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</si>
  <si>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</si>
  <si>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</si>
  <si>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</si>
  <si>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</si>
  <si>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</si>
  <si>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</si>
  <si>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</si>
  <si>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</si>
  <si>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</si>
  <si>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</si>
  <si>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</si>
  <si>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</si>
  <si>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</si>
  <si>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</si>
  <si>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</si>
  <si>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</si>
  <si>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</si>
  <si>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</si>
  <si>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</si>
  <si>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</si>
  <si>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</si>
  <si>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</si>
  <si>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</si>
  <si>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</si>
  <si>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</si>
  <si>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</si>
  <si>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</si>
  <si>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</si>
  <si>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</si>
  <si>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</si>
  <si>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</si>
  <si>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</si>
  <si>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</si>
  <si>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</si>
  <si>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</si>
  <si>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</si>
  <si>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</si>
  <si>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</si>
  <si>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</si>
  <si>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</si>
  <si>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</si>
  <si>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</si>
  <si>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</si>
  <si>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</si>
  <si>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</si>
  <si>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</si>
  <si>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</si>
  <si>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</si>
  <si>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</si>
  <si>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</si>
  <si>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</si>
  <si>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</si>
  <si>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</si>
  <si>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</si>
  <si>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</si>
  <si>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</si>
  <si>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</si>
  <si>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</si>
  <si>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</si>
  <si>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</si>
  <si>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</si>
  <si>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</si>
  <si>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</si>
  <si>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</si>
  <si>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</si>
  <si>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</si>
  <si>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</si>
  <si>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</si>
  <si>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</si>
  <si>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</si>
  <si>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</si>
  <si>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</si>
  <si>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</si>
  <si>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</si>
  <si>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</si>
  <si>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</si>
  <si>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</si>
  <si>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</si>
  <si>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</si>
  <si>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</si>
  <si>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</si>
  <si>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</si>
  <si>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</si>
  <si>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</si>
  <si>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</si>
  <si>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</si>
  <si>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</si>
  <si>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</si>
  <si>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</si>
  <si>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</si>
  <si>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</si>
  <si>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</si>
  <si>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</si>
  <si>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</si>
  <si>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</si>
  <si>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</si>
  <si>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</si>
  <si>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</si>
  <si>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</si>
  <si>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</si>
  <si>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</si>
  <si>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</si>
  <si>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</si>
  <si>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</si>
  <si>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</si>
  <si>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</si>
  <si>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</si>
  <si>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</si>
  <si>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</si>
  <si>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</si>
  <si>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</si>
  <si>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</si>
  <si>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</si>
  <si>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</si>
  <si>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</si>
  <si>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</si>
  <si>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</si>
  <si>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</si>
  <si>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</si>
  <si>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</si>
  <si>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</si>
  <si>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</si>
  <si>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</si>
  <si>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</si>
  <si>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</si>
  <si>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</si>
  <si>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</si>
  <si>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</si>
  <si>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</si>
  <si>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</si>
  <si>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</si>
  <si>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</si>
  <si>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</si>
  <si>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</si>
  <si>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</si>
  <si>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</si>
  <si>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</si>
  <si>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</si>
  <si>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</si>
  <si>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</si>
  <si>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</si>
  <si>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</si>
  <si>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</si>
  <si>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</si>
  <si>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</si>
  <si>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</si>
  <si>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</si>
  <si>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</si>
  <si>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</si>
  <si>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</si>
  <si>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</si>
  <si>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</si>
  <si>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</si>
  <si>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</si>
  <si>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</si>
  <si>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</si>
  <si>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</si>
  <si>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</si>
  <si>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</si>
  <si>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</si>
  <si>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</si>
  <si>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</si>
  <si>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</si>
  <si>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</si>
  <si>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</si>
  <si>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</si>
  <si>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</si>
  <si>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</si>
  <si>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</si>
  <si>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</si>
  <si>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</si>
  <si>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</si>
  <si>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</si>
  <si>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</si>
  <si>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</si>
  <si>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</si>
  <si>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</si>
  <si>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</si>
  <si>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</si>
  <si>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</si>
  <si>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</si>
  <si>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</si>
  <si>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</si>
  <si>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</si>
  <si>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</si>
  <si>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</si>
  <si>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</si>
  <si>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</si>
  <si>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</si>
  <si>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</si>
  <si>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</si>
  <si>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</si>
  <si>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</si>
  <si>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</si>
  <si>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</si>
  <si>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</si>
  <si>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</si>
  <si>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</si>
  <si>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</si>
  <si>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</si>
  <si>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</si>
  <si>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</si>
  <si>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</si>
  <si>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</si>
  <si>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</si>
  <si>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</si>
  <si>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</si>
  <si>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</si>
  <si>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</si>
  <si>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</si>
  <si>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</si>
  <si>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</si>
  <si>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</si>
  <si>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</si>
  <si>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</si>
  <si>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</si>
  <si>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</si>
  <si>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</si>
  <si>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</si>
  <si>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</si>
  <si>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</si>
  <si>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</si>
  <si>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</si>
  <si>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</si>
  <si>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</si>
  <si>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</si>
  <si>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</si>
  <si>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</si>
  <si>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</si>
  <si>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</si>
  <si>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</si>
  <si>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</si>
  <si>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</si>
  <si>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</si>
  <si>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</si>
  <si>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</si>
  <si>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</si>
  <si>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</si>
  <si>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</si>
  <si>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</si>
  <si>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</si>
  <si>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</si>
  <si>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</si>
  <si>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</si>
  <si>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</si>
  <si>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</si>
  <si>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</si>
  <si>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</si>
  <si>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</si>
  <si>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</si>
  <si>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</si>
  <si>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</si>
  <si>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</si>
  <si>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</si>
  <si>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</si>
  <si>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</si>
  <si>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</si>
  <si>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</si>
  <si>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</si>
  <si>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</si>
  <si>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</si>
  <si>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</si>
  <si>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</si>
  <si>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</si>
  <si>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</si>
  <si>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</si>
  <si>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</si>
  <si>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</si>
  <si>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</si>
  <si>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</si>
  <si>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</si>
  <si>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</si>
  <si>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</si>
  <si>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</si>
  <si>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</si>
  <si>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</si>
  <si>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</si>
  <si>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</si>
  <si>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</si>
  <si>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</si>
  <si>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</si>
  <si>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</si>
  <si>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</si>
  <si>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</si>
  <si>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</si>
  <si>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</si>
  <si>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</si>
  <si>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</si>
  <si>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</si>
  <si>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</si>
  <si>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</si>
  <si>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</si>
  <si>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</si>
  <si>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</si>
  <si>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</si>
  <si>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</si>
  <si>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</si>
  <si>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</si>
  <si>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</si>
  <si>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</si>
  <si>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</si>
  <si>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</si>
  <si>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</si>
  <si>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</si>
  <si>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</si>
  <si>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</si>
  <si>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</si>
  <si>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</si>
  <si>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</si>
  <si>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</si>
  <si>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</si>
  <si>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</si>
  <si>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</si>
  <si>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</si>
  <si>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</si>
  <si>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</si>
  <si>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</si>
  <si>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</si>
  <si>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</si>
  <si>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</si>
  <si>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</si>
  <si>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</si>
  <si>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</si>
  <si>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</si>
  <si>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</si>
  <si>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</si>
  <si>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</si>
  <si>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</si>
  <si>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</si>
  <si>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</si>
  <si>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</si>
  <si>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</si>
  <si>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</si>
  <si>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</si>
  <si>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</si>
  <si>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</si>
  <si>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</si>
  <si>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</si>
  <si>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</si>
  <si>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</si>
  <si>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</si>
  <si>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</si>
  <si>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</si>
  <si>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</si>
  <si>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</si>
  <si>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</si>
  <si>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</si>
  <si>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</si>
  <si>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</si>
  <si>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</si>
  <si>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</si>
  <si>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</si>
  <si>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</si>
  <si>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</si>
  <si>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</si>
  <si>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</si>
  <si>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</si>
  <si>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</si>
  <si>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</si>
  <si>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</si>
  <si>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</si>
  <si>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</si>
  <si>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</si>
  <si>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</si>
  <si>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</si>
  <si>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</si>
  <si>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</si>
  <si>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</si>
  <si>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</si>
  <si>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</si>
  <si>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</si>
  <si>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</si>
  <si>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</si>
  <si>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</si>
  <si>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</si>
  <si>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</si>
  <si>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</si>
  <si>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</si>
  <si>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</si>
  <si>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</si>
  <si>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</si>
  <si>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</si>
  <si>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</si>
  <si>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</si>
  <si>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</si>
  <si>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</si>
  <si>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</si>
  <si>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</si>
  <si>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</si>
  <si>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</si>
  <si>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</si>
  <si>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</si>
  <si>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</si>
  <si>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</si>
  <si>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</si>
  <si>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</si>
  <si>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</si>
  <si>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</si>
  <si>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</si>
  <si>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</si>
  <si>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</si>
  <si>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</si>
  <si>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</si>
  <si>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</si>
  <si>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</si>
  <si>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</si>
  <si>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</si>
  <si>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</si>
  <si>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</si>
  <si>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</si>
  <si>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</si>
  <si>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</si>
  <si>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</si>
  <si>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</si>
  <si>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</si>
  <si>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</si>
  <si>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</si>
  <si>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</si>
  <si>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</si>
  <si>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</si>
  <si>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</si>
  <si>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</si>
  <si>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</si>
  <si>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</si>
  <si>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</si>
  <si>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</si>
  <si>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</si>
  <si>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</si>
  <si>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</si>
  <si>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</si>
  <si>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</si>
  <si>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</si>
  <si>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</si>
  <si>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</si>
  <si>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</si>
  <si>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</si>
  <si>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</si>
  <si>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</si>
  <si>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</si>
  <si>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</si>
  <si>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</si>
  <si>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</si>
  <si>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</si>
  <si>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</si>
  <si>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</si>
  <si>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</si>
  <si>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</si>
  <si>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</si>
  <si>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</si>
  <si>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</si>
  <si>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</si>
  <si>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</si>
  <si>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</si>
  <si>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</si>
  <si>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</si>
  <si>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</si>
  <si>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</si>
  <si>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</si>
  <si>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</si>
  <si>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</si>
  <si>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</si>
  <si>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</si>
  <si>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</si>
  <si>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</si>
  <si>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</si>
  <si>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</si>
  <si>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</si>
  <si>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</si>
  <si>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</si>
  <si>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</si>
  <si>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</si>
  <si>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</si>
  <si>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</si>
  <si>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</si>
  <si>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</si>
  <si>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</si>
  <si>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</si>
  <si>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</si>
  <si>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</si>
  <si>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</si>
  <si>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</si>
  <si>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</si>
  <si>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</si>
  <si>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</si>
  <si>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</si>
  <si>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</si>
  <si>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</si>
  <si>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</si>
  <si>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</si>
  <si>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</si>
  <si>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</si>
  <si>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</si>
  <si>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</si>
  <si>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</si>
  <si>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</si>
  <si>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</si>
  <si>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</si>
  <si>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</si>
  <si>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</si>
  <si>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</si>
  <si>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</si>
  <si>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</si>
  <si>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</si>
  <si>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</si>
  <si>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</si>
  <si>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</si>
  <si>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</si>
  <si>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</si>
  <si>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</si>
  <si>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</si>
  <si>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</si>
  <si>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</si>
  <si>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</si>
  <si>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</si>
  <si>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</si>
  <si>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</si>
  <si>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</si>
  <si>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</si>
  <si>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</si>
  <si>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</si>
  <si>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</si>
  <si>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</si>
  <si>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</si>
  <si>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</si>
  <si>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</si>
  <si>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</si>
  <si>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</si>
  <si>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</si>
  <si>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</si>
  <si>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</si>
  <si>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</si>
  <si>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</si>
  <si>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</si>
  <si>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</si>
  <si>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</si>
  <si>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</si>
  <si>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</si>
  <si>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</si>
  <si>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</si>
  <si>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</si>
  <si>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</si>
  <si>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</si>
  <si>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</si>
  <si>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</si>
  <si>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</si>
  <si>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</si>
  <si>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</si>
  <si>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</si>
  <si>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</si>
  <si>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</si>
  <si>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</si>
  <si>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</si>
  <si>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</si>
  <si>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</si>
  <si>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</si>
  <si>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</si>
  <si>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</si>
  <si>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</si>
  <si>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</si>
  <si>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</si>
  <si>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</si>
  <si>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</si>
  <si>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</si>
  <si>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</si>
  <si>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</si>
  <si>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</si>
  <si>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</si>
  <si>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</si>
  <si>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</si>
  <si>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</si>
  <si>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</si>
  <si>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</si>
  <si>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</si>
  <si>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</si>
  <si>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</si>
  <si>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</si>
  <si>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</si>
  <si>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</si>
  <si>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</si>
  <si>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</si>
  <si>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</si>
  <si>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</si>
  <si>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</si>
  <si>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</si>
  <si>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</si>
  <si>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</si>
  <si>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</si>
  <si>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</si>
  <si>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</si>
  <si>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</si>
  <si>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</si>
  <si>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</si>
  <si>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</si>
  <si>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</si>
  <si>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</si>
  <si>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</si>
  <si>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</si>
  <si>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</si>
  <si>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</si>
  <si>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</si>
  <si>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</si>
  <si>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</si>
  <si>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</si>
  <si>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</si>
  <si>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</si>
  <si>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</si>
  <si>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</si>
  <si>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</si>
  <si>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</si>
  <si>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</si>
  <si>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</si>
  <si>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</si>
  <si>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</si>
  <si>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</si>
  <si>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</si>
  <si>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</si>
  <si>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</si>
  <si>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</si>
  <si>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</si>
  <si>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</si>
  <si>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</si>
  <si>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</si>
  <si>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</si>
  <si>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</si>
  <si>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</si>
  <si>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</si>
  <si>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</si>
  <si>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</si>
  <si>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</si>
  <si>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</si>
  <si>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</si>
  <si>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</si>
  <si>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</si>
  <si>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</si>
  <si>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</si>
  <si>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</si>
  <si>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</si>
  <si>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</si>
  <si>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</si>
  <si>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</si>
  <si>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</si>
  <si>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</si>
  <si>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</si>
  <si>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</si>
  <si>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</si>
  <si>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</si>
  <si>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</si>
  <si>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</si>
  <si>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</si>
  <si>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</si>
  <si>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</si>
  <si>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</si>
  <si>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</si>
  <si>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</si>
  <si>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</si>
  <si>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</si>
  <si>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</si>
  <si>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</si>
  <si>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</si>
  <si>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</si>
  <si>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</si>
  <si>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</si>
  <si>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</si>
  <si>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</si>
  <si>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</si>
  <si>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</si>
  <si>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</si>
  <si>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</si>
  <si>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</si>
  <si>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</si>
  <si>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</si>
  <si>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</si>
  <si>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</si>
  <si>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</si>
  <si>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</si>
  <si>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</si>
  <si>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</si>
  <si>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</si>
  <si>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</si>
  <si>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</si>
  <si>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</si>
  <si>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</si>
  <si>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</si>
  <si>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</si>
  <si>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</si>
  <si>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</si>
  <si>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</si>
  <si>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</si>
  <si>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</si>
  <si>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</si>
  <si>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</si>
  <si>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</si>
  <si>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</si>
  <si>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</si>
  <si>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</si>
  <si>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</si>
  <si>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</si>
  <si>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</si>
  <si>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</si>
  <si>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</si>
  <si>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</si>
  <si>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</si>
  <si>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</si>
  <si>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</si>
  <si>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</si>
  <si>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</si>
  <si>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</si>
  <si>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</si>
  <si>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</si>
  <si>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</si>
  <si>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</si>
  <si>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</si>
  <si>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</si>
  <si>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</si>
  <si>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</si>
  <si>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</si>
  <si>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</si>
  <si>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</si>
  <si>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</si>
  <si>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</si>
  <si>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</si>
  <si>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</si>
  <si>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</si>
  <si>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</si>
  <si>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</si>
  <si>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</si>
  <si>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</si>
  <si>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</si>
  <si>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</si>
  <si>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</si>
  <si>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</si>
  <si>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</si>
  <si>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</si>
  <si>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</si>
  <si>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</si>
  <si>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</si>
  <si>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</si>
  <si>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</si>
  <si>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</si>
  <si>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</si>
  <si>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</si>
  <si>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</si>
  <si>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</si>
  <si>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</si>
  <si>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</si>
  <si>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</si>
  <si>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</si>
  <si>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</si>
  <si>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</si>
  <si>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</si>
  <si>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</si>
  <si>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</si>
  <si>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</si>
  <si>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</si>
  <si>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</si>
  <si>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</si>
  <si>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</si>
  <si>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</si>
  <si>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</si>
  <si>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</si>
  <si>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</si>
  <si>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</si>
  <si>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</si>
  <si>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</si>
  <si>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</si>
  <si>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</si>
  <si>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</si>
  <si>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</si>
  <si>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</si>
  <si>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</si>
  <si>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</si>
  <si>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</si>
  <si>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</si>
  <si>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</si>
  <si>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</si>
  <si>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</si>
  <si>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</si>
  <si>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</si>
  <si>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</si>
  <si>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</si>
  <si>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</si>
  <si>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</si>
  <si>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</si>
  <si>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</si>
  <si>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</si>
  <si>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</si>
  <si>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</si>
  <si>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</si>
  <si>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</si>
  <si>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</si>
  <si>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</si>
  <si>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</si>
  <si>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</si>
  <si>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</si>
  <si>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</si>
  <si>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</si>
  <si>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</si>
  <si>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</si>
  <si>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</si>
  <si>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</si>
  <si>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</si>
  <si>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</si>
  <si>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</si>
  <si>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</si>
  <si>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</si>
  <si>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</si>
  <si>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</si>
  <si>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</si>
  <si>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</si>
  <si>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</si>
  <si>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</si>
  <si>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</si>
  <si>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</si>
  <si>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</si>
  <si>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</si>
  <si>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</si>
  <si>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</si>
  <si>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</si>
  <si>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</si>
  <si>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</si>
  <si>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</si>
  <si>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</si>
  <si>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</si>
  <si>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</si>
  <si>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</si>
  <si>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</si>
  <si>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</si>
  <si>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</si>
  <si>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</si>
  <si>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</si>
  <si>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</si>
  <si>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</si>
  <si>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</si>
  <si>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</si>
  <si>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</si>
  <si>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</si>
  <si>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</si>
  <si>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</si>
  <si>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</si>
  <si>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</si>
  <si>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</si>
  <si>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</si>
  <si>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</si>
  <si>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</si>
  <si>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</si>
  <si>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</si>
  <si>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</si>
  <si>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</si>
  <si>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</si>
  <si>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</si>
  <si>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</si>
  <si>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</si>
  <si>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</si>
  <si>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</si>
  <si>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</si>
  <si>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</si>
  <si>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</si>
  <si>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</si>
  <si>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</si>
  <si>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</si>
  <si>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</si>
  <si>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</si>
  <si>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</si>
  <si>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</si>
  <si>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</si>
  <si>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</si>
  <si>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</si>
  <si>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</si>
  <si>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</si>
  <si>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</si>
  <si>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</si>
  <si>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</si>
  <si>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</si>
  <si>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</si>
  <si>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</si>
  <si>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</si>
  <si>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</si>
  <si>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</si>
  <si>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</si>
  <si>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</si>
  <si>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</si>
  <si>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</si>
  <si>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</si>
  <si>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</si>
  <si>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</si>
  <si>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</si>
  <si>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</si>
  <si>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</si>
  <si>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</si>
  <si>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</si>
  <si>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</si>
  <si>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</si>
  <si>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</si>
  <si>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</si>
  <si>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</si>
  <si>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</si>
  <si>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</si>
  <si>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</si>
  <si>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</si>
  <si>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</si>
  <si>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</si>
  <si>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</si>
  <si>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</si>
  <si>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</si>
  <si>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</si>
  <si>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</si>
  <si>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</si>
  <si>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</si>
  <si>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</si>
  <si>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</si>
  <si>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</si>
  <si>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</si>
  <si>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</si>
  <si>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</si>
  <si>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</si>
  <si>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</si>
  <si>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</si>
  <si>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</si>
  <si>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</si>
  <si>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</si>
  <si>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</si>
  <si>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</si>
  <si>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</si>
  <si>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</si>
  <si>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</si>
  <si>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</si>
  <si>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</si>
  <si>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</si>
  <si>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</si>
  <si>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</si>
  <si>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</si>
  <si>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</si>
  <si>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</si>
  <si>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</si>
  <si>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</si>
  <si>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</si>
  <si>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</si>
  <si>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</si>
  <si>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</si>
  <si>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</si>
  <si>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</si>
  <si>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</si>
  <si>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</si>
  <si>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</si>
  <si>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</si>
  <si>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</si>
  <si>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</si>
  <si>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</si>
  <si>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</si>
  <si>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</si>
  <si>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</si>
  <si>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</si>
  <si>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</si>
  <si>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</si>
  <si>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</si>
  <si>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</si>
  <si>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</si>
  <si>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</si>
  <si>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</si>
  <si>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</si>
  <si>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</si>
  <si>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</si>
  <si>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</si>
  <si>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</si>
  <si>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</si>
  <si>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</si>
  <si>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</si>
  <si>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</si>
  <si>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</si>
  <si>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</si>
  <si>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</si>
  <si>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</si>
  <si>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</si>
  <si>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</si>
  <si>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</si>
  <si>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</si>
  <si>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</si>
  <si>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</si>
  <si>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</si>
  <si>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</si>
  <si>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</si>
  <si>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</si>
  <si>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</si>
  <si>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</si>
  <si>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</si>
  <si>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</si>
  <si>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</si>
  <si>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</si>
  <si>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</si>
  <si>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</si>
  <si>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</si>
  <si>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</si>
  <si>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</si>
  <si>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</si>
  <si>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</si>
  <si>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</si>
  <si>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</si>
  <si>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</si>
  <si>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</si>
  <si>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</si>
  <si>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</si>
  <si>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</si>
  <si>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</si>
  <si>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</si>
  <si>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</si>
  <si>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</si>
  <si>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</si>
  <si>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</si>
  <si>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</si>
  <si>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</si>
  <si>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</si>
  <si>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</si>
  <si>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</si>
  <si>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</si>
  <si>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</si>
  <si>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</si>
  <si>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</si>
  <si>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</si>
  <si>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</si>
  <si>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</si>
  <si>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</si>
  <si>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</si>
  <si>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</si>
  <si>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</si>
  <si>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</si>
  <si>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</si>
  <si>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</si>
  <si>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</si>
  <si>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</si>
  <si>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</si>
  <si>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</si>
  <si>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</si>
  <si>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</si>
  <si>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</si>
  <si>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</si>
  <si>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</si>
  <si>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</si>
  <si>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</si>
  <si>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</si>
  <si>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</si>
  <si>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</si>
  <si>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</si>
  <si>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</si>
  <si>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</si>
  <si>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</si>
  <si>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</si>
  <si>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</si>
  <si>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</si>
  <si>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</si>
  <si>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</si>
  <si>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</si>
  <si>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</si>
  <si>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</si>
  <si>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</si>
  <si>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</si>
  <si>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</si>
  <si>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</si>
  <si>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</si>
  <si>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</si>
  <si>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</si>
  <si>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</si>
  <si>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</si>
  <si>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</si>
  <si>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</si>
  <si>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</si>
  <si>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</si>
  <si>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</si>
  <si>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</si>
  <si>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</si>
  <si>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</si>
  <si>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</si>
  <si>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</si>
  <si>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</si>
  <si>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</si>
  <si>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</si>
  <si>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</si>
  <si>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</si>
  <si>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</si>
  <si>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</si>
  <si>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</si>
  <si>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</si>
  <si>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</si>
  <si>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</si>
  <si>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</si>
  <si>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</si>
  <si>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</si>
  <si>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</si>
  <si>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</si>
  <si>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</si>
  <si>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</si>
  <si>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</si>
  <si>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</si>
  <si>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</si>
  <si>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</si>
  <si>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</si>
  <si>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</si>
  <si>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</si>
  <si>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</si>
  <si>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</si>
  <si>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</si>
  <si>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</si>
  <si>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</si>
  <si>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</si>
  <si>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</si>
  <si>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</si>
  <si>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</si>
  <si>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</si>
  <si>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</si>
  <si>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</si>
  <si>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</si>
  <si>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</si>
  <si>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</si>
  <si>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</si>
  <si>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</si>
  <si>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</si>
  <si>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</si>
  <si>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</si>
  <si>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</si>
  <si>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</si>
  <si>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</si>
  <si>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</si>
  <si>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</si>
  <si>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</si>
  <si>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</si>
  <si>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</si>
  <si>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</si>
  <si>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</si>
  <si>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</si>
  <si>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</si>
  <si>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</si>
  <si>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</si>
  <si>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</si>
  <si>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</si>
  <si>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</si>
  <si>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</si>
  <si>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</si>
  <si>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</si>
  <si>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</si>
  <si>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</si>
  <si>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</si>
  <si>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</si>
  <si>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</si>
  <si>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</si>
  <si>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</si>
  <si>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</si>
  <si>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</si>
  <si>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</si>
  <si>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</si>
  <si>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</si>
  <si>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</si>
  <si>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</si>
  <si>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</si>
  <si>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</si>
  <si>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</si>
  <si>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</si>
  <si>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</si>
  <si>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</si>
  <si>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</si>
  <si>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</si>
  <si>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</si>
  <si>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</si>
  <si>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</si>
  <si>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</si>
  <si>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</si>
  <si>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</si>
  <si>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</si>
  <si>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</si>
  <si>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</si>
  <si>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</si>
  <si>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</si>
  <si>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</si>
  <si>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</si>
  <si>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</si>
  <si>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</si>
  <si>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</si>
  <si>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</si>
  <si>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</si>
  <si>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</si>
  <si>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</si>
  <si>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</si>
  <si>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</si>
  <si>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</si>
  <si>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</si>
  <si>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</si>
  <si>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</si>
  <si>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</si>
  <si>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</si>
  <si>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</si>
  <si>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</si>
  <si>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</si>
  <si>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</si>
  <si>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</si>
  <si>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</si>
  <si>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</si>
  <si>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</si>
  <si>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</si>
  <si>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</si>
  <si>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</si>
  <si>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</si>
  <si>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</si>
  <si>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</si>
  <si>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</si>
  <si>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</si>
  <si>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</si>
  <si>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</si>
  <si>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</si>
  <si>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</si>
  <si>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</si>
  <si>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</si>
  <si>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</si>
  <si>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</si>
  <si>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</si>
  <si>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</si>
  <si>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</si>
  <si>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</si>
  <si>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</si>
  <si>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</si>
  <si>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</si>
  <si>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</si>
  <si>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</si>
  <si>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</si>
  <si>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</si>
  <si>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</si>
  <si>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</si>
  <si>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</si>
  <si>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</si>
  <si>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</si>
  <si>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</si>
  <si>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</si>
  <si>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</si>
  <si>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</si>
  <si>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</si>
  <si>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</si>
  <si>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</si>
  <si>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</si>
  <si>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</si>
  <si>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</si>
  <si>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</si>
  <si>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</si>
  <si>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</si>
  <si>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</si>
  <si>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</si>
  <si>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</si>
  <si>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</si>
  <si>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</si>
  <si>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</si>
  <si>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</si>
  <si>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</si>
  <si>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</si>
  <si>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</si>
  <si>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</si>
  <si>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</si>
  <si>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</si>
  <si>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</si>
  <si>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</si>
  <si>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</si>
  <si>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</si>
  <si>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</si>
  <si>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</si>
  <si>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</si>
  <si>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</si>
  <si>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</si>
  <si>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</si>
  <si>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</si>
  <si>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</si>
  <si>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</si>
  <si>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</si>
  <si>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</si>
  <si>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</si>
  <si>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</si>
  <si>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</si>
  <si>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</si>
  <si>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</si>
  <si>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</si>
  <si>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</si>
  <si>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</si>
  <si>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</si>
  <si>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</si>
  <si>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</si>
  <si>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</si>
  <si>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</si>
  <si>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</si>
  <si>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</si>
  <si>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</si>
  <si>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</si>
  <si>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</si>
  <si>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</si>
  <si>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</si>
  <si>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</si>
  <si>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</si>
  <si>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</si>
  <si>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</si>
  <si>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</si>
  <si>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</si>
  <si>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</si>
  <si>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</si>
  <si>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</si>
  <si>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</si>
  <si>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</si>
  <si>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</si>
  <si>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</si>
  <si>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</si>
  <si>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</si>
  <si>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</si>
  <si>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</si>
  <si>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</si>
  <si>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</si>
  <si>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</si>
  <si>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</si>
  <si>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</si>
  <si>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</si>
  <si>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</si>
  <si>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</si>
  <si>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</si>
  <si>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</si>
  <si>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</si>
  <si>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</si>
  <si>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</si>
  <si>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</si>
  <si>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</si>
  <si>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</si>
  <si>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</si>
  <si>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</si>
  <si>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</si>
  <si>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</si>
  <si>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</si>
  <si>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</si>
  <si>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</si>
  <si>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</si>
  <si>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</si>
  <si>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</si>
  <si>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</si>
  <si>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</si>
  <si>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</si>
  <si>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</si>
  <si>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</si>
  <si>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</si>
  <si>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</si>
  <si>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</si>
  <si>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</si>
  <si>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</si>
  <si>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</si>
  <si>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</si>
  <si>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</si>
  <si>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</si>
  <si>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</si>
  <si>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</si>
  <si>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</si>
  <si>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</si>
  <si>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</si>
  <si>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</si>
  <si>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</si>
  <si>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</si>
  <si>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</si>
  <si>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</si>
  <si>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</si>
  <si>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</si>
  <si>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</si>
  <si>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</si>
  <si>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</si>
  <si>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</si>
  <si>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</si>
  <si>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</si>
  <si>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</si>
  <si>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</si>
  <si>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</si>
  <si>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</si>
  <si>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</si>
  <si>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</si>
  <si>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</si>
  <si>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</si>
  <si>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</si>
  <si>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</si>
  <si>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</si>
  <si>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</si>
  <si>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</si>
  <si>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</si>
  <si>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</si>
  <si>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</si>
  <si>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</si>
  <si>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</si>
  <si>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</si>
  <si>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</si>
  <si>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</si>
  <si>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</si>
  <si>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</si>
  <si>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</si>
  <si>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</si>
  <si>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</si>
  <si>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</si>
  <si>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</si>
  <si>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</si>
  <si>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</si>
  <si>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</si>
  <si>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</si>
  <si>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</si>
  <si>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</si>
  <si>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</si>
  <si>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</si>
  <si>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</si>
  <si>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</si>
  <si>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</si>
  <si>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</si>
  <si>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</si>
  <si>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</si>
  <si>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</si>
  <si>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</si>
  <si>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</si>
  <si>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</si>
  <si>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</si>
  <si>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</si>
  <si>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</si>
  <si>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</si>
  <si>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</si>
  <si>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</si>
  <si>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</si>
  <si>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</si>
  <si>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</si>
  <si>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</si>
  <si>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</si>
  <si>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</si>
  <si>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</si>
  <si>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</si>
  <si>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</si>
  <si>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</si>
  <si>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</si>
  <si>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</si>
  <si>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</si>
  <si>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</si>
  <si>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</si>
  <si>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</si>
  <si>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</si>
  <si>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</si>
  <si>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</si>
  <si>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</si>
  <si>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</si>
  <si>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</si>
  <si>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</si>
  <si>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</si>
  <si>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</si>
  <si>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</si>
  <si>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</si>
  <si>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</si>
  <si>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</si>
  <si>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</si>
  <si>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</si>
  <si>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</si>
  <si>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</si>
  <si>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</si>
  <si>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</si>
  <si>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</si>
  <si>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</si>
  <si>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</si>
  <si>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</si>
  <si>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</si>
  <si>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</si>
  <si>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</si>
  <si>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</si>
  <si>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</si>
  <si>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</si>
  <si>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</si>
  <si>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</si>
  <si>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</si>
  <si>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</si>
  <si>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</si>
  <si>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</si>
  <si>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</si>
  <si>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</si>
  <si>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</si>
  <si>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</si>
  <si>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</si>
  <si>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</si>
  <si>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</si>
  <si>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</si>
  <si>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</si>
  <si>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</si>
  <si>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</si>
  <si>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</si>
  <si>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</si>
  <si>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</si>
  <si>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</si>
  <si>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</si>
  <si>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</si>
  <si>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</si>
  <si>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</si>
  <si>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</si>
  <si>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</si>
  <si>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</si>
  <si>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</si>
  <si>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</si>
  <si>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</si>
  <si>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</si>
  <si>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</si>
  <si>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</si>
  <si>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</si>
  <si>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</si>
  <si>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</si>
  <si>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</si>
  <si>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</si>
  <si>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</si>
  <si>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</si>
  <si>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</si>
  <si>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</si>
  <si>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</si>
  <si>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</si>
  <si>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</si>
  <si>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</si>
  <si>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</si>
  <si>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</si>
  <si>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</si>
  <si>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</si>
  <si>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</si>
  <si>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</si>
  <si>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</si>
  <si>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</si>
  <si>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</si>
  <si>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</si>
  <si>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</si>
  <si>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</si>
  <si>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</si>
  <si>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</si>
  <si>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</si>
  <si>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</si>
  <si>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</si>
  <si>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</si>
  <si>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</si>
  <si>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</si>
  <si>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</si>
  <si>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</si>
  <si>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</si>
  <si>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</si>
  <si>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</si>
  <si>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</si>
  <si>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</si>
  <si>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</si>
  <si>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</si>
  <si>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</si>
  <si>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</si>
  <si>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</si>
  <si>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</si>
  <si>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</si>
  <si>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</si>
  <si>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</si>
  <si>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</si>
  <si>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</si>
  <si>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</si>
  <si>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</si>
  <si>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</si>
  <si>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</si>
  <si>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</si>
  <si>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</si>
  <si>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</si>
  <si>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</si>
  <si>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</si>
  <si>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</si>
  <si>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</si>
  <si>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</si>
  <si>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</si>
  <si>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</si>
  <si>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</si>
  <si>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</si>
  <si>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</si>
  <si>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</si>
  <si>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</si>
  <si>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</si>
  <si>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</si>
  <si>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</si>
  <si>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</si>
  <si>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</si>
  <si>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</si>
  <si>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</si>
  <si>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</si>
  <si>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</si>
  <si>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</si>
  <si>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</si>
  <si>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</si>
  <si>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</si>
  <si>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</si>
  <si>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</si>
  <si>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</si>
  <si>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</si>
  <si>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</si>
  <si>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</si>
  <si>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</si>
  <si>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</si>
  <si>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</si>
  <si>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</si>
  <si>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</si>
  <si>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</si>
  <si>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</si>
  <si>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</si>
  <si>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</si>
  <si>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</si>
  <si>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</si>
  <si>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</si>
  <si>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</si>
  <si>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</si>
  <si>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</si>
  <si>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</si>
  <si>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</si>
  <si>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</si>
  <si>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</si>
  <si>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</si>
  <si>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</si>
  <si>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</si>
  <si>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</si>
  <si>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</si>
  <si>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</si>
  <si>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</si>
  <si>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</si>
  <si>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</si>
  <si>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</si>
  <si>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</si>
  <si>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</si>
  <si>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</si>
  <si>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</si>
  <si>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</si>
  <si>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</si>
  <si>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</si>
  <si>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</si>
  <si>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</si>
  <si>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</si>
  <si>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</si>
  <si>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</si>
  <si>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</si>
  <si>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</si>
  <si>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</si>
  <si>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</si>
  <si>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</si>
  <si>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</si>
  <si>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</si>
  <si>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</si>
  <si>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</si>
  <si>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</si>
  <si>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</si>
  <si>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</si>
  <si>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</si>
  <si>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</si>
  <si>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</si>
  <si>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</si>
  <si>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</si>
  <si>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</si>
  <si>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</si>
  <si>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</si>
  <si>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</si>
  <si>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</si>
  <si>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</si>
  <si>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</si>
  <si>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</si>
  <si>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</si>
  <si>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</si>
  <si>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</si>
  <si>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</si>
  <si>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</si>
  <si>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</si>
  <si>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</si>
  <si>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</si>
  <si>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</si>
  <si>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</si>
  <si>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</si>
  <si>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</si>
  <si>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</si>
  <si>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</si>
  <si>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</si>
  <si>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</si>
  <si>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</si>
  <si>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</si>
  <si>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</si>
  <si>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</si>
  <si>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</si>
  <si>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</si>
  <si>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</si>
  <si>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</si>
  <si>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</si>
  <si>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</si>
  <si>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</si>
  <si>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</si>
  <si>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</si>
  <si>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</si>
  <si>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</si>
  <si>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</si>
  <si>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</si>
  <si>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</si>
  <si>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</si>
  <si>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</si>
  <si>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</si>
  <si>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</si>
  <si>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</si>
  <si>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</si>
  <si>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</si>
  <si>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</si>
  <si>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</si>
  <si>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</si>
  <si>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</si>
  <si>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</si>
  <si>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</si>
  <si>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</si>
  <si>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</si>
  <si>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</si>
  <si>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</si>
  <si>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</si>
  <si>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</si>
  <si>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</si>
  <si>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</si>
  <si>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</si>
  <si>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</si>
  <si>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</si>
  <si>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</si>
  <si>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</si>
  <si>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</si>
  <si>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</si>
  <si>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</si>
  <si>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</si>
  <si>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</si>
  <si>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</si>
  <si>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</si>
  <si>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</si>
  <si>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</si>
  <si>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</si>
  <si>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</si>
  <si>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</si>
  <si>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</si>
  <si>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</si>
  <si>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</si>
  <si>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</si>
  <si>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</si>
  <si>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</si>
  <si>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</si>
  <si>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</si>
  <si>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</si>
  <si>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</si>
  <si>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</si>
  <si>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</si>
  <si>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</si>
  <si>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</si>
  <si>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</si>
  <si>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</si>
  <si>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</si>
  <si>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</si>
  <si>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</si>
  <si>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</si>
  <si>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</si>
  <si>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</si>
  <si>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</si>
  <si>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</si>
  <si>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</si>
  <si>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</si>
  <si>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</si>
  <si>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</si>
  <si>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</si>
  <si>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</si>
  <si>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</si>
  <si>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</si>
  <si>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</si>
  <si>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</si>
  <si>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</si>
  <si>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</si>
  <si>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</si>
  <si>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</si>
  <si>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</si>
  <si>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</si>
  <si>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</si>
  <si>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</si>
  <si>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</si>
  <si>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</si>
  <si>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</si>
  <si>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</si>
  <si>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</si>
  <si>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</si>
  <si>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</si>
  <si>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</si>
  <si>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</si>
  <si>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</si>
  <si>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</si>
  <si>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</si>
  <si>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</si>
  <si>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</si>
  <si>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</si>
  <si>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</si>
  <si>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</si>
  <si>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</si>
  <si>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</si>
  <si>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</si>
  <si>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</si>
  <si>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</si>
  <si>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</si>
  <si>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</si>
  <si>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</si>
  <si>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</si>
  <si>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</si>
  <si>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</si>
  <si>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</si>
  <si>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</si>
  <si>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</si>
  <si>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</si>
  <si>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</si>
  <si>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</si>
  <si>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</si>
  <si>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</si>
  <si>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</si>
  <si>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</si>
  <si>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</si>
  <si>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</si>
  <si>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</si>
  <si>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</si>
  <si>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</si>
  <si>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</si>
  <si>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</si>
  <si>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</si>
  <si>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</si>
  <si>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</si>
  <si>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</si>
  <si>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</si>
  <si>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</si>
  <si>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</si>
  <si>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</si>
  <si>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</si>
  <si>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</si>
  <si>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</si>
  <si>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</si>
  <si>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</si>
  <si>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</si>
  <si>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</si>
  <si>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</si>
  <si>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</si>
  <si>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</si>
  <si>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</si>
  <si>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</si>
  <si>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</si>
  <si>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</si>
  <si>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</si>
  <si>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</si>
  <si>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</si>
  <si>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</si>
  <si>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</si>
  <si>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</si>
  <si>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</si>
  <si>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</si>
  <si>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</si>
  <si>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</si>
  <si>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</si>
  <si>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</si>
  <si>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</si>
  <si>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</si>
  <si>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</si>
  <si>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</si>
  <si>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</si>
  <si>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</si>
  <si>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</si>
  <si>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</si>
  <si>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</si>
  <si>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</si>
  <si>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</si>
  <si>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</si>
  <si>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</si>
  <si>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</si>
  <si>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</si>
  <si>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</si>
  <si>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</si>
  <si>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</si>
  <si>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</si>
  <si>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</si>
  <si>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</si>
  <si>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</si>
  <si>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</si>
  <si>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</si>
  <si>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</si>
  <si>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</si>
  <si>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</si>
  <si>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</si>
  <si>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</si>
  <si>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</si>
  <si>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</si>
  <si>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</si>
  <si>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</si>
  <si>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</si>
  <si>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</si>
  <si>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</si>
  <si>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</si>
  <si>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</si>
  <si>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</si>
  <si>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</si>
  <si>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</si>
  <si>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</si>
  <si>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</si>
  <si>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</si>
  <si>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</si>
  <si>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</si>
  <si>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</si>
  <si>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</si>
  <si>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</si>
  <si>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</si>
  <si>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</si>
  <si>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</si>
  <si>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</si>
  <si>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</si>
  <si>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</si>
  <si>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</si>
  <si>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</si>
  <si>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</si>
  <si>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</si>
  <si>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</si>
  <si>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</si>
  <si>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</si>
  <si>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</si>
  <si>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</si>
  <si>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</si>
  <si>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</si>
  <si>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</si>
  <si>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</si>
  <si>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</si>
  <si>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</si>
  <si>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</si>
  <si>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</si>
  <si>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</si>
  <si>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</si>
  <si>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</si>
  <si>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</si>
  <si>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</si>
  <si>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</si>
  <si>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</si>
  <si>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</si>
  <si>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</si>
  <si>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</si>
  <si>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</si>
  <si>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</si>
  <si>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</si>
  <si>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</si>
  <si>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</si>
  <si>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</si>
  <si>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</si>
  <si>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</si>
  <si>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</si>
  <si>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</si>
  <si>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</si>
  <si>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</si>
  <si>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</si>
  <si>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</si>
  <si>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</si>
  <si>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</si>
  <si>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</si>
  <si>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</si>
  <si>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</si>
  <si>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</si>
  <si>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</si>
  <si>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</si>
  <si>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</si>
  <si>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</si>
  <si>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</si>
  <si>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</si>
  <si>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</si>
  <si>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</si>
  <si>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</si>
  <si>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</si>
  <si>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</si>
  <si>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</si>
  <si>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</si>
  <si>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</si>
  <si>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</si>
  <si>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</si>
  <si>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</si>
  <si>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</si>
  <si>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</si>
  <si>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</si>
  <si>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</si>
  <si>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</si>
  <si>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</si>
  <si>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</si>
  <si>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</si>
  <si>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</si>
  <si>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</si>
  <si>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</si>
  <si>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</si>
  <si>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</si>
  <si>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</si>
  <si>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</si>
  <si>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</si>
  <si>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</si>
  <si>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</si>
  <si>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</si>
  <si>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</si>
  <si>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</si>
  <si>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</si>
  <si>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</si>
  <si>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</si>
  <si>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</si>
  <si>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</si>
  <si>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</si>
  <si>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</si>
  <si>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</si>
  <si>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</si>
  <si>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</si>
  <si>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</si>
  <si>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</si>
  <si>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</si>
  <si>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</si>
  <si>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</si>
  <si>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</si>
  <si>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</si>
  <si>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</si>
  <si>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</si>
  <si>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</si>
  <si>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</si>
  <si>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</si>
  <si>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</si>
  <si>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</si>
  <si>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</si>
  <si>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</si>
  <si>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</si>
  <si>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</si>
  <si>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</si>
  <si>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</si>
  <si>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</si>
  <si>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</si>
  <si>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</si>
  <si>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</si>
  <si>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</si>
  <si>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</si>
  <si>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</si>
  <si>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</si>
  <si>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</si>
  <si>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</si>
  <si>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</si>
  <si>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</si>
  <si>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</si>
  <si>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</si>
  <si>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</si>
  <si>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</si>
  <si>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</si>
  <si>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</si>
  <si>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</si>
  <si>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</si>
  <si>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</si>
  <si>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</si>
  <si>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</si>
  <si>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</si>
  <si>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</si>
  <si>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</si>
  <si>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</si>
  <si>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</si>
  <si>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</si>
  <si>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</si>
  <si>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</si>
  <si>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</si>
  <si>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</si>
  <si>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</si>
  <si>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</si>
  <si>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</si>
  <si>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</si>
  <si>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</si>
  <si>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</si>
  <si>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</si>
  <si>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</si>
  <si>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</si>
  <si>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</si>
  <si>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</si>
  <si>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</si>
  <si>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</si>
  <si>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</si>
  <si>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</si>
  <si>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</si>
  <si>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</si>
  <si>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</si>
  <si>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</si>
  <si>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</si>
  <si>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</si>
  <si>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</si>
  <si>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</si>
  <si>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</si>
  <si>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</si>
  <si>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</si>
  <si>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</si>
  <si>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</si>
  <si>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</si>
  <si>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</si>
  <si>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</si>
  <si>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</si>
  <si>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</si>
  <si>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</si>
  <si>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</si>
  <si>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</si>
  <si>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</si>
  <si>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</si>
  <si>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</si>
  <si>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</si>
  <si>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</si>
  <si>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</si>
  <si>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</si>
  <si>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</si>
  <si>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</si>
  <si>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</si>
  <si>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</si>
  <si>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</si>
  <si>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</si>
  <si>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</si>
  <si>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</si>
  <si>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</si>
  <si>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</si>
  <si>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</si>
  <si>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</si>
  <si>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</si>
  <si>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</si>
  <si>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</si>
  <si>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</si>
  <si>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</si>
  <si>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</si>
  <si>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</si>
  <si>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</si>
  <si>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</si>
  <si>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</si>
  <si>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</si>
  <si>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</si>
  <si>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</si>
  <si>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</si>
  <si>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</si>
  <si>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</si>
  <si>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</si>
  <si>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</si>
  <si>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</si>
  <si>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</si>
  <si>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</si>
  <si>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</si>
  <si>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</si>
  <si>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</si>
  <si>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</si>
  <si>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其他：</t>
  </si>
  <si>
    <t>企业</t>
  </si>
  <si>
    <t>出让</t>
  </si>
  <si>
    <t>是</t>
  </si>
  <si>
    <t>1幢105室</t>
  </si>
  <si>
    <t>1幢106室</t>
  </si>
  <si>
    <t>1幢107室</t>
  </si>
  <si>
    <t>1幢108室</t>
  </si>
  <si>
    <t>1幢109室</t>
  </si>
  <si>
    <t>1幢110室</t>
  </si>
  <si>
    <t>1幢111室</t>
  </si>
  <si>
    <t>1幢112室</t>
  </si>
  <si>
    <t>1幢113室</t>
  </si>
  <si>
    <t>1幢114室</t>
  </si>
  <si>
    <t>1幢115室</t>
  </si>
  <si>
    <t>1幢116室</t>
  </si>
  <si>
    <t>1幢117室</t>
  </si>
  <si>
    <t>1幢118室</t>
  </si>
  <si>
    <t>1幢119室</t>
  </si>
  <si>
    <t>1幢120室</t>
  </si>
  <si>
    <t>1幢121室</t>
  </si>
  <si>
    <t>1幢122室</t>
  </si>
  <si>
    <t>1幢123室</t>
  </si>
  <si>
    <t>1幢124室</t>
  </si>
  <si>
    <t>1幢203室</t>
  </si>
  <si>
    <t>1幢204室</t>
  </si>
  <si>
    <t>1幢205室</t>
  </si>
  <si>
    <t>1幢206室</t>
  </si>
  <si>
    <t>1幢207室</t>
  </si>
  <si>
    <t>1幢208室</t>
  </si>
  <si>
    <t>1幢209室</t>
  </si>
  <si>
    <t>1幢210室</t>
  </si>
  <si>
    <t>1幢211室</t>
  </si>
  <si>
    <t>1幢212室</t>
  </si>
  <si>
    <t>1幢213室</t>
  </si>
  <si>
    <t>1幢214室</t>
  </si>
  <si>
    <t>1幢215室</t>
  </si>
  <si>
    <t>1幢216室</t>
  </si>
  <si>
    <t>1幢217室</t>
  </si>
  <si>
    <t>1幢218室</t>
  </si>
  <si>
    <t>1幢219室</t>
  </si>
  <si>
    <t>1幢220室</t>
  </si>
  <si>
    <t>1幢221室</t>
  </si>
  <si>
    <t>1幢222室</t>
  </si>
  <si>
    <t>1幢223室</t>
  </si>
  <si>
    <t>1幢第3层0302室</t>
  </si>
  <si>
    <t>1幢0303室</t>
  </si>
  <si>
    <t>1幢0402室</t>
  </si>
  <si>
    <t>1幢0403室</t>
  </si>
  <si>
    <t>1幢0502室</t>
  </si>
  <si>
    <t>1幢0503室</t>
  </si>
  <si>
    <t>2幢0101室</t>
  </si>
  <si>
    <t>1幢104室</t>
  </si>
  <si>
    <t>地上</t>
  </si>
  <si>
    <t>成新度</t>
  </si>
  <si>
    <t>毛坯</t>
  </si>
  <si>
    <t>精装</t>
  </si>
  <si>
    <t>标准</t>
  </si>
  <si>
    <t>超高</t>
  </si>
  <si>
    <t>钢混</t>
  </si>
  <si>
    <t>钢</t>
  </si>
  <si>
    <t>1层</t>
  </si>
  <si>
    <t>2层</t>
  </si>
  <si>
    <t>3层</t>
  </si>
  <si>
    <t>4层</t>
  </si>
  <si>
    <t>5层</t>
  </si>
  <si>
    <t>1-2层</t>
  </si>
  <si>
    <t>装修情况</t>
    <phoneticPr fontId="3" type="noConversion"/>
  </si>
  <si>
    <t>普装</t>
  </si>
  <si>
    <t>简装</t>
  </si>
  <si>
    <t>层高</t>
    <phoneticPr fontId="3" type="noConversion"/>
  </si>
  <si>
    <t>超高</t>
    <phoneticPr fontId="3" type="noConversion"/>
  </si>
  <si>
    <t>标准</t>
    <phoneticPr fontId="3" type="noConversion"/>
  </si>
  <si>
    <t>结构</t>
    <phoneticPr fontId="3" type="noConversion"/>
  </si>
  <si>
    <t>钢</t>
    <phoneticPr fontId="3" type="noConversion"/>
  </si>
  <si>
    <t>钢混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</si>
  <si>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</si>
  <si>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</si>
  <si>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</si>
  <si>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</si>
  <si>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</si>
  <si>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r>
      <t>1-2</t>
    </r>
    <r>
      <rPr>
        <sz val="10"/>
        <color indexed="8"/>
        <rFont val="宋体"/>
        <family val="3"/>
        <charset val="134"/>
      </rPr>
      <t>层</t>
    </r>
    <phoneticPr fontId="3" type="noConversion"/>
  </si>
  <si>
    <t>商业</t>
    <phoneticPr fontId="31" type="noConversion"/>
  </si>
  <si>
    <t>30-40（含）</t>
  </si>
  <si>
    <t>正常</t>
  </si>
  <si>
    <t>售价</t>
  </si>
  <si>
    <t>多面临街</t>
    <phoneticPr fontId="31" type="noConversion"/>
  </si>
  <si>
    <t>双面临街</t>
  </si>
  <si>
    <t>双面临街</t>
    <phoneticPr fontId="31" type="noConversion"/>
  </si>
  <si>
    <t>单面临街</t>
  </si>
  <si>
    <t>单面临街</t>
    <phoneticPr fontId="31" type="noConversion"/>
  </si>
  <si>
    <t>临街坊路</t>
    <phoneticPr fontId="31" type="noConversion"/>
  </si>
  <si>
    <t>较大</t>
  </si>
  <si>
    <t>好</t>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</si>
  <si>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</si>
  <si>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</si>
  <si>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t>大</t>
    <phoneticPr fontId="3" type="noConversion"/>
  </si>
  <si>
    <t>较大</t>
    <phoneticPr fontId="3" type="noConversion"/>
  </si>
  <si>
    <t>商业综合体</t>
  </si>
  <si>
    <t>商业街商铺</t>
  </si>
  <si>
    <t>独栋商业</t>
  </si>
  <si>
    <t>写字楼底商</t>
  </si>
  <si>
    <t>住宅底商</t>
  </si>
  <si>
    <t>钢混</t>
    <phoneticPr fontId="31" type="noConversion"/>
  </si>
  <si>
    <t>七通</t>
  </si>
  <si>
    <t>六通</t>
  </si>
  <si>
    <t>五通</t>
  </si>
  <si>
    <t>四通</t>
  </si>
  <si>
    <t>三通</t>
  </si>
  <si>
    <t>可餐饮</t>
  </si>
  <si>
    <t>不可餐饮</t>
  </si>
  <si>
    <t>较适宜</t>
  </si>
  <si>
    <t>较适宜</t>
    <phoneticPr fontId="31" type="noConversion"/>
  </si>
  <si>
    <t>项目位置</t>
    <phoneticPr fontId="3" type="noConversion"/>
  </si>
  <si>
    <t>路劲诺丁山</t>
    <phoneticPr fontId="3" type="noConversion"/>
  </si>
  <si>
    <t>非生产用房</t>
  </si>
  <si>
    <t>否</t>
  </si>
  <si>
    <t>按租金收入计税</t>
  </si>
  <si>
    <t>现房</t>
  </si>
  <si>
    <t>市调</t>
    <phoneticPr fontId="143" type="noConversion"/>
  </si>
  <si>
    <t>路劲诺丁山</t>
    <phoneticPr fontId="143" type="noConversion"/>
  </si>
  <si>
    <t>售价</t>
    <phoneticPr fontId="143" type="noConversion"/>
  </si>
  <si>
    <t>租金</t>
    <phoneticPr fontId="143" type="noConversion"/>
  </si>
  <si>
    <t>把角</t>
    <phoneticPr fontId="143" type="noConversion"/>
  </si>
  <si>
    <t>单面临街</t>
    <phoneticPr fontId="143" type="noConversion"/>
  </si>
  <si>
    <t>1.2万左右</t>
    <phoneticPr fontId="143" type="noConversion"/>
  </si>
  <si>
    <t>2元</t>
    <phoneticPr fontId="143" type="noConversion"/>
  </si>
  <si>
    <t>富兴国际半岛</t>
    <phoneticPr fontId="143" type="noConversion"/>
  </si>
  <si>
    <t>1.6-1.8万之间</t>
    <phoneticPr fontId="143" type="noConversion"/>
  </si>
  <si>
    <t>2万左右</t>
    <phoneticPr fontId="143" type="noConversion"/>
  </si>
  <si>
    <r>
      <t>2</t>
    </r>
    <r>
      <rPr>
        <sz val="11"/>
        <color theme="1"/>
        <rFont val="宋体"/>
        <family val="3"/>
        <charset val="134"/>
        <scheme val="minor"/>
      </rPr>
      <t>.8元</t>
    </r>
    <phoneticPr fontId="143" type="noConversion"/>
  </si>
  <si>
    <t>3年递增8%</t>
    <phoneticPr fontId="143" type="noConversion"/>
  </si>
  <si>
    <t>标准层高</t>
    <phoneticPr fontId="143" type="noConversion"/>
  </si>
  <si>
    <r>
      <t>5</t>
    </r>
    <r>
      <rPr>
        <sz val="11"/>
        <color theme="1"/>
        <rFont val="宋体"/>
        <family val="3"/>
        <charset val="134"/>
        <scheme val="minor"/>
      </rPr>
      <t>.1米层高</t>
    </r>
    <phoneticPr fontId="143" type="noConversion"/>
  </si>
  <si>
    <t>全业态</t>
    <phoneticPr fontId="143" type="noConversion"/>
  </si>
  <si>
    <t>社区底商</t>
    <phoneticPr fontId="143" type="noConversion"/>
  </si>
  <si>
    <t>4.6米层高</t>
    <phoneticPr fontId="143" type="noConversion"/>
  </si>
  <si>
    <t>富兴国际半岛</t>
    <phoneticPr fontId="3" type="noConversion"/>
  </si>
  <si>
    <t>紫金香郡</t>
    <phoneticPr fontId="3" type="noConversion"/>
  </si>
  <si>
    <t>押一</t>
  </si>
  <si>
    <t>较好</t>
  </si>
  <si>
    <t>一般</t>
  </si>
  <si>
    <t>一般</t>
    <phoneticPr fontId="31" type="noConversion"/>
  </si>
  <si>
    <t>较好</t>
    <phoneticPr fontId="31" type="noConversion"/>
  </si>
  <si>
    <t>地块名称</t>
  </si>
  <si>
    <t>城市</t>
  </si>
  <si>
    <t>用地性质</t>
  </si>
  <si>
    <t>土地位置</t>
  </si>
  <si>
    <t>出让方式</t>
  </si>
  <si>
    <t>建设用地面积(㎡)</t>
  </si>
  <si>
    <t>规划建筑面积(㎡)</t>
  </si>
  <si>
    <t>容积率</t>
  </si>
  <si>
    <t>成交日期</t>
  </si>
  <si>
    <t>受让单位</t>
  </si>
  <si>
    <t>成交价(万元)</t>
  </si>
  <si>
    <t>成交楼面价(元/㎡)</t>
  </si>
  <si>
    <t>溢价率</t>
  </si>
  <si>
    <t>2019-6-1-2(R1916)</t>
  </si>
  <si>
    <t>镇江市</t>
  </si>
  <si>
    <t>商业/办公用地</t>
  </si>
  <si>
    <t>长江路以北,港前...</t>
  </si>
  <si>
    <t>挂牌</t>
  </si>
  <si>
    <t>镇江城市建设产业...</t>
  </si>
  <si>
    <t>南徐大道以南,枣林路以东地块</t>
  </si>
  <si>
    <t>南徐大道以南,枣...</t>
  </si>
  <si>
    <t>≤0.95</t>
  </si>
  <si>
    <t>枣林路以东,九华山路以西地块</t>
  </si>
  <si>
    <t>枣林路以东,九华...</t>
  </si>
  <si>
    <t>≤0.27</t>
  </si>
  <si>
    <t>南山路以南,檀山路以西地块</t>
  </si>
  <si>
    <t>南山路以南,檀山...</t>
  </si>
  <si>
    <t>≤1.21</t>
  </si>
  <si>
    <t>展馆路以南,九华山路以西地块</t>
  </si>
  <si>
    <t>展馆路以南,九华...</t>
  </si>
  <si>
    <t>≤1.66</t>
  </si>
  <si>
    <t>2019-1-3(R1903)</t>
  </si>
  <si>
    <t>官塘桥路以西地块</t>
  </si>
  <si>
    <t>≤0.83</t>
  </si>
  <si>
    <t>镇江交通产业集团...</t>
  </si>
  <si>
    <t>DT1714</t>
  </si>
  <si>
    <t>丹徒新城</t>
  </si>
  <si>
    <t>容积率≤1</t>
  </si>
  <si>
    <t>镇江华建置业有限...</t>
  </si>
  <si>
    <t>DT1807</t>
  </si>
  <si>
    <t>丹徒区上党镇</t>
  </si>
  <si>
    <t>容积率≤1....</t>
  </si>
  <si>
    <t>镇江龙云房地产开...</t>
  </si>
  <si>
    <t>2018-5-7原食品公司地块</t>
  </si>
  <si>
    <t>朱方路以南,二道...</t>
  </si>
  <si>
    <t>1＜容积率≤...</t>
  </si>
  <si>
    <t>镇江市食品有限公...</t>
  </si>
  <si>
    <t>驸马街以南,架鼓山路以东</t>
  </si>
  <si>
    <t>驸马街以南,架鼓...</t>
  </si>
  <si>
    <t>镇江市丹徒区城建...</t>
  </si>
  <si>
    <t>润兴路以西,润旺路以南</t>
  </si>
  <si>
    <t>润兴路以西,润旺...</t>
  </si>
  <si>
    <t>镇江高新置业有限...</t>
  </si>
  <si>
    <t>铭东路以北,慈行路以西</t>
  </si>
  <si>
    <t>铭东路以北,慈行...</t>
  </si>
  <si>
    <t>容积率≤0....</t>
  </si>
  <si>
    <t>金山路以南</t>
  </si>
  <si>
    <t>镇江市润州区恒发...</t>
  </si>
  <si>
    <t>黄山西路以南,檀山路以东</t>
  </si>
  <si>
    <t>黄山西路以南,檀...</t>
  </si>
  <si>
    <t>倪戚华</t>
  </si>
  <si>
    <t>宜侯路以南、赵声路以西</t>
  </si>
  <si>
    <t>宜侯路以南、赵声...</t>
  </si>
  <si>
    <t>江苏圌山旅游文化...</t>
  </si>
  <si>
    <t>赵声路以东、平昌路以北</t>
  </si>
  <si>
    <t>赵声路以东、平昌...</t>
  </si>
  <si>
    <t>金润大道以北</t>
  </si>
  <si>
    <t>镇江南出口石化有...</t>
  </si>
  <si>
    <t>大西路以南、旺角广场以西</t>
  </si>
  <si>
    <t>大西路以南、旺角...</t>
  </si>
  <si>
    <t>江苏朱方置业股份...</t>
  </si>
  <si>
    <t>盛丹路以北、新城福联以东</t>
  </si>
  <si>
    <t>盛丹路以北、新城...</t>
  </si>
  <si>
    <t>镇江华荣利丰汽车...</t>
  </si>
  <si>
    <t>长香西大道以北,长青路以西</t>
  </si>
  <si>
    <t>长香西大道以北,...</t>
  </si>
  <si>
    <t>镇江市丹徒区西麓...</t>
  </si>
  <si>
    <t>谷阳东大道以北</t>
  </si>
  <si>
    <t>镇江市丹徒区三山...</t>
  </si>
  <si>
    <t>盛丹路以北、盛园路以东</t>
  </si>
  <si>
    <t>盛丹路以北、盛园...</t>
  </si>
  <si>
    <t>镇江新城福联汽车...</t>
  </si>
  <si>
    <t>润州区长江路以北、环湖路以东</t>
  </si>
  <si>
    <t>润州区长江路以北...</t>
  </si>
  <si>
    <t>镇江文化旅游产业...</t>
  </si>
  <si>
    <t>金港大道以北、镇...</t>
  </si>
  <si>
    <t>镇江市中港石油有...</t>
  </si>
  <si>
    <t>R1601地块(金山湖以西2号地块)</t>
  </si>
  <si>
    <t>环湖路以北、新河...</t>
  </si>
  <si>
    <t>R1605地块(金山湖以西5-1号地块)</t>
  </si>
  <si>
    <t>润湖路以东、园区...</t>
  </si>
  <si>
    <t>R1603地块(金山湖以西3-2号地块)</t>
  </si>
  <si>
    <t>园区环路以南、润...</t>
  </si>
  <si>
    <t>镇江大白鲸海洋世...</t>
  </si>
  <si>
    <t>R1606地块(金山湖以西5-2号地块)</t>
  </si>
  <si>
    <t>R1604地块(金山湖以西4号地块)</t>
  </si>
  <si>
    <t>园区环路以北</t>
  </si>
  <si>
    <t>R1602地块(金山湖以西3-1号地块)</t>
  </si>
  <si>
    <t>航道路以南、润湖...</t>
  </si>
  <si>
    <t>丹徒区宝堰镇</t>
  </si>
  <si>
    <t>1≤容积率≤...</t>
  </si>
  <si>
    <t>镇江市丹徒区凯瑞...</t>
  </si>
  <si>
    <t>R1509地块</t>
  </si>
  <si>
    <t>黄山西路以北、颐...</t>
  </si>
  <si>
    <t>D1506地块</t>
  </si>
  <si>
    <t>智慧大道以西、金...</t>
  </si>
  <si>
    <t>江苏乾景文化创意...</t>
  </si>
  <si>
    <t>R1512地块</t>
  </si>
  <si>
    <t>南山路以西、茶砚...</t>
  </si>
  <si>
    <t>镇江市润州区土地...</t>
  </si>
  <si>
    <t>镇江万豪置业有限...</t>
  </si>
  <si>
    <t>R1507地块</t>
  </si>
  <si>
    <t>团山路以北</t>
  </si>
  <si>
    <t>镇江市诚润置业有...</t>
  </si>
  <si>
    <t>J1502地块</t>
  </si>
  <si>
    <t>解放路以东、正东...</t>
  </si>
  <si>
    <t>J1501地块</t>
  </si>
  <si>
    <t>苗家湾路以西、学...</t>
  </si>
  <si>
    <t>镇江长江游戏谷文...</t>
  </si>
  <si>
    <t>R1510地块</t>
  </si>
  <si>
    <t>黄山西路以北、领...</t>
  </si>
  <si>
    <t>/</t>
  </si>
  <si>
    <t>滨江大道以东、长江工艺品公司以南</t>
  </si>
  <si>
    <t>滨江大道以东、长...</t>
  </si>
  <si>
    <t>镇江瑞城房地产开...</t>
  </si>
  <si>
    <t>苗家湾路以南</t>
  </si>
  <si>
    <t>宜侯路以南、赵声路以东</t>
  </si>
  <si>
    <t>大于1并且小...</t>
  </si>
  <si>
    <t>镇江新区城市建设...</t>
  </si>
  <si>
    <t>禹山路以北</t>
  </si>
  <si>
    <t>小于或等于0...</t>
  </si>
  <si>
    <t>镇江金鹰石化有限...</t>
  </si>
  <si>
    <t>宜侯路以南、银山南路以西</t>
  </si>
  <si>
    <t>宜侯路以南、银山...</t>
  </si>
  <si>
    <t>枣林路以东、站前路以南</t>
  </si>
  <si>
    <t>枣林路以东、站前...</t>
  </si>
  <si>
    <t>小于或等于1...</t>
  </si>
  <si>
    <t>镇江市西津渡文化...</t>
  </si>
  <si>
    <t>捆山河以西</t>
  </si>
  <si>
    <t>纬三路以北</t>
  </si>
  <si>
    <t>镇江中贸汽车销售...</t>
  </si>
  <si>
    <t>苗家湾路以东、丁卯桥路以南</t>
  </si>
  <si>
    <t>苗家湾路以东、丁...</t>
  </si>
  <si>
    <t>江苏大港置业有限...</t>
  </si>
  <si>
    <t>DT1318地块</t>
  </si>
  <si>
    <t>辛丰</t>
  </si>
  <si>
    <t>朱健栋</t>
  </si>
  <si>
    <t>DT1323G地块</t>
  </si>
  <si>
    <t>宝堰</t>
  </si>
  <si>
    <t>镇江市丹徒区宝堰...</t>
  </si>
  <si>
    <t>每页显示</t>
  </si>
  <si>
    <t>›</t>
  </si>
  <si>
    <t>下载表格</t>
  </si>
  <si>
    <t>商业</t>
    <phoneticPr fontId="31" type="noConversion"/>
  </si>
  <si>
    <t>较规则</t>
    <phoneticPr fontId="31" type="noConversion"/>
  </si>
  <si>
    <t>较适宜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</si>
  <si>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</si>
  <si>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</si>
  <si>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</si>
  <si>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</si>
  <si>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</si>
  <si>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</si>
  <si>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</si>
  <si>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</si>
  <si>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r>
      <t>1</t>
    </r>
    <r>
      <rPr>
        <sz val="11"/>
        <color theme="1"/>
        <rFont val="宋体"/>
        <family val="3"/>
        <charset val="134"/>
      </rPr>
      <t>＜容积率≤</t>
    </r>
    <r>
      <rPr>
        <sz val="11"/>
        <color theme="1"/>
        <rFont val="Verdana"/>
        <family val="2"/>
      </rPr>
      <t>2.4</t>
    </r>
    <phoneticPr fontId="143" type="noConversion"/>
  </si>
  <si>
    <r>
      <t>1</t>
    </r>
    <r>
      <rPr>
        <sz val="11"/>
        <color theme="1"/>
        <rFont val="宋体"/>
        <family val="3"/>
        <charset val="134"/>
      </rPr>
      <t>＜容积率≤</t>
    </r>
    <r>
      <rPr>
        <sz val="11"/>
        <color theme="1"/>
        <rFont val="Verdana"/>
        <family val="2"/>
      </rPr>
      <t>2.75</t>
    </r>
    <phoneticPr fontId="143" type="noConversion"/>
  </si>
  <si>
    <r>
      <t>1</t>
    </r>
    <r>
      <rPr>
        <sz val="11"/>
        <color theme="1"/>
        <rFont val="宋体"/>
        <family val="3"/>
        <charset val="134"/>
      </rPr>
      <t>＜容积率≤</t>
    </r>
    <r>
      <rPr>
        <sz val="11"/>
        <color theme="1"/>
        <rFont val="Verdana"/>
        <family val="2"/>
      </rPr>
      <t>3.5</t>
    </r>
    <phoneticPr fontId="143" type="noConversion"/>
  </si>
  <si>
    <r>
      <rPr>
        <sz val="11"/>
        <color theme="1"/>
        <rFont val="宋体"/>
        <family val="3"/>
        <charset val="134"/>
      </rPr>
      <t>容积率≤</t>
    </r>
    <r>
      <rPr>
        <sz val="11"/>
        <color theme="1"/>
        <rFont val="Verdana"/>
        <family val="2"/>
      </rPr>
      <t>0.65</t>
    </r>
    <phoneticPr fontId="143" type="noConversion"/>
  </si>
  <si>
    <r>
      <rPr>
        <sz val="11"/>
        <color theme="1"/>
        <rFont val="宋体"/>
        <family val="3"/>
        <charset val="134"/>
      </rPr>
      <t>容积率≤</t>
    </r>
    <r>
      <rPr>
        <sz val="11"/>
        <color theme="1"/>
        <rFont val="Verdana"/>
        <family val="2"/>
      </rPr>
      <t>1.9</t>
    </r>
    <phoneticPr fontId="143" type="noConversion"/>
  </si>
  <si>
    <r>
      <rPr>
        <sz val="11"/>
        <color theme="1"/>
        <rFont val="宋体"/>
        <family val="3"/>
        <charset val="134"/>
      </rPr>
      <t>容积率≤</t>
    </r>
    <r>
      <rPr>
        <sz val="11"/>
        <color theme="1"/>
        <rFont val="Verdana"/>
        <family val="2"/>
      </rPr>
      <t>2.02</t>
    </r>
    <phoneticPr fontId="143" type="noConversion"/>
  </si>
  <si>
    <r>
      <t>1</t>
    </r>
    <r>
      <rPr>
        <sz val="11"/>
        <color theme="1"/>
        <rFont val="宋体"/>
        <family val="3"/>
        <charset val="134"/>
      </rPr>
      <t>＜容积率≤</t>
    </r>
    <r>
      <rPr>
        <sz val="11"/>
        <color theme="1"/>
        <rFont val="Verdana"/>
        <family val="2"/>
      </rPr>
      <t>2.5</t>
    </r>
    <phoneticPr fontId="143" type="noConversion"/>
  </si>
  <si>
    <t>序号</t>
  </si>
  <si>
    <t>《房屋所有权证》证号</t>
  </si>
  <si>
    <t>房屋坐落</t>
  </si>
  <si>
    <t>分摊土地面积</t>
  </si>
  <si>
    <t>建筑面积</t>
  </si>
  <si>
    <t>楼层</t>
  </si>
  <si>
    <t>土地价值</t>
    <phoneticPr fontId="143" type="noConversion"/>
  </si>
  <si>
    <t>单价</t>
    <phoneticPr fontId="143" type="noConversion"/>
  </si>
  <si>
    <t>单价</t>
    <phoneticPr fontId="143" type="noConversion"/>
  </si>
  <si>
    <t>建筑物价值</t>
    <phoneticPr fontId="143" type="noConversion"/>
  </si>
  <si>
    <t>总价</t>
    <phoneticPr fontId="143" type="noConversion"/>
  </si>
  <si>
    <t>总价</t>
    <phoneticPr fontId="143" type="noConversion"/>
  </si>
  <si>
    <r>
      <t>镇房权证字第</t>
    </r>
    <r>
      <rPr>
        <sz val="9"/>
        <color theme="1"/>
        <rFont val="Arial"/>
        <family val="2"/>
      </rPr>
      <t>0401003087100110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</si>
  <si>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</si>
  <si>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</si>
  <si>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</si>
  <si>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</si>
  <si>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</si>
  <si>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t>楼层</t>
    <phoneticPr fontId="143" type="noConversion"/>
  </si>
  <si>
    <t>修正系数</t>
    <phoneticPr fontId="143" type="noConversion"/>
  </si>
  <si>
    <t>层数</t>
    <phoneticPr fontId="143" type="noConversion"/>
  </si>
  <si>
    <t>总面积</t>
    <phoneticPr fontId="143" type="noConversion"/>
  </si>
  <si>
    <r>
      <t>镇房权证字第</t>
    </r>
    <r>
      <rPr>
        <sz val="9"/>
        <color theme="1"/>
        <rFont val="Arial"/>
        <family val="2"/>
      </rPr>
      <t>0401003075100110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</si>
  <si>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</si>
  <si>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1</t>
    </r>
    <r>
      <rPr>
        <sz val="9"/>
        <color theme="1"/>
        <rFont val="华文细黑"/>
        <family val="3"/>
        <charset val="134"/>
      </rPr>
      <t>层</t>
    </r>
  </si>
  <si>
    <r>
      <t>镇房权证字第</t>
    </r>
    <r>
      <rPr>
        <sz val="9"/>
        <color theme="1"/>
        <rFont val="Arial"/>
        <family val="2"/>
      </rPr>
      <t>0401003047100110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</si>
  <si>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室</t>
    </r>
  </si>
  <si>
    <r>
      <t>镇房权证字第</t>
    </r>
    <r>
      <rPr>
        <sz val="9"/>
        <color theme="1"/>
        <rFont val="Arial"/>
        <family val="2"/>
      </rPr>
      <t>0401003052100110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</si>
  <si>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室</t>
    </r>
  </si>
  <si>
    <r>
      <t>镇房权证字第</t>
    </r>
    <r>
      <rPr>
        <sz val="9"/>
        <color theme="1"/>
        <rFont val="Arial"/>
        <family val="2"/>
      </rPr>
      <t>0401003069100110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</si>
  <si>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t>
    </r>
    <r>
      <rPr>
        <sz val="9"/>
        <color theme="1"/>
        <rFont val="华文细黑"/>
        <family val="3"/>
        <charset val="134"/>
      </rPr>
      <t>层</t>
    </r>
    <r>
      <rPr>
        <sz val="9"/>
        <color theme="1"/>
        <rFont val="Arial"/>
        <family val="2"/>
      </rPr>
      <t>104</t>
    </r>
    <r>
      <rPr>
        <sz val="9"/>
        <color theme="1"/>
        <rFont val="华文细黑"/>
        <family val="3"/>
        <charset val="134"/>
      </rPr>
      <t>室</t>
    </r>
  </si>
  <si>
    <r>
      <t>镇房权证字第</t>
    </r>
    <r>
      <rPr>
        <sz val="9"/>
        <color theme="1"/>
        <rFont val="Arial"/>
        <family val="2"/>
      </rPr>
      <t>0401003098100110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</si>
  <si>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</si>
  <si>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2</t>
    </r>
    <r>
      <rPr>
        <sz val="9"/>
        <color theme="1"/>
        <rFont val="华文细黑"/>
        <family val="3"/>
        <charset val="134"/>
      </rPr>
      <t>层</t>
    </r>
  </si>
  <si>
    <r>
      <t>镇房权证字第</t>
    </r>
    <r>
      <rPr>
        <sz val="9"/>
        <color theme="1"/>
        <rFont val="Arial"/>
        <family val="2"/>
      </rPr>
      <t>0401003035100110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</si>
  <si>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202</t>
    </r>
    <r>
      <rPr>
        <sz val="9"/>
        <color theme="1"/>
        <rFont val="华文细黑"/>
        <family val="3"/>
        <charset val="134"/>
      </rPr>
      <t>室</t>
    </r>
  </si>
  <si>
    <r>
      <t>镇房权证字第</t>
    </r>
    <r>
      <rPr>
        <sz val="9"/>
        <color theme="1"/>
        <rFont val="Arial"/>
        <family val="2"/>
      </rPr>
      <t>0401003084100110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</si>
  <si>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203</t>
    </r>
    <r>
      <rPr>
        <sz val="9"/>
        <color theme="1"/>
        <rFont val="华文细黑"/>
        <family val="3"/>
        <charset val="134"/>
      </rPr>
      <t>室</t>
    </r>
  </si>
  <si>
    <r>
      <t>镇房权证字第</t>
    </r>
    <r>
      <rPr>
        <sz val="9"/>
        <color theme="1"/>
        <rFont val="Arial"/>
        <family val="2"/>
      </rPr>
      <t>0401003053100110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</si>
  <si>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204</t>
    </r>
    <r>
      <rPr>
        <sz val="9"/>
        <color theme="1"/>
        <rFont val="华文细黑"/>
        <family val="3"/>
        <charset val="134"/>
      </rPr>
      <t>室</t>
    </r>
  </si>
  <si>
    <r>
      <t>镇房权证字第</t>
    </r>
    <r>
      <rPr>
        <sz val="9"/>
        <color theme="1"/>
        <rFont val="Arial"/>
        <family val="2"/>
      </rPr>
      <t>0401003094100110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</si>
  <si>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205</t>
    </r>
    <r>
      <rPr>
        <sz val="9"/>
        <color theme="1"/>
        <rFont val="华文细黑"/>
        <family val="3"/>
        <charset val="134"/>
      </rPr>
      <t>室</t>
    </r>
  </si>
  <si>
    <r>
      <t>镇房权证字第</t>
    </r>
    <r>
      <rPr>
        <sz val="9"/>
        <color theme="1"/>
        <rFont val="Arial"/>
        <family val="2"/>
      </rPr>
      <t>0401003060100110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</si>
  <si>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t>
    </r>
    <r>
      <rPr>
        <sz val="9"/>
        <color theme="1"/>
        <rFont val="华文细黑"/>
        <family val="3"/>
        <charset val="134"/>
      </rPr>
      <t>层</t>
    </r>
    <r>
      <rPr>
        <sz val="9"/>
        <color theme="1"/>
        <rFont val="Arial"/>
        <family val="2"/>
      </rPr>
      <t>206</t>
    </r>
    <r>
      <rPr>
        <sz val="9"/>
        <color theme="1"/>
        <rFont val="华文细黑"/>
        <family val="3"/>
        <charset val="134"/>
      </rPr>
      <t>室</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</si>
  <si>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</si>
  <si>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</si>
  <si>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3</t>
    </r>
    <r>
      <rPr>
        <sz val="9"/>
        <color theme="1"/>
        <rFont val="华文细黑"/>
        <family val="3"/>
        <charset val="134"/>
      </rPr>
      <t>层</t>
    </r>
  </si>
  <si>
    <t>高区</t>
    <phoneticPr fontId="143" type="noConversion"/>
  </si>
  <si>
    <r>
      <t>1</t>
    </r>
    <r>
      <rPr>
        <sz val="11"/>
        <color theme="1"/>
        <rFont val="宋体"/>
        <family val="3"/>
        <charset val="134"/>
        <scheme val="minor"/>
      </rPr>
      <t>7-24层</t>
    </r>
    <phoneticPr fontId="143" type="noConversion"/>
  </si>
  <si>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</si>
  <si>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</si>
  <si>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t>中区</t>
    <phoneticPr fontId="143" type="noConversion"/>
  </si>
  <si>
    <r>
      <t>9</t>
    </r>
    <r>
      <rPr>
        <sz val="11"/>
        <color theme="1"/>
        <rFont val="宋体"/>
        <family val="3"/>
        <charset val="134"/>
        <scheme val="minor"/>
      </rPr>
      <t>-16层</t>
    </r>
    <phoneticPr fontId="143" type="noConversion"/>
  </si>
  <si>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</si>
  <si>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</si>
  <si>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t>低区</t>
    <phoneticPr fontId="143" type="noConversion"/>
  </si>
  <si>
    <t>1-8层</t>
    <phoneticPr fontId="143" type="noConversion"/>
  </si>
  <si>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</si>
  <si>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</si>
  <si>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t>办公均价</t>
    <phoneticPr fontId="143" type="noConversion"/>
  </si>
  <si>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</si>
  <si>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</si>
  <si>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t>办公总价</t>
    <phoneticPr fontId="143" type="noConversion"/>
  </si>
  <si>
    <t>低区</t>
    <phoneticPr fontId="143" type="noConversion"/>
  </si>
  <si>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</si>
  <si>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</si>
  <si>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t>办公占比</t>
    <phoneticPr fontId="143" type="noConversion"/>
  </si>
  <si>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</si>
  <si>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</si>
  <si>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t>办公总价</t>
    <phoneticPr fontId="143" type="noConversion"/>
  </si>
  <si>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</si>
  <si>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</si>
  <si>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</si>
  <si>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</si>
  <si>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</si>
  <si>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</si>
  <si>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1</t>
    </r>
    <r>
      <rPr>
        <sz val="11"/>
        <color theme="1"/>
        <rFont val="宋体"/>
        <family val="3"/>
        <charset val="134"/>
        <scheme val="minor"/>
      </rPr>
      <t>6399.7x+15361.2*1.02x+15724.32*1.04x</t>
    </r>
    <phoneticPr fontId="143" type="noConversion"/>
  </si>
  <si>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</si>
  <si>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</si>
  <si>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</si>
  <si>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</si>
  <si>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</si>
  <si>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</si>
  <si>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</si>
  <si>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</si>
  <si>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t>汇总后办公价值</t>
    <phoneticPr fontId="143" type="noConversion"/>
  </si>
  <si>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</si>
  <si>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</si>
  <si>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</si>
  <si>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</si>
  <si>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</si>
  <si>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t>车库总价</t>
    <phoneticPr fontId="143" type="noConversion"/>
  </si>
  <si>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</si>
  <si>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</si>
  <si>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t>车库单价</t>
    <phoneticPr fontId="143" type="noConversion"/>
  </si>
  <si>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</si>
  <si>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</si>
  <si>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</si>
  <si>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</si>
  <si>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</si>
  <si>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</si>
  <si>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</si>
  <si>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</si>
  <si>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</si>
  <si>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</si>
  <si>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</si>
  <si>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</si>
  <si>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</si>
  <si>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</si>
  <si>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</si>
  <si>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</si>
  <si>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</si>
  <si>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</si>
  <si>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</si>
  <si>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</si>
  <si>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</si>
  <si>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</si>
  <si>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</si>
  <si>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</si>
  <si>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</si>
  <si>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</si>
  <si>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</si>
  <si>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</si>
  <si>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</si>
  <si>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</si>
  <si>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</si>
  <si>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</si>
  <si>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</si>
  <si>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</si>
  <si>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</si>
  <si>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</si>
  <si>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</si>
  <si>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</si>
  <si>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</si>
  <si>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</si>
  <si>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</si>
  <si>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</si>
  <si>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</si>
  <si>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</si>
  <si>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</si>
  <si>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</si>
  <si>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</si>
  <si>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</si>
  <si>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</si>
  <si>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</si>
  <si>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</si>
  <si>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</si>
  <si>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</si>
  <si>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</si>
  <si>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</si>
  <si>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</si>
  <si>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</si>
  <si>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</si>
  <si>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</si>
  <si>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</si>
  <si>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</si>
  <si>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</si>
  <si>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</si>
  <si>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</si>
  <si>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</si>
  <si>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</si>
  <si>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</si>
  <si>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</si>
  <si>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</si>
  <si>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</si>
  <si>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</si>
  <si>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</si>
  <si>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</si>
  <si>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</si>
  <si>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</si>
  <si>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</si>
  <si>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</si>
  <si>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0401003001100110</t>
    </r>
    <r>
      <rPr>
        <sz val="9"/>
        <color theme="1"/>
        <rFont val="华文细黑"/>
        <family val="3"/>
        <charset val="134"/>
      </rPr>
      <t>号</t>
    </r>
    <phoneticPr fontId="143" type="noConversion"/>
  </si>
  <si>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1201</t>
    </r>
    <r>
      <rPr>
        <sz val="9"/>
        <color theme="1"/>
        <rFont val="宋体"/>
        <family val="3"/>
        <charset val="134"/>
      </rPr>
      <t>室</t>
    </r>
    <r>
      <rPr>
        <sz val="9"/>
        <color theme="1"/>
        <rFont val="华文细黑"/>
        <family val="3"/>
        <charset val="134"/>
      </rPr>
      <t/>
    </r>
    <phoneticPr fontId="143" type="noConversion"/>
  </si>
  <si>
    <r>
      <t>12</t>
    </r>
    <r>
      <rPr>
        <sz val="9"/>
        <color theme="1"/>
        <rFont val="宋体"/>
        <family val="3"/>
        <charset val="134"/>
      </rPr>
      <t>层</t>
    </r>
    <phoneticPr fontId="143" type="noConversion"/>
  </si>
  <si>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</si>
  <si>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</si>
  <si>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</si>
  <si>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</si>
  <si>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</si>
  <si>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</si>
  <si>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</si>
  <si>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</si>
  <si>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</si>
  <si>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</si>
  <si>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</si>
  <si>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</si>
  <si>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</si>
  <si>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</si>
  <si>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</si>
  <si>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</si>
  <si>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</si>
  <si>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</si>
  <si>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</si>
  <si>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</si>
  <si>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</si>
  <si>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</si>
  <si>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</si>
  <si>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</si>
  <si>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</si>
  <si>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</si>
  <si>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</si>
  <si>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</si>
  <si>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</si>
  <si>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</si>
  <si>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</si>
  <si>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</si>
  <si>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</si>
  <si>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</si>
  <si>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</si>
  <si>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</si>
  <si>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</si>
  <si>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</si>
  <si>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</si>
  <si>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</si>
  <si>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</si>
  <si>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</si>
  <si>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</si>
  <si>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</si>
  <si>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</si>
  <si>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</si>
  <si>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</si>
  <si>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</si>
  <si>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</si>
  <si>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</si>
  <si>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</si>
  <si>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</si>
  <si>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</si>
  <si>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</si>
  <si>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</si>
  <si>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</si>
  <si>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</si>
  <si>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</si>
  <si>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</si>
  <si>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</si>
  <si>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</si>
  <si>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</si>
  <si>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</si>
  <si>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</si>
  <si>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</si>
  <si>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</si>
  <si>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</si>
  <si>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</si>
  <si>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</si>
  <si>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</si>
  <si>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</si>
  <si>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</si>
  <si>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</si>
  <si>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</si>
  <si>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</si>
  <si>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</si>
  <si>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</si>
  <si>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</si>
  <si>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</si>
  <si>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</si>
  <si>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</si>
  <si>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</si>
  <si>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</si>
  <si>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</si>
  <si>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</si>
  <si>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</si>
  <si>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</si>
  <si>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</si>
  <si>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</si>
  <si>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</si>
  <si>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</si>
  <si>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</si>
  <si>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</si>
  <si>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</si>
  <si>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</si>
  <si>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地下</t>
  </si>
  <si>
    <t>车库—办公</t>
  </si>
  <si>
    <t>办公</t>
    <phoneticPr fontId="143" type="noConversion"/>
  </si>
  <si>
    <t>车库</t>
    <phoneticPr fontId="143" type="noConversion"/>
  </si>
  <si>
    <t>办公</t>
    <phoneticPr fontId="7" type="noConversion"/>
  </si>
  <si>
    <t>车库</t>
  </si>
  <si>
    <t>车库</t>
    <phoneticPr fontId="7" type="noConversion"/>
  </si>
  <si>
    <t>自定义</t>
  </si>
  <si>
    <t>未包含在土地购买价格中</t>
  </si>
  <si>
    <t>已包含在土地取得成本中</t>
  </si>
  <si>
    <t>全部缴纳</t>
  </si>
  <si>
    <t>成本法</t>
  </si>
  <si>
    <t>收益法（汇总）</t>
  </si>
  <si>
    <t>较规则</t>
  </si>
  <si>
    <t>收益法办公</t>
  </si>
  <si>
    <t>收益法办公</t>
    <phoneticPr fontId="16" type="noConversion"/>
  </si>
  <si>
    <t>收益法车库</t>
  </si>
  <si>
    <t>收益法车库</t>
    <phoneticPr fontId="16" type="noConversion"/>
  </si>
  <si>
    <r>
      <t>2018</t>
    </r>
    <r>
      <rPr>
        <sz val="10"/>
        <color indexed="8"/>
        <rFont val="宋体"/>
        <family val="3"/>
        <charset val="134"/>
      </rPr>
      <t>年评估值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</si>
</sst>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3"/>
      <charset val="134"/>
      <scheme val="minor"/>
    </font>
    <font>
      <sz val="13"/>
      <color rgb="FF333333"/>
      <name val="Verdana"/>
      <family val="2"/>
    </font>
    <font>
      <b/>
      <sz val="11"/>
      <color rgb="FF444444"/>
      <name val="Verdana"/>
      <family val="2"/>
    </font>
    <font>
      <sz val="11"/>
      <color theme="1"/>
      <name val="Verdana"/>
      <family val="2"/>
    </font>
    <font>
      <sz val="9"/>
      <color rgb="FF333333"/>
      <name val="Verdana"/>
      <family val="2"/>
    </font>
    <font>
      <sz val="13"/>
      <color rgb="FFFFFFFF"/>
      <name val="Verdana"/>
      <family val="2"/>
    </font>
    <font>
      <u/>
      <sz val="11"/>
      <color theme="10"/>
      <name val="宋体"/>
      <family val="3"/>
      <charset val="134"/>
      <scheme val="minor"/>
    </font>
    <font>
      <sz val="9"/>
      <color theme="1"/>
      <name val="华文细黑"/>
      <family val="3"/>
      <charset val="134"/>
    </font>
    <font>
      <sz val="9"/>
      <color theme="1"/>
      <name val="Arial"/>
      <family val="2"/>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D6D6D6"/>
      </bottom>
      <diagonal/>
    </border>
    <border>
      <left style="medium">
        <color rgb="FFD0D0D0"/>
      </left>
      <right style="medium">
        <color rgb="FFD0D0D0"/>
      </right>
      <top style="medium">
        <color rgb="FFD0D0D0"/>
      </top>
      <bottom style="medium">
        <color rgb="FFD0D0D0"/>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5" fillId="0" borderId="0" applyFont="0" applyFill="0" applyBorder="0" applyAlignment="0" applyProtection="0">
      <alignment vertical="center"/>
    </xf>
    <xf numFmtId="0" fontId="261" fillId="0" borderId="0" applyNumberFormat="0" applyFill="0" applyBorder="0" applyAlignment="0" applyProtection="0">
      <alignment vertical="center"/>
    </xf>
    <xf numFmtId="0" fontId="37" fillId="0" borderId="0"/>
    <xf numFmtId="0" fontId="56"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9" fontId="50" fillId="6" borderId="0" xfId="17" applyFont="1" applyFill="1" applyAlignment="1" applyProtection="1">
      <alignment vertical="center"/>
      <protection locked="0"/>
    </xf>
    <xf numFmtId="0" fontId="241" fillId="0" borderId="18"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7" fillId="0" borderId="156" xfId="0" applyFont="1" applyBorder="1" applyAlignment="1">
      <alignment horizontal="center" vertical="center"/>
    </xf>
    <xf numFmtId="0" fontId="261" fillId="0" borderId="156" xfId="18" applyBorder="1" applyAlignment="1">
      <alignment horizontal="left" vertical="center"/>
    </xf>
    <xf numFmtId="0" fontId="261" fillId="0" borderId="156" xfId="18" applyBorder="1" applyAlignment="1">
      <alignment horizontal="center" vertical="center"/>
    </xf>
    <xf numFmtId="0" fontId="258" fillId="0" borderId="156" xfId="0" applyFont="1" applyBorder="1" applyAlignment="1">
      <alignment horizontal="left" vertical="center"/>
    </xf>
    <xf numFmtId="0" fontId="258" fillId="0" borderId="156" xfId="0" applyFont="1" applyBorder="1" applyAlignment="1">
      <alignment horizontal="right" vertical="center"/>
    </xf>
    <xf numFmtId="14" fontId="258" fillId="0" borderId="156" xfId="0" applyNumberFormat="1" applyFont="1" applyBorder="1" applyAlignment="1">
      <alignment horizontal="left" vertical="center"/>
    </xf>
    <xf numFmtId="14" fontId="261" fillId="0" borderId="156" xfId="18" applyNumberFormat="1" applyBorder="1" applyAlignment="1">
      <alignment horizontal="left" vertical="center"/>
    </xf>
    <xf numFmtId="0" fontId="256" fillId="0" borderId="0" xfId="0" applyFont="1" applyAlignment="1">
      <alignment horizontal="left" vertical="center" wrapText="1"/>
    </xf>
    <xf numFmtId="0" fontId="259" fillId="0" borderId="157" xfId="0" applyFont="1" applyBorder="1" applyAlignment="1">
      <alignment horizontal="left" vertical="center" wrapText="1"/>
    </xf>
    <xf numFmtId="0" fontId="260" fillId="0" borderId="0" xfId="0" applyFont="1" applyAlignment="1">
      <alignment horizontal="center" vertical="center" wrapText="1"/>
    </xf>
    <xf numFmtId="0" fontId="261" fillId="0" borderId="0" xfId="18" applyAlignment="1">
      <alignment horizontal="center" vertical="center" wrapText="1"/>
    </xf>
    <xf numFmtId="0" fontId="261" fillId="5" borderId="156" xfId="18" applyFill="1" applyBorder="1" applyAlignment="1">
      <alignment horizontal="left" vertical="center"/>
    </xf>
    <xf numFmtId="0" fontId="261" fillId="5" borderId="156" xfId="18" applyFill="1" applyBorder="1" applyAlignment="1">
      <alignment horizontal="center" vertical="center"/>
    </xf>
    <xf numFmtId="0" fontId="258" fillId="5" borderId="156" xfId="0" applyFont="1" applyFill="1" applyBorder="1" applyAlignment="1">
      <alignment horizontal="left" vertical="center"/>
    </xf>
    <xf numFmtId="0" fontId="258" fillId="5" borderId="156" xfId="0" applyFont="1" applyFill="1" applyBorder="1" applyAlignment="1">
      <alignment horizontal="right" vertical="center"/>
    </xf>
    <xf numFmtId="14" fontId="258" fillId="5" borderId="156" xfId="0" applyNumberFormat="1" applyFont="1" applyFill="1" applyBorder="1" applyAlignment="1">
      <alignment horizontal="left" vertical="center"/>
    </xf>
    <xf numFmtId="0" fontId="0" fillId="5" borderId="0" xfId="0" applyFill="1">
      <alignment vertical="center"/>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62" fillId="0" borderId="82" xfId="10" applyFont="1" applyBorder="1" applyAlignment="1">
      <alignment horizontal="justify" vertical="center"/>
    </xf>
    <xf numFmtId="0" fontId="262" fillId="0" borderId="65" xfId="10" applyFont="1" applyBorder="1" applyAlignment="1">
      <alignment horizontal="justify" vertical="center"/>
    </xf>
    <xf numFmtId="0" fontId="99" fillId="0" borderId="1" xfId="10" applyFont="1" applyFill="1" applyBorder="1" applyAlignment="1">
      <alignment horizontal="center" vertical="center"/>
    </xf>
    <xf numFmtId="0" fontId="99" fillId="0" borderId="0" xfId="10">
      <alignment vertical="center"/>
    </xf>
    <xf numFmtId="0" fontId="263" fillId="0" borderId="81" xfId="10" applyFont="1" applyBorder="1" applyAlignment="1">
      <alignment horizontal="justify" vertical="center"/>
    </xf>
    <xf numFmtId="0" fontId="262" fillId="0" borderId="43" xfId="10" applyFont="1" applyBorder="1" applyAlignment="1">
      <alignment horizontal="justify" vertical="center"/>
    </xf>
    <xf numFmtId="0" fontId="263" fillId="0" borderId="43" xfId="10" applyFont="1" applyBorder="1" applyAlignment="1">
      <alignment horizontal="justify" vertical="center"/>
    </xf>
    <xf numFmtId="0" fontId="99" fillId="0" borderId="1" xfId="10" applyBorder="1" applyAlignment="1">
      <alignment horizontal="center" vertical="center"/>
    </xf>
    <xf numFmtId="0" fontId="99" fillId="0" borderId="0" xfId="10" applyFont="1">
      <alignment vertical="center"/>
    </xf>
    <xf numFmtId="0" fontId="99" fillId="5" borderId="0" xfId="10" applyFont="1" applyFill="1">
      <alignment vertical="center"/>
    </xf>
    <xf numFmtId="0" fontId="99" fillId="5" borderId="0" xfId="10" applyFill="1">
      <alignment vertical="center"/>
    </xf>
    <xf numFmtId="10" fontId="99" fillId="0" borderId="0" xfId="10" applyNumberFormat="1">
      <alignment vertical="center"/>
    </xf>
    <xf numFmtId="0" fontId="50" fillId="8" borderId="0" xfId="0" applyFont="1" applyFill="1" applyProtection="1">
      <alignment vertical="center"/>
      <protection locked="0"/>
    </xf>
    <xf numFmtId="0" fontId="50" fillId="8" borderId="0" xfId="0" applyFont="1" applyFill="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2" fillId="0" borderId="63" xfId="10" applyFont="1" applyBorder="1" applyAlignment="1">
      <alignment horizontal="justify" vertical="center"/>
    </xf>
    <xf numFmtId="0" fontId="262" fillId="0" borderId="64" xfId="10" applyFont="1" applyBorder="1" applyAlignment="1">
      <alignment horizontal="justify" vertical="center"/>
    </xf>
    <xf numFmtId="0" fontId="262" fillId="0" borderId="65" xfId="10" applyFont="1" applyBorder="1" applyAlignment="1">
      <alignment horizontal="justify" vertical="center"/>
    </xf>
  </cellXfs>
  <cellStyles count="21">
    <cellStyle name="百分比" xfId="17" builtinId="5"/>
    <cellStyle name="百分比 2" xfId="14"/>
    <cellStyle name="常规" xfId="0" builtinId="0"/>
    <cellStyle name="常规 10" xfId="19"/>
    <cellStyle name="常规 11"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133350</xdr:rowOff>
    </xdr:from>
    <xdr:to>
      <xdr:col>14</xdr:col>
      <xdr:colOff>55823</xdr:colOff>
      <xdr:row>76</xdr:row>
      <xdr:rowOff>8971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848850"/>
          <a:ext cx="10619048" cy="4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8&#24180;/&#29616;&#25151;/2018-1-0515&#38215;&#27743;&#29616;&#25151;/F03&#37329;&#34701;&#22823;&#21414;106&#22871;&#25187;&#20928;&#20540;/&#32456;&#29256;/&#38215;&#27743;&#37329;&#34701;&#22823;&#21414;&#21150;&#20844;&#29616;&#25151;106&#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收益法（汇总）"/>
      <sheetName val="土地比较法-住宅、综合"/>
      <sheetName val="土地案例"/>
      <sheetName val="收益法"/>
      <sheetName val="收益法 (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面积明细"/>
      <sheetName val="房地价值"/>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 (车库)</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办公用房</v>
          </cell>
          <cell r="F19">
            <v>58289.510000000009</v>
          </cell>
        </row>
        <row r="20">
          <cell r="C20"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9">
          <cell r="G19">
            <v>46431</v>
          </cell>
        </row>
        <row r="118">
          <cell r="H118">
            <v>46431</v>
          </cell>
        </row>
      </sheetData>
      <sheetData sheetId="18">
        <row r="57">
          <cell r="C57">
            <v>0.56699999999999995</v>
          </cell>
        </row>
      </sheetData>
      <sheetData sheetId="19"/>
      <sheetData sheetId="20"/>
      <sheetData sheetId="21"/>
      <sheetData sheetId="22"/>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2">
          <cell r="B2">
            <v>34118</v>
          </cell>
        </row>
        <row r="6">
          <cell r="B6">
            <v>30895</v>
          </cell>
        </row>
      </sheetData>
      <sheetData sheetId="30">
        <row r="73">
          <cell r="A73" t="str">
            <v>交易情况</v>
          </cell>
          <cell r="C73" t="str">
            <v>正常</v>
          </cell>
        </row>
        <row r="75">
          <cell r="B75" t="str">
            <v>用途</v>
          </cell>
          <cell r="C75" t="str">
            <v>商业</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row>
        <row r="121">
          <cell r="B121" t="str">
            <v>临街宽度及深度</v>
          </cell>
          <cell r="C121" t="str">
            <v>较适宜</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row>
      </sheetData>
      <sheetData sheetId="31"/>
      <sheetData sheetId="32"/>
      <sheetData sheetId="33">
        <row r="7">
          <cell r="F7">
            <v>15225.21</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6" Type="http://schemas.openxmlformats.org/officeDocument/2006/relationships/hyperlink" Target="javascript:;" TargetMode="External"/><Relationship Id="rId117" Type="http://schemas.openxmlformats.org/officeDocument/2006/relationships/hyperlink" Target="https://creis.fang.com/land/Detail?sParceliD=5d41e1a7-d527-4ca5-b020-ea662d75b0dc" TargetMode="External"/><Relationship Id="rId21" Type="http://schemas.openxmlformats.org/officeDocument/2006/relationships/hyperlink" Target="https://creis.fang.com/land/Tyc/Index/?sParcelID=5c3f7ecb-40f6-4e1e-8671-fc21faabb0ec" TargetMode="External"/><Relationship Id="rId42" Type="http://schemas.openxmlformats.org/officeDocument/2006/relationships/hyperlink" Target="https://creis.fang.com/land/Detail?sParceliD=a4f3ece9-eb55-4cea-a846-b0c67a657295" TargetMode="External"/><Relationship Id="rId47" Type="http://schemas.openxmlformats.org/officeDocument/2006/relationships/hyperlink" Target="https://creis.fang.com/land/Tyc/Index/?sParcelID=f38ef14a-61cc-4235-8dfc-177add41bd45" TargetMode="External"/><Relationship Id="rId63" Type="http://schemas.openxmlformats.org/officeDocument/2006/relationships/hyperlink" Target="https://creis.fang.com/land/Detail?sParceliD=ec6370de-0281-4eea-a595-df1026dcc99b" TargetMode="External"/><Relationship Id="rId68" Type="http://schemas.openxmlformats.org/officeDocument/2006/relationships/hyperlink" Target="https://creis.fang.com/land/Tyc/Index/?sParcelID=bfd6de0e-f732-4535-ba5b-ba11343521bf" TargetMode="External"/><Relationship Id="rId84" Type="http://schemas.openxmlformats.org/officeDocument/2006/relationships/hyperlink" Target="https://creis.fang.com/land/Detail?sParceliD=cae53670-3616-45b5-a0f6-cb29b74bed89" TargetMode="External"/><Relationship Id="rId89" Type="http://schemas.openxmlformats.org/officeDocument/2006/relationships/hyperlink" Target="https://creis.fang.com/land/Tyc/Index/?sParcelID=e6a60a3f-5213-470b-b7c5-851652e2c3b1" TargetMode="External"/><Relationship Id="rId112" Type="http://schemas.openxmlformats.org/officeDocument/2006/relationships/hyperlink" Target="javascript:;" TargetMode="External"/><Relationship Id="rId133" Type="http://schemas.openxmlformats.org/officeDocument/2006/relationships/hyperlink" Target="javascript:;" TargetMode="External"/><Relationship Id="rId138" Type="http://schemas.openxmlformats.org/officeDocument/2006/relationships/hyperlink" Target="https://creis.fang.com/land/Detail?sParceliD=f5fe6a2b-c37f-4c9f-99b3-194671b5e914" TargetMode="External"/><Relationship Id="rId154" Type="http://schemas.openxmlformats.org/officeDocument/2006/relationships/hyperlink" Target="javascript:" TargetMode="External"/><Relationship Id="rId16" Type="http://schemas.openxmlformats.org/officeDocument/2006/relationships/hyperlink" Target="https://creis.fang.com/land/Detail?sParceliD=7bcdda6b-4772-4744-abb1-de38fbfe0af5" TargetMode="External"/><Relationship Id="rId107" Type="http://schemas.openxmlformats.org/officeDocument/2006/relationships/hyperlink" Target="https://creis.fang.com/land/Tyc/Index/?sParcelID=48221d91-d1af-4c49-893a-016ffcb122c7" TargetMode="External"/><Relationship Id="rId11" Type="http://schemas.openxmlformats.org/officeDocument/2006/relationships/hyperlink" Target="javascript:;" TargetMode="External"/><Relationship Id="rId32" Type="http://schemas.openxmlformats.org/officeDocument/2006/relationships/hyperlink" Target="javascript:;" TargetMode="External"/><Relationship Id="rId37" Type="http://schemas.openxmlformats.org/officeDocument/2006/relationships/hyperlink" Target="https://creis.fang.com/land/Detail?sParceliD=c391258a-3cd5-4b6f-aea4-0afb5a6383d4" TargetMode="External"/><Relationship Id="rId53" Type="http://schemas.openxmlformats.org/officeDocument/2006/relationships/hyperlink" Target="https://creis.fang.com/land/Tyc/Index/?sParcelID=741409af-beaf-4bb9-a278-f1b9a486a967" TargetMode="External"/><Relationship Id="rId58" Type="http://schemas.openxmlformats.org/officeDocument/2006/relationships/hyperlink" Target="javascript:;" TargetMode="External"/><Relationship Id="rId74" Type="http://schemas.openxmlformats.org/officeDocument/2006/relationships/hyperlink" Target="https://creis.fang.com/land/Tyc/Index/?sParcelID=01e9ac57-3de2-48f9-bc97-82bc11d96a18" TargetMode="External"/><Relationship Id="rId79" Type="http://schemas.openxmlformats.org/officeDocument/2006/relationships/hyperlink" Target="javascript:;" TargetMode="External"/><Relationship Id="rId102" Type="http://schemas.openxmlformats.org/officeDocument/2006/relationships/hyperlink" Target="https://creis.fang.com/land/Detail?sParceliD=1f9423ff-7b2b-42c3-b07a-80671cd6bd27" TargetMode="External"/><Relationship Id="rId123" Type="http://schemas.openxmlformats.org/officeDocument/2006/relationships/hyperlink" Target="https://creis.fang.com/land/Detail?sParceliD=0f74edb5-60c8-420e-ba7a-a9953cc79aae" TargetMode="External"/><Relationship Id="rId128" Type="http://schemas.openxmlformats.org/officeDocument/2006/relationships/hyperlink" Target="https://creis.fang.com/land/Tyc/Index/?sParcelID=1a370c05-3b0e-4acb-8742-ffeaf0020625" TargetMode="External"/><Relationship Id="rId144" Type="http://schemas.openxmlformats.org/officeDocument/2006/relationships/hyperlink" Target="https://creis.fang.com/land/Detail?sParceliD=588e77c0-c704-4f1d-a840-279b676b1a13" TargetMode="External"/><Relationship Id="rId149" Type="http://schemas.openxmlformats.org/officeDocument/2006/relationships/hyperlink" Target="javascript:" TargetMode="External"/><Relationship Id="rId5" Type="http://schemas.openxmlformats.org/officeDocument/2006/relationships/hyperlink" Target="javascript:;" TargetMode="External"/><Relationship Id="rId90" Type="http://schemas.openxmlformats.org/officeDocument/2006/relationships/hyperlink" Target="https://creis.fang.com/land/Detail?sParceliD=710dc069-cd47-456b-8be6-379e1f7f347f" TargetMode="External"/><Relationship Id="rId95" Type="http://schemas.openxmlformats.org/officeDocument/2006/relationships/hyperlink" Target="https://creis.fang.com/land/Tyc/Index/?sParcelID=4a64d589-4304-443d-bc5c-566e3bc91360" TargetMode="External"/><Relationship Id="rId22" Type="http://schemas.openxmlformats.org/officeDocument/2006/relationships/hyperlink" Target="https://creis.fang.com/land/Detail?sParceliD=cf7747ac-2fb6-491c-bbc2-b0ff7511180b" TargetMode="External"/><Relationship Id="rId27" Type="http://schemas.openxmlformats.org/officeDocument/2006/relationships/hyperlink" Target="https://creis.fang.com/land/Tyc/Index/?sParcelID=bfde4868-d03f-4736-9875-326cff107612" TargetMode="External"/><Relationship Id="rId43" Type="http://schemas.openxmlformats.org/officeDocument/2006/relationships/hyperlink" Target="javascript:;" TargetMode="External"/><Relationship Id="rId48" Type="http://schemas.openxmlformats.org/officeDocument/2006/relationships/hyperlink" Target="https://creis.fang.com/land/Detail?sParceliD=0c92ccf5-05bd-4e73-a333-c732e4338f5f" TargetMode="External"/><Relationship Id="rId64" Type="http://schemas.openxmlformats.org/officeDocument/2006/relationships/hyperlink" Target="javascript:;" TargetMode="External"/><Relationship Id="rId69" Type="http://schemas.openxmlformats.org/officeDocument/2006/relationships/hyperlink" Target="https://creis.fang.com/land/Detail?sParceliD=dbb2085d-d4e4-4082-a7f2-cf560dd72c55" TargetMode="External"/><Relationship Id="rId113" Type="http://schemas.openxmlformats.org/officeDocument/2006/relationships/hyperlink" Target="https://creis.fang.com/land/Tyc/Index/?sParcelID=d164e196-a1fd-48e7-81dc-506e46a6ee47" TargetMode="External"/><Relationship Id="rId118" Type="http://schemas.openxmlformats.org/officeDocument/2006/relationships/hyperlink" Target="javascript:;" TargetMode="External"/><Relationship Id="rId134" Type="http://schemas.openxmlformats.org/officeDocument/2006/relationships/hyperlink" Target="https://creis.fang.com/land/Tyc/Index/?sParcelID=79e73ec9-97ec-47f0-83b2-ee13cb695ff5" TargetMode="External"/><Relationship Id="rId139" Type="http://schemas.openxmlformats.org/officeDocument/2006/relationships/hyperlink" Target="javascript:;" TargetMode="External"/><Relationship Id="rId80" Type="http://schemas.openxmlformats.org/officeDocument/2006/relationships/hyperlink" Target="https://creis.fang.com/land/Tyc/Index/?sParcelID=487ce6b3-e6c2-4899-a2e0-dca7340043a2" TargetMode="External"/><Relationship Id="rId85" Type="http://schemas.openxmlformats.org/officeDocument/2006/relationships/hyperlink" Target="javascript:;" TargetMode="External"/><Relationship Id="rId150" Type="http://schemas.openxmlformats.org/officeDocument/2006/relationships/hyperlink" Target="javascript:" TargetMode="External"/><Relationship Id="rId155" Type="http://schemas.openxmlformats.org/officeDocument/2006/relationships/drawing" Target="../drawings/drawing1.xml"/><Relationship Id="rId12" Type="http://schemas.openxmlformats.org/officeDocument/2006/relationships/hyperlink" Target="https://creis.fang.com/land/Tyc/Index/?sParcelID=56353883-b3e9-444b-b361-3faca09610e1" TargetMode="External"/><Relationship Id="rId17" Type="http://schemas.openxmlformats.org/officeDocument/2006/relationships/hyperlink" Target="javascript:;" TargetMode="External"/><Relationship Id="rId25" Type="http://schemas.openxmlformats.org/officeDocument/2006/relationships/hyperlink" Target="https://creis.fang.com/land/Detail?sParceliD=bfde4868-d03f-4736-9875-326cff107612" TargetMode="External"/><Relationship Id="rId33" Type="http://schemas.openxmlformats.org/officeDocument/2006/relationships/hyperlink" Target="https://creis.fang.com/land/Tyc/Index/?sParcelID=aad0acf9-9ce0-45de-a022-e023638358dd" TargetMode="External"/><Relationship Id="rId38" Type="http://schemas.openxmlformats.org/officeDocument/2006/relationships/hyperlink" Target="javascript:;" TargetMode="External"/><Relationship Id="rId46" Type="http://schemas.openxmlformats.org/officeDocument/2006/relationships/hyperlink" Target="javascript:;" TargetMode="External"/><Relationship Id="rId59" Type="http://schemas.openxmlformats.org/officeDocument/2006/relationships/hyperlink" Target="https://creis.fang.com/land/Tyc/Index/?sParcelID=b1d5d7c1-cacc-4da6-89d8-9bc630b283fc" TargetMode="External"/><Relationship Id="rId67" Type="http://schemas.openxmlformats.org/officeDocument/2006/relationships/hyperlink" Target="javascript:;" TargetMode="External"/><Relationship Id="rId103" Type="http://schemas.openxmlformats.org/officeDocument/2006/relationships/hyperlink" Target="javascript:;" TargetMode="External"/><Relationship Id="rId108" Type="http://schemas.openxmlformats.org/officeDocument/2006/relationships/hyperlink" Target="https://creis.fang.com/land/Detail?sParceliD=b3939071-dd67-4643-90b7-30379e7927ba" TargetMode="External"/><Relationship Id="rId116" Type="http://schemas.openxmlformats.org/officeDocument/2006/relationships/hyperlink" Target="https://creis.fang.com/land/Tyc/Index/?sParcelID=d2b1b87c-24b0-45c3-8580-3c5564a50070" TargetMode="External"/><Relationship Id="rId124" Type="http://schemas.openxmlformats.org/officeDocument/2006/relationships/hyperlink" Target="javascript:;" TargetMode="External"/><Relationship Id="rId129" Type="http://schemas.openxmlformats.org/officeDocument/2006/relationships/hyperlink" Target="https://creis.fang.com/land/Detail?sParceliD=70add53d-c6f0-4d34-bb7d-84f5a6af5314" TargetMode="External"/><Relationship Id="rId137" Type="http://schemas.openxmlformats.org/officeDocument/2006/relationships/hyperlink" Target="https://creis.fang.com/land/Tyc/Index/?sParcelID=cc46dffa-8eb7-47cf-8842-ed16039d7d1e" TargetMode="External"/><Relationship Id="rId20" Type="http://schemas.openxmlformats.org/officeDocument/2006/relationships/hyperlink" Target="javascript:;" TargetMode="External"/><Relationship Id="rId41" Type="http://schemas.openxmlformats.org/officeDocument/2006/relationships/hyperlink" Target="javascript:;" TargetMode="External"/><Relationship Id="rId54" Type="http://schemas.openxmlformats.org/officeDocument/2006/relationships/hyperlink" Target="https://creis.fang.com/land/Detail?sParceliD=88f85b01-3d6c-4f08-a037-f0e587fae054" TargetMode="External"/><Relationship Id="rId62" Type="http://schemas.openxmlformats.org/officeDocument/2006/relationships/hyperlink" Target="https://creis.fang.com/land/Tyc/Index/?sParcelID=c6aace98-2c28-4298-a00c-d0ebf93a7aff" TargetMode="External"/><Relationship Id="rId70" Type="http://schemas.openxmlformats.org/officeDocument/2006/relationships/hyperlink" Target="javascript:;" TargetMode="External"/><Relationship Id="rId75" Type="http://schemas.openxmlformats.org/officeDocument/2006/relationships/hyperlink" Target="https://creis.fang.com/land/Detail?sParceliD=136f4ceb-38df-4036-96e3-f443d2c5fbd8" TargetMode="External"/><Relationship Id="rId83" Type="http://schemas.openxmlformats.org/officeDocument/2006/relationships/hyperlink" Target="https://creis.fang.com/land/Tyc/Index/?sParcelID=5c238c5d-aef8-40f2-b2fe-65eadd3a690c" TargetMode="External"/><Relationship Id="rId88" Type="http://schemas.openxmlformats.org/officeDocument/2006/relationships/hyperlink" Target="javascript:;" TargetMode="External"/><Relationship Id="rId91" Type="http://schemas.openxmlformats.org/officeDocument/2006/relationships/hyperlink" Target="javascript:;" TargetMode="External"/><Relationship Id="rId96" Type="http://schemas.openxmlformats.org/officeDocument/2006/relationships/hyperlink" Target="https://creis.fang.com/land/Detail?sParceliD=55517baa-a91e-450f-b033-c57d27fd6a90" TargetMode="External"/><Relationship Id="rId111" Type="http://schemas.openxmlformats.org/officeDocument/2006/relationships/hyperlink" Target="https://creis.fang.com/land/Detail?sParceliD=d164e196-a1fd-48e7-81dc-506e46a6ee47" TargetMode="External"/><Relationship Id="rId132" Type="http://schemas.openxmlformats.org/officeDocument/2006/relationships/hyperlink" Target="https://creis.fang.com/land/Detail?sParceliD=79e73ec9-97ec-47f0-83b2-ee13cb695ff5" TargetMode="External"/><Relationship Id="rId140" Type="http://schemas.openxmlformats.org/officeDocument/2006/relationships/hyperlink" Target="https://creis.fang.com/land/Tyc/Index/?sParcelID=f5fe6a2b-c37f-4c9f-99b3-194671b5e914" TargetMode="External"/><Relationship Id="rId145" Type="http://schemas.openxmlformats.org/officeDocument/2006/relationships/hyperlink" Target="javascript:;" TargetMode="External"/><Relationship Id="rId153" Type="http://schemas.openxmlformats.org/officeDocument/2006/relationships/hyperlink" Target="javascript:" TargetMode="External"/><Relationship Id="rId1" Type="http://schemas.openxmlformats.org/officeDocument/2006/relationships/hyperlink" Target="https://creis.fang.com/land/Detail?sParceliD=6ce1e033-9784-4b50-83c9-e1851d16130d" TargetMode="External"/><Relationship Id="rId6" Type="http://schemas.openxmlformats.org/officeDocument/2006/relationships/hyperlink" Target="https://creis.fang.com/land/Tyc/Index/?sParcelID=3607eb76-530e-4358-a42a-d716f5c4fc48" TargetMode="External"/><Relationship Id="rId15" Type="http://schemas.openxmlformats.org/officeDocument/2006/relationships/hyperlink" Target="https://creis.fang.com/land/Tyc/Index/?sParcelID=d9bcb8cb-c4f5-4259-a679-b9cd7a7e8d18" TargetMode="External"/><Relationship Id="rId23" Type="http://schemas.openxmlformats.org/officeDocument/2006/relationships/hyperlink" Target="javascript:;" TargetMode="External"/><Relationship Id="rId28" Type="http://schemas.openxmlformats.org/officeDocument/2006/relationships/hyperlink" Target="https://creis.fang.com/land/Detail?sParceliD=36f4b726-22ff-46fd-857d-252cf64ca6c6" TargetMode="External"/><Relationship Id="rId36" Type="http://schemas.openxmlformats.org/officeDocument/2006/relationships/hyperlink" Target="https://creis.fang.com/land/Tyc/Index/?sParcelID=b48f59b9-1a4f-43d7-819f-1e44de443a14" TargetMode="External"/><Relationship Id="rId49" Type="http://schemas.openxmlformats.org/officeDocument/2006/relationships/hyperlink" Target="javascript:;" TargetMode="External"/><Relationship Id="rId57" Type="http://schemas.openxmlformats.org/officeDocument/2006/relationships/hyperlink" Target="https://creis.fang.com/land/Detail?sParceliD=b1d5d7c1-cacc-4da6-89d8-9bc630b283fc" TargetMode="External"/><Relationship Id="rId106" Type="http://schemas.openxmlformats.org/officeDocument/2006/relationships/hyperlink" Target="javascript:;" TargetMode="External"/><Relationship Id="rId114" Type="http://schemas.openxmlformats.org/officeDocument/2006/relationships/hyperlink" Target="https://creis.fang.com/land/Detail?sParceliD=d2b1b87c-24b0-45c3-8580-3c5564a50070" TargetMode="External"/><Relationship Id="rId119" Type="http://schemas.openxmlformats.org/officeDocument/2006/relationships/hyperlink" Target="https://creis.fang.com/land/Tyc/Index/?sParcelID=5d41e1a7-d527-4ca5-b020-ea662d75b0dc" TargetMode="External"/><Relationship Id="rId127" Type="http://schemas.openxmlformats.org/officeDocument/2006/relationships/hyperlink" Target="javascript:;" TargetMode="External"/><Relationship Id="rId10" Type="http://schemas.openxmlformats.org/officeDocument/2006/relationships/hyperlink" Target="https://creis.fang.com/land/Detail?sParceliD=56353883-b3e9-444b-b361-3faca09610e1" TargetMode="External"/><Relationship Id="rId31" Type="http://schemas.openxmlformats.org/officeDocument/2006/relationships/hyperlink" Target="https://creis.fang.com/land/Detail?sParceliD=aad0acf9-9ce0-45de-a022-e023638358dd" TargetMode="External"/><Relationship Id="rId44" Type="http://schemas.openxmlformats.org/officeDocument/2006/relationships/hyperlink" Target="https://creis.fang.com/land/Tyc/Index/?sParcelID=a4f3ece9-eb55-4cea-a846-b0c67a657295" TargetMode="External"/><Relationship Id="rId52" Type="http://schemas.openxmlformats.org/officeDocument/2006/relationships/hyperlink" Target="javascript:;" TargetMode="External"/><Relationship Id="rId60" Type="http://schemas.openxmlformats.org/officeDocument/2006/relationships/hyperlink" Target="https://creis.fang.com/land/Detail?sParceliD=c6aace98-2c28-4298-a00c-d0ebf93a7aff" TargetMode="External"/><Relationship Id="rId65" Type="http://schemas.openxmlformats.org/officeDocument/2006/relationships/hyperlink" Target="https://creis.fang.com/land/Tyc/Index/?sParcelID=ec6370de-0281-4eea-a595-df1026dcc99b" TargetMode="External"/><Relationship Id="rId73" Type="http://schemas.openxmlformats.org/officeDocument/2006/relationships/hyperlink" Target="javascript:;" TargetMode="External"/><Relationship Id="rId78" Type="http://schemas.openxmlformats.org/officeDocument/2006/relationships/hyperlink" Target="https://creis.fang.com/land/Detail?sParceliD=487ce6b3-e6c2-4899-a2e0-dca7340043a2" TargetMode="External"/><Relationship Id="rId81" Type="http://schemas.openxmlformats.org/officeDocument/2006/relationships/hyperlink" Target="https://creis.fang.com/land/Detail?sParceliD=5c238c5d-aef8-40f2-b2fe-65eadd3a690c" TargetMode="External"/><Relationship Id="rId86" Type="http://schemas.openxmlformats.org/officeDocument/2006/relationships/hyperlink" Target="https://creis.fang.com/land/Tyc/Index/?sParcelID=cae53670-3616-45b5-a0f6-cb29b74bed89" TargetMode="External"/><Relationship Id="rId94" Type="http://schemas.openxmlformats.org/officeDocument/2006/relationships/hyperlink" Target="javascript:;" TargetMode="External"/><Relationship Id="rId99" Type="http://schemas.openxmlformats.org/officeDocument/2006/relationships/hyperlink" Target="https://creis.fang.com/land/Detail?sParceliD=e214aa01-6e96-4e03-816a-c060018d0728" TargetMode="External"/><Relationship Id="rId101" Type="http://schemas.openxmlformats.org/officeDocument/2006/relationships/hyperlink" Target="https://creis.fang.com/land/Tyc/Index/?sParcelID=e214aa01-6e96-4e03-816a-c060018d0728" TargetMode="External"/><Relationship Id="rId122" Type="http://schemas.openxmlformats.org/officeDocument/2006/relationships/hyperlink" Target="https://creis.fang.com/land/Tyc/Index/?sParcelID=310be1ce-5fce-4de9-983d-7041aaaf17a8" TargetMode="External"/><Relationship Id="rId130" Type="http://schemas.openxmlformats.org/officeDocument/2006/relationships/hyperlink" Target="javascript:;" TargetMode="External"/><Relationship Id="rId135" Type="http://schemas.openxmlformats.org/officeDocument/2006/relationships/hyperlink" Target="https://creis.fang.com/land/Detail?sParceliD=cc46dffa-8eb7-47cf-8842-ed16039d7d1e" TargetMode="External"/><Relationship Id="rId143" Type="http://schemas.openxmlformats.org/officeDocument/2006/relationships/hyperlink" Target="https://creis.fang.com/land/Tyc/Index/?sParcelID=ff99142e-1ba4-4645-bf72-5a5d16cb2202" TargetMode="External"/><Relationship Id="rId148" Type="http://schemas.openxmlformats.org/officeDocument/2006/relationships/hyperlink" Target="https://creis.fang.com/land/Tyc/Index/?sParcelID=6bb62bba-8124-4ddb-826e-14799734fe62" TargetMode="External"/><Relationship Id="rId151" Type="http://schemas.openxmlformats.org/officeDocument/2006/relationships/hyperlink" Target="javascript:" TargetMode="External"/><Relationship Id="rId4" Type="http://schemas.openxmlformats.org/officeDocument/2006/relationships/hyperlink" Target="https://creis.fang.com/land/Detail?sParceliD=3607eb76-530e-4358-a42a-d716f5c4fc48" TargetMode="External"/><Relationship Id="rId9" Type="http://schemas.openxmlformats.org/officeDocument/2006/relationships/hyperlink" Target="https://creis.fang.com/land/Tyc/Index/?sParcelID=434a5a90-88cd-44ca-a2a2-c4b6a95538ff" TargetMode="External"/><Relationship Id="rId13" Type="http://schemas.openxmlformats.org/officeDocument/2006/relationships/hyperlink" Target="https://creis.fang.com/land/Detail?sParceliD=d9bcb8cb-c4f5-4259-a679-b9cd7a7e8d18" TargetMode="External"/><Relationship Id="rId18" Type="http://schemas.openxmlformats.org/officeDocument/2006/relationships/hyperlink" Target="https://creis.fang.com/land/Tyc/Index/?sParcelID=7bcdda6b-4772-4744-abb1-de38fbfe0af5" TargetMode="External"/><Relationship Id="rId39" Type="http://schemas.openxmlformats.org/officeDocument/2006/relationships/hyperlink" Target="https://creis.fang.com/land/Tyc/Index/?sParcelID=c391258a-3cd5-4b6f-aea4-0afb5a6383d4" TargetMode="External"/><Relationship Id="rId109" Type="http://schemas.openxmlformats.org/officeDocument/2006/relationships/hyperlink" Target="javascript:;" TargetMode="External"/><Relationship Id="rId34" Type="http://schemas.openxmlformats.org/officeDocument/2006/relationships/hyperlink" Target="https://creis.fang.com/land/Detail?sParceliD=b48f59b9-1a4f-43d7-819f-1e44de443a14" TargetMode="External"/><Relationship Id="rId50" Type="http://schemas.openxmlformats.org/officeDocument/2006/relationships/hyperlink" Target="https://creis.fang.com/land/Tyc/Index/?sParcelID=0c92ccf5-05bd-4e73-a333-c732e4338f5f" TargetMode="External"/><Relationship Id="rId55" Type="http://schemas.openxmlformats.org/officeDocument/2006/relationships/hyperlink" Target="javascript:;" TargetMode="External"/><Relationship Id="rId76" Type="http://schemas.openxmlformats.org/officeDocument/2006/relationships/hyperlink" Target="javascript:;" TargetMode="External"/><Relationship Id="rId97" Type="http://schemas.openxmlformats.org/officeDocument/2006/relationships/hyperlink" Target="javascript:;" TargetMode="External"/><Relationship Id="rId104" Type="http://schemas.openxmlformats.org/officeDocument/2006/relationships/hyperlink" Target="https://creis.fang.com/land/Tyc/Index/?sParcelID=1f9423ff-7b2b-42c3-b07a-80671cd6bd27" TargetMode="External"/><Relationship Id="rId120" Type="http://schemas.openxmlformats.org/officeDocument/2006/relationships/hyperlink" Target="https://creis.fang.com/land/Detail?sParceliD=310be1ce-5fce-4de9-983d-7041aaaf17a8" TargetMode="External"/><Relationship Id="rId125" Type="http://schemas.openxmlformats.org/officeDocument/2006/relationships/hyperlink" Target="https://creis.fang.com/land/Tyc/Index/?sParcelID=0f74edb5-60c8-420e-ba7a-a9953cc79aae" TargetMode="External"/><Relationship Id="rId141" Type="http://schemas.openxmlformats.org/officeDocument/2006/relationships/hyperlink" Target="https://creis.fang.com/land/Detail?sParceliD=ff99142e-1ba4-4645-bf72-5a5d16cb2202" TargetMode="External"/><Relationship Id="rId146" Type="http://schemas.openxmlformats.org/officeDocument/2006/relationships/hyperlink" Target="https://creis.fang.com/land/Detail?sParceliD=6bb62bba-8124-4ddb-826e-14799734fe62" TargetMode="External"/><Relationship Id="rId7" Type="http://schemas.openxmlformats.org/officeDocument/2006/relationships/hyperlink" Target="https://creis.fang.com/land/Detail?sParceliD=434a5a90-88cd-44ca-a2a2-c4b6a95538ff" TargetMode="External"/><Relationship Id="rId71" Type="http://schemas.openxmlformats.org/officeDocument/2006/relationships/hyperlink" Target="https://creis.fang.com/land/Tyc/Index/?sParcelID=dbb2085d-d4e4-4082-a7f2-cf560dd72c55" TargetMode="External"/><Relationship Id="rId92" Type="http://schemas.openxmlformats.org/officeDocument/2006/relationships/hyperlink" Target="https://creis.fang.com/land/Tyc/Index/?sParcelID=710dc069-cd47-456b-8be6-379e1f7f347f" TargetMode="External"/><Relationship Id="rId2" Type="http://schemas.openxmlformats.org/officeDocument/2006/relationships/hyperlink" Target="javascript:;" TargetMode="External"/><Relationship Id="rId29" Type="http://schemas.openxmlformats.org/officeDocument/2006/relationships/hyperlink" Target="javascript:;" TargetMode="External"/><Relationship Id="rId24" Type="http://schemas.openxmlformats.org/officeDocument/2006/relationships/hyperlink" Target="https://creis.fang.com/land/Tyc/Index/?sParcelID=cf7747ac-2fb6-491c-bbc2-b0ff7511180b" TargetMode="External"/><Relationship Id="rId40" Type="http://schemas.openxmlformats.org/officeDocument/2006/relationships/hyperlink" Target="https://creis.fang.com/land/Detail?sParceliD=d8aeed64-92b0-4204-aa89-a0845dfbcd57" TargetMode="External"/><Relationship Id="rId45" Type="http://schemas.openxmlformats.org/officeDocument/2006/relationships/hyperlink" Target="https://creis.fang.com/land/Detail?sParceliD=f38ef14a-61cc-4235-8dfc-177add41bd45" TargetMode="External"/><Relationship Id="rId66" Type="http://schemas.openxmlformats.org/officeDocument/2006/relationships/hyperlink" Target="https://creis.fang.com/land/Detail?sParceliD=bfd6de0e-f732-4535-ba5b-ba11343521bf" TargetMode="External"/><Relationship Id="rId87" Type="http://schemas.openxmlformats.org/officeDocument/2006/relationships/hyperlink" Target="https://creis.fang.com/land/Detail?sParceliD=e6a60a3f-5213-470b-b7c5-851652e2c3b1" TargetMode="External"/><Relationship Id="rId110" Type="http://schemas.openxmlformats.org/officeDocument/2006/relationships/hyperlink" Target="https://creis.fang.com/land/Tyc/Index/?sParcelID=b3939071-dd67-4643-90b7-30379e7927ba" TargetMode="External"/><Relationship Id="rId115" Type="http://schemas.openxmlformats.org/officeDocument/2006/relationships/hyperlink" Target="javascript:;" TargetMode="External"/><Relationship Id="rId131" Type="http://schemas.openxmlformats.org/officeDocument/2006/relationships/hyperlink" Target="https://creis.fang.com/land/Tyc/Index/?sParcelID=70add53d-c6f0-4d34-bb7d-84f5a6af5314" TargetMode="External"/><Relationship Id="rId136" Type="http://schemas.openxmlformats.org/officeDocument/2006/relationships/hyperlink" Target="javascript:;" TargetMode="External"/><Relationship Id="rId61" Type="http://schemas.openxmlformats.org/officeDocument/2006/relationships/hyperlink" Target="javascript:;" TargetMode="External"/><Relationship Id="rId82" Type="http://schemas.openxmlformats.org/officeDocument/2006/relationships/hyperlink" Target="javascript:;" TargetMode="External"/><Relationship Id="rId152" Type="http://schemas.openxmlformats.org/officeDocument/2006/relationships/hyperlink" Target="javascript:" TargetMode="External"/><Relationship Id="rId19" Type="http://schemas.openxmlformats.org/officeDocument/2006/relationships/hyperlink" Target="https://creis.fang.com/land/Detail?sParceliD=5c3f7ecb-40f6-4e1e-8671-fc21faabb0ec" TargetMode="External"/><Relationship Id="rId14" Type="http://schemas.openxmlformats.org/officeDocument/2006/relationships/hyperlink" Target="javascript:;" TargetMode="External"/><Relationship Id="rId30" Type="http://schemas.openxmlformats.org/officeDocument/2006/relationships/hyperlink" Target="https://creis.fang.com/land/Tyc/Index/?sParcelID=36f4b726-22ff-46fd-857d-252cf64ca6c6" TargetMode="External"/><Relationship Id="rId35" Type="http://schemas.openxmlformats.org/officeDocument/2006/relationships/hyperlink" Target="javascript:;" TargetMode="External"/><Relationship Id="rId56" Type="http://schemas.openxmlformats.org/officeDocument/2006/relationships/hyperlink" Target="https://creis.fang.com/land/Tyc/Index/?sParcelID=88f85b01-3d6c-4f08-a037-f0e587fae054" TargetMode="External"/><Relationship Id="rId77" Type="http://schemas.openxmlformats.org/officeDocument/2006/relationships/hyperlink" Target="https://creis.fang.com/land/Tyc/Index/?sParcelID=136f4ceb-38df-4036-96e3-f443d2c5fbd8" TargetMode="External"/><Relationship Id="rId100" Type="http://schemas.openxmlformats.org/officeDocument/2006/relationships/hyperlink" Target="javascript:;" TargetMode="External"/><Relationship Id="rId105" Type="http://schemas.openxmlformats.org/officeDocument/2006/relationships/hyperlink" Target="https://creis.fang.com/land/Detail?sParceliD=48221d91-d1af-4c49-893a-016ffcb122c7" TargetMode="External"/><Relationship Id="rId126" Type="http://schemas.openxmlformats.org/officeDocument/2006/relationships/hyperlink" Target="https://creis.fang.com/land/Detail?sParceliD=1a370c05-3b0e-4acb-8742-ffeaf0020625" TargetMode="External"/><Relationship Id="rId147" Type="http://schemas.openxmlformats.org/officeDocument/2006/relationships/hyperlink" Target="javascript:;" TargetMode="External"/><Relationship Id="rId8" Type="http://schemas.openxmlformats.org/officeDocument/2006/relationships/hyperlink" Target="javascript:;" TargetMode="External"/><Relationship Id="rId51" Type="http://schemas.openxmlformats.org/officeDocument/2006/relationships/hyperlink" Target="https://creis.fang.com/land/Detail?sParceliD=741409af-beaf-4bb9-a278-f1b9a486a967" TargetMode="External"/><Relationship Id="rId72" Type="http://schemas.openxmlformats.org/officeDocument/2006/relationships/hyperlink" Target="https://creis.fang.com/land/Detail?sParceliD=01e9ac57-3de2-48f9-bc97-82bc11d96a18" TargetMode="External"/><Relationship Id="rId93" Type="http://schemas.openxmlformats.org/officeDocument/2006/relationships/hyperlink" Target="https://creis.fang.com/land/Detail?sParceliD=4a64d589-4304-443d-bc5c-566e3bc91360" TargetMode="External"/><Relationship Id="rId98" Type="http://schemas.openxmlformats.org/officeDocument/2006/relationships/hyperlink" Target="https://creis.fang.com/land/Tyc/Index/?sParcelID=55517baa-a91e-450f-b033-c57d27fd6a90" TargetMode="External"/><Relationship Id="rId121" Type="http://schemas.openxmlformats.org/officeDocument/2006/relationships/hyperlink" Target="javascript:;" TargetMode="External"/><Relationship Id="rId142" Type="http://schemas.openxmlformats.org/officeDocument/2006/relationships/hyperlink" Target="javascript:;" TargetMode="External"/><Relationship Id="rId3" Type="http://schemas.openxmlformats.org/officeDocument/2006/relationships/hyperlink" Target="https://creis.fang.com/land/Tyc/Index/?sParcelID=6ce1e033-9784-4b50-83c9-e1851d16130d"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1214</v>
      </c>
      <c r="B1" s="1585" t="s">
        <v>1293</v>
      </c>
    </row>
    <row r="2" spans="1:2" s="1590" customFormat="1" ht="16.2"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6.2" thickBot="1">
      <c r="A5" s="1594" t="s">
        <v>1218</v>
      </c>
      <c r="B5" s="1595" t="str">
        <f>'预评函-封皮'!B49</f>
        <v>康正预评字号</v>
      </c>
    </row>
    <row r="6" spans="1:2" s="1590" customFormat="1" ht="16.2"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估价对象为房地产，为所有。根据《国有土地使用证》[]，估价对象（分摊）出让国有建设用地使用权面积为10609平方米，建筑面积为73514.72平方米。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估价对象为房地产,属开发建设的，该项目尚在开发建设中。根据《国有土地使用证》[]，估价对象（分摊）出让国有建设用地使用权面积为10609平方米，规划建筑面积为73514.72平方米。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2020年5月29日（评估专业人员实地查勘之日）</v>
      </c>
    </row>
    <row r="13" spans="1:2" s="1593" customFormat="1">
      <c r="A13" s="1591" t="s">
        <v>1222</v>
      </c>
      <c r="B13" s="1592" t="str">
        <f>'预评函-1'!A18</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6.2" thickBot="1">
      <c r="A18" s="1594" t="s">
        <v>1227</v>
      </c>
      <c r="B18" s="1595" t="str">
        <f>'预评函-1'!A24</f>
        <v>本次评估采用的主估价方法为成本法和收益法。</v>
      </c>
    </row>
    <row r="19" spans="1:2" s="1590" customFormat="1" ht="16.2"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46521</v>
      </c>
    </row>
    <row r="21" spans="1:2" s="1593" customFormat="1">
      <c r="A21" s="1591" t="s">
        <v>1230</v>
      </c>
      <c r="B21" s="1592" t="e">
        <f ca="1">'预评函-2'!D7</f>
        <v>#DIV/0!</v>
      </c>
    </row>
    <row r="22" spans="1:2" s="1593" customFormat="1">
      <c r="A22" s="1591" t="s">
        <v>1231</v>
      </c>
      <c r="B22" s="1592" t="str">
        <f ca="1">'预评函-2'!D6</f>
        <v>肆亿陆仟伍佰贰拾壹万元整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46521</v>
      </c>
    </row>
    <row r="31" spans="1:2" s="1593" customFormat="1">
      <c r="A31" s="1591" t="s">
        <v>1269</v>
      </c>
      <c r="B31" s="1592">
        <f ca="1">'预评函-2'!D15</f>
        <v>6328</v>
      </c>
    </row>
    <row r="32" spans="1:2" s="1593" customFormat="1">
      <c r="A32" s="1591" t="s">
        <v>1236</v>
      </c>
      <c r="B32" s="1592" t="str">
        <f ca="1">'预评函-2'!D14</f>
        <v>肆亿陆仟伍佰贰拾壹万元整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ht="31.2">
      <c r="A42" s="1591" t="s">
        <v>1283</v>
      </c>
      <c r="B42" s="1592" t="str">
        <f>'预评函-3'!B2</f>
        <v>建筑面积</v>
      </c>
    </row>
    <row r="43" spans="1:2" s="1593" customFormat="1">
      <c r="A43" s="1591" t="s">
        <v>1284</v>
      </c>
      <c r="B43" s="1592">
        <f>'预评函-3'!B4</f>
        <v>73514.720000000016</v>
      </c>
    </row>
    <row r="44" spans="1:2" s="1593" customFormat="1" ht="31.2">
      <c r="A44" s="1591" t="s">
        <v>1268</v>
      </c>
      <c r="B44" s="1592" t="str">
        <f>'预评函-3'!C2</f>
        <v>(分摊)土地面积</v>
      </c>
    </row>
    <row r="45" spans="1:2" s="1593" customFormat="1">
      <c r="A45" s="1591" t="s">
        <v>1240</v>
      </c>
      <c r="B45" s="1592">
        <f>'预评函-3'!C4</f>
        <v>10609</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6.2" thickBot="1">
      <c r="A57" s="1594" t="s">
        <v>1292</v>
      </c>
      <c r="B57" s="1595" t="str">
        <f>'预评函-3'!A6</f>
        <v>估价师知悉的法定优先受偿款</v>
      </c>
    </row>
    <row r="58" spans="1:2" s="1590" customFormat="1" ht="16.2"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6.2" thickBot="1">
      <c r="A69" s="1594" t="s">
        <v>1254</v>
      </c>
      <c r="B69" s="1596">
        <f>'预评函-4'!C31</f>
        <v>42551</v>
      </c>
    </row>
    <row r="70" spans="1:2" ht="16.2" thickTop="1">
      <c r="A70" s="1597" t="s">
        <v>1255</v>
      </c>
      <c r="B70" s="1598">
        <f>'预评函-4'!A4</f>
        <v>0</v>
      </c>
    </row>
    <row r="71" spans="1:2">
      <c r="A71" s="1591" t="s">
        <v>1256</v>
      </c>
      <c r="B71" s="1592">
        <f>'预评函-4'!B4</f>
        <v>0</v>
      </c>
    </row>
    <row r="72" spans="1:2">
      <c r="A72" s="1591" t="s">
        <v>1257</v>
      </c>
      <c r="B72" s="1600">
        <f>'预评函-4'!A5</f>
        <v>0</v>
      </c>
    </row>
    <row r="73" spans="1:2" s="1587" customFormat="1" ht="16.2" thickBot="1">
      <c r="A73" s="1594" t="s">
        <v>1258</v>
      </c>
      <c r="B73" s="1595">
        <f>'预评函-4'!B5</f>
        <v>0</v>
      </c>
    </row>
    <row r="74" spans="1:2" ht="16.2"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25" sqref="J25"/>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7" t="s">
        <v>3657</v>
      </c>
      <c r="C5" s="2005" t="s">
        <v>763</v>
      </c>
      <c r="F5" s="2006" t="s">
        <v>1726</v>
      </c>
      <c r="H5" s="2006" t="s">
        <v>1727</v>
      </c>
      <c r="I5" s="2006" t="s">
        <v>1728</v>
      </c>
      <c r="K5" s="2006" t="s">
        <v>1729</v>
      </c>
      <c r="L5" s="2006" t="s">
        <v>1729</v>
      </c>
      <c r="M5" s="2006" t="s">
        <v>1729</v>
      </c>
      <c r="N5" s="2006" t="s">
        <v>1729</v>
      </c>
      <c r="O5" s="2006" t="s">
        <v>1729</v>
      </c>
      <c r="P5" s="2006" t="s">
        <v>1729</v>
      </c>
      <c r="Q5" s="2006" t="s">
        <v>1729</v>
      </c>
      <c r="R5" s="2006" t="s">
        <v>1138</v>
      </c>
      <c r="S5" s="2006" t="s">
        <v>1729</v>
      </c>
      <c r="T5" s="2006" t="s">
        <v>1730</v>
      </c>
      <c r="U5" s="2006" t="s">
        <v>1729</v>
      </c>
      <c r="W5" s="2006" t="s">
        <v>1729</v>
      </c>
    </row>
    <row r="6" spans="1:23">
      <c r="A6" s="2004" t="s">
        <v>1731</v>
      </c>
      <c r="B6" s="2007" t="s">
        <v>1142</v>
      </c>
      <c r="C6" s="2010" t="s">
        <v>30</v>
      </c>
      <c r="F6" s="2006" t="s">
        <v>1727</v>
      </c>
      <c r="H6" s="2006" t="s">
        <v>1732</v>
      </c>
      <c r="I6" s="2006" t="s">
        <v>1733</v>
      </c>
      <c r="K6" s="2006" t="s">
        <v>1734</v>
      </c>
      <c r="L6" s="2006" t="s">
        <v>1734</v>
      </c>
      <c r="M6" s="2006" t="s">
        <v>1734</v>
      </c>
      <c r="N6" s="2006" t="s">
        <v>1734</v>
      </c>
      <c r="O6" s="2006" t="s">
        <v>1734</v>
      </c>
      <c r="P6" s="2006" t="s">
        <v>1734</v>
      </c>
      <c r="Q6" s="2006" t="s">
        <v>1734</v>
      </c>
      <c r="R6" s="2006" t="s">
        <v>1139</v>
      </c>
      <c r="S6" s="2006" t="s">
        <v>1734</v>
      </c>
      <c r="T6" s="2006"/>
      <c r="U6" s="2006" t="s">
        <v>1734</v>
      </c>
      <c r="W6" s="2006" t="s">
        <v>1734</v>
      </c>
    </row>
    <row r="7" spans="1:23">
      <c r="A7" s="2004" t="s">
        <v>1735</v>
      </c>
      <c r="B7" s="2007" t="s">
        <v>1143</v>
      </c>
      <c r="C7" s="2005" t="s">
        <v>31</v>
      </c>
      <c r="F7" s="2006" t="s">
        <v>1736</v>
      </c>
      <c r="H7" s="2006" t="s">
        <v>1737</v>
      </c>
      <c r="I7" s="2006" t="s">
        <v>1738</v>
      </c>
    </row>
    <row r="8" spans="1:23">
      <c r="A8" s="2004" t="s">
        <v>1739</v>
      </c>
      <c r="B8" s="2004" t="s">
        <v>1740</v>
      </c>
      <c r="C8" s="2005" t="s">
        <v>764</v>
      </c>
      <c r="F8" s="2006" t="s">
        <v>1741</v>
      </c>
      <c r="H8" s="2006"/>
      <c r="I8" s="2006" t="s">
        <v>1742</v>
      </c>
    </row>
    <row r="9" spans="1:23">
      <c r="A9" s="2004" t="s">
        <v>1743</v>
      </c>
      <c r="B9" s="2004" t="s">
        <v>1744</v>
      </c>
      <c r="C9" s="2005" t="s">
        <v>765</v>
      </c>
      <c r="F9" s="2006" t="s">
        <v>1745</v>
      </c>
      <c r="H9" s="2006"/>
    </row>
    <row r="10" spans="1:23">
      <c r="A10" s="2004" t="s">
        <v>1746</v>
      </c>
      <c r="B10" s="2004" t="s">
        <v>1747</v>
      </c>
      <c r="C10" s="2005" t="s">
        <v>766</v>
      </c>
      <c r="F10" s="2006" t="s">
        <v>16</v>
      </c>
    </row>
    <row r="11" spans="1:23">
      <c r="A11" s="2004" t="s">
        <v>1748</v>
      </c>
      <c r="B11" s="2004" t="s">
        <v>1749</v>
      </c>
      <c r="C11" s="2005" t="s">
        <v>767</v>
      </c>
    </row>
    <row r="12" spans="1:23">
      <c r="A12" s="2004" t="s">
        <v>1750</v>
      </c>
      <c r="B12" s="2004" t="s">
        <v>1751</v>
      </c>
      <c r="C12" s="2005" t="s">
        <v>768</v>
      </c>
    </row>
    <row r="13" spans="1:23">
      <c r="A13" s="2004" t="s">
        <v>1752</v>
      </c>
      <c r="B13" s="2004" t="s">
        <v>1753</v>
      </c>
      <c r="C13" s="2005" t="s">
        <v>769</v>
      </c>
    </row>
    <row r="14" spans="1:23">
      <c r="A14" s="2004" t="s">
        <v>1754</v>
      </c>
      <c r="B14" s="2004" t="s">
        <v>1755</v>
      </c>
      <c r="C14" s="2006" t="s">
        <v>16</v>
      </c>
    </row>
    <row r="15" spans="1:23">
      <c r="A15" s="2004" t="s">
        <v>1756</v>
      </c>
      <c r="B15" s="2004" t="s">
        <v>1757</v>
      </c>
      <c r="C15" s="2005"/>
    </row>
    <row r="16" spans="1:23">
      <c r="A16" s="2004" t="s">
        <v>1758</v>
      </c>
      <c r="B16" s="2004" t="s">
        <v>756</v>
      </c>
      <c r="C16" s="2005"/>
    </row>
    <row r="17" spans="1:3">
      <c r="A17" s="2004" t="s">
        <v>1759</v>
      </c>
      <c r="B17" s="2004" t="s">
        <v>3659</v>
      </c>
      <c r="C17" s="2005"/>
    </row>
    <row r="18" spans="1:3">
      <c r="A18" s="2004" t="s">
        <v>1760</v>
      </c>
      <c r="B18" s="2004" t="s">
        <v>757</v>
      </c>
      <c r="C18" s="2005"/>
    </row>
    <row r="19" spans="1:3">
      <c r="A19" s="2004" t="s">
        <v>1761</v>
      </c>
      <c r="B19" s="2004" t="s">
        <v>757</v>
      </c>
      <c r="C19" s="2005"/>
    </row>
    <row r="20" spans="1:3">
      <c r="A20" s="2004" t="s">
        <v>1762</v>
      </c>
      <c r="B20" s="2004" t="s">
        <v>757</v>
      </c>
      <c r="C20" s="2005"/>
    </row>
    <row r="21" spans="1:3">
      <c r="A21" s="2004" t="s">
        <v>1763</v>
      </c>
      <c r="B21" s="2004" t="s">
        <v>757</v>
      </c>
      <c r="C21" s="2005"/>
    </row>
    <row r="22" spans="1:3">
      <c r="A22" s="2004" t="s">
        <v>1764</v>
      </c>
      <c r="B22" s="2004" t="s">
        <v>757</v>
      </c>
      <c r="C22" s="2005"/>
    </row>
    <row r="23" spans="1:3">
      <c r="A23" s="2004" t="s">
        <v>1765</v>
      </c>
      <c r="B23" s="2004" t="s">
        <v>757</v>
      </c>
      <c r="C23" s="2005"/>
    </row>
    <row r="24" spans="1:3">
      <c r="A24" s="2004" t="s">
        <v>1766</v>
      </c>
      <c r="B24" s="2004" t="s">
        <v>757</v>
      </c>
      <c r="C24" s="2005"/>
    </row>
    <row r="25" spans="1:3">
      <c r="A25" s="2004" t="s">
        <v>1767</v>
      </c>
      <c r="B25" s="2004" t="s">
        <v>757</v>
      </c>
      <c r="C25" s="2005"/>
    </row>
    <row r="26" spans="1:3">
      <c r="A26" s="2004" t="s">
        <v>1768</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56"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6"/>
      <c r="B54" s="2012" t="s">
        <v>860</v>
      </c>
      <c r="C54" s="2009" t="s">
        <v>1276</v>
      </c>
    </row>
    <row r="55" spans="1:4">
      <c r="A55" s="3056"/>
      <c r="B55" s="2012" t="s">
        <v>861</v>
      </c>
      <c r="C55" s="2009" t="s">
        <v>1277</v>
      </c>
    </row>
    <row r="56" spans="1:4">
      <c r="A56" s="3056"/>
      <c r="B56" s="2012" t="s">
        <v>862</v>
      </c>
      <c r="C56" s="2009" t="s">
        <v>1281</v>
      </c>
    </row>
    <row r="57" spans="1:4">
      <c r="A57" s="3056"/>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K10" sqref="K10"/>
    </sheetView>
  </sheetViews>
  <sheetFormatPr defaultColWidth="10" defaultRowHeight="18" customHeight="1"/>
  <cols>
    <col min="1" max="1" width="14.88671875" style="2022" customWidth="1"/>
    <col min="2" max="2" width="10" style="2022" customWidth="1"/>
    <col min="3" max="3" width="11.44140625" style="2022" customWidth="1"/>
    <col min="4" max="6" width="10" style="2022" customWidth="1"/>
    <col min="7" max="7" width="10.77734375" style="2022" customWidth="1"/>
    <col min="8" max="8" width="10" style="2022" customWidth="1"/>
    <col min="9" max="9" width="11.10937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1769</v>
      </c>
      <c r="B1" s="3065" t="str">
        <f>IF(B10="北京市","北京市",C10)&amp;F10&amp;IF(结果表!G1="在建","出让国有建设用地使用权及在建建筑物",IF(结果表!G1="土地","出让国有建设用地使用权",))&amp;B9&amp;"预评估"</f>
        <v>房地产抵押价值预评估</v>
      </c>
      <c r="C1" s="3066"/>
      <c r="D1" s="3066"/>
      <c r="E1" s="3066"/>
      <c r="F1" s="3066"/>
      <c r="G1" s="3066"/>
      <c r="H1" s="3066"/>
      <c r="I1" s="306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房地产抵押价值</v>
      </c>
    </row>
    <row r="2" spans="1:19" ht="18" customHeight="1">
      <c r="A2" s="2016" t="s">
        <v>1770</v>
      </c>
      <c r="B2" s="1039"/>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房地产</v>
      </c>
    </row>
    <row r="3" spans="1:19" ht="18" customHeight="1">
      <c r="A3" s="2025" t="s">
        <v>1771</v>
      </c>
      <c r="B3" s="2026">
        <v>43980</v>
      </c>
      <c r="C3" s="2027" t="s">
        <v>1772</v>
      </c>
      <c r="D3" s="2026">
        <f>B3</f>
        <v>43980</v>
      </c>
      <c r="E3" s="2016"/>
      <c r="F3" s="2016"/>
      <c r="G3" s="2016"/>
      <c r="H3" s="2016"/>
      <c r="I3" s="2016"/>
      <c r="J3" s="2016"/>
      <c r="K3" s="2017"/>
      <c r="L3" s="2018"/>
      <c r="M3" s="2018"/>
      <c r="N3" s="2019"/>
      <c r="O3" s="2020"/>
      <c r="P3" s="2019"/>
      <c r="Q3" s="2019"/>
      <c r="R3" s="2019"/>
      <c r="S3" s="2021"/>
    </row>
    <row r="4" spans="1:19" ht="18" customHeight="1" thickBot="1">
      <c r="A4" s="2028" t="s">
        <v>1773</v>
      </c>
      <c r="B4" s="2029"/>
      <c r="C4" s="1037">
        <f>SUMIF(注册房地产估价师,B4,估价师及机构信息!B3:B24)</f>
        <v>0</v>
      </c>
      <c r="D4" s="2029"/>
      <c r="E4" s="1038">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1774</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1775</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1776</v>
      </c>
      <c r="B7" s="2043"/>
      <c r="C7" s="2040"/>
      <c r="D7" s="2041"/>
      <c r="E7" s="2024"/>
      <c r="F7" s="2032"/>
      <c r="G7" s="2032"/>
      <c r="H7" s="2032"/>
      <c r="I7" s="2032"/>
      <c r="J7" s="2032"/>
      <c r="K7" s="2044"/>
      <c r="L7" s="2018"/>
      <c r="M7" s="2018"/>
      <c r="N7" s="2019"/>
      <c r="O7" s="2020"/>
      <c r="P7" s="2019"/>
      <c r="Q7" s="2019"/>
      <c r="R7" s="2019"/>
    </row>
    <row r="8" spans="1:19" ht="18" customHeight="1">
      <c r="A8" s="2038" t="s">
        <v>1777</v>
      </c>
      <c r="B8" s="2045" t="s">
        <v>3055</v>
      </c>
      <c r="C8" s="2046"/>
      <c r="D8" s="3068" t="s">
        <v>1778</v>
      </c>
      <c r="E8" s="2047" t="s">
        <v>3056</v>
      </c>
      <c r="F8" s="2048"/>
      <c r="G8" s="2016"/>
      <c r="H8" s="2016"/>
      <c r="I8" s="2016"/>
      <c r="J8" s="2032"/>
      <c r="K8" s="2033"/>
      <c r="L8" s="2018"/>
      <c r="M8" s="2018"/>
      <c r="N8" s="2019"/>
      <c r="O8" s="2020"/>
      <c r="P8" s="2019"/>
      <c r="Q8" s="2019"/>
      <c r="R8" s="2019"/>
    </row>
    <row r="9" spans="1:19" ht="18" customHeight="1" thickBot="1">
      <c r="A9" s="2030" t="s">
        <v>1779</v>
      </c>
      <c r="B9" s="2049" t="s">
        <v>3056</v>
      </c>
      <c r="C9" s="2050"/>
      <c r="D9" s="3069"/>
      <c r="E9" s="2049"/>
      <c r="F9" s="2051"/>
      <c r="G9" s="2052"/>
      <c r="H9" s="2052"/>
      <c r="I9" s="2052"/>
      <c r="J9" s="2032"/>
      <c r="K9" s="2044"/>
      <c r="L9" s="2018"/>
      <c r="M9" s="2018"/>
      <c r="N9" s="2019"/>
      <c r="O9" s="2020"/>
      <c r="P9" s="2019"/>
      <c r="Q9" s="2019"/>
      <c r="R9" s="2019"/>
    </row>
    <row r="10" spans="1:19" ht="18" customHeight="1" thickTop="1">
      <c r="A10" s="2053" t="s">
        <v>1780</v>
      </c>
      <c r="B10" s="2054" t="s">
        <v>3057</v>
      </c>
      <c r="C10" s="2055"/>
      <c r="D10" s="2037"/>
      <c r="E10" s="2056" t="s">
        <v>1781</v>
      </c>
      <c r="F10" s="2057"/>
      <c r="G10" s="2058"/>
      <c r="H10" s="2059"/>
      <c r="I10" s="2037"/>
      <c r="J10" s="2032"/>
      <c r="K10" s="2044"/>
      <c r="L10" s="2018"/>
      <c r="M10" s="2018"/>
      <c r="N10" s="2019"/>
      <c r="O10" s="2020"/>
      <c r="P10" s="2019"/>
      <c r="Q10" s="2019"/>
      <c r="R10" s="2019"/>
    </row>
    <row r="11" spans="1:19" ht="18" customHeight="1">
      <c r="A11" s="2060" t="s">
        <v>1782</v>
      </c>
      <c r="B11" s="2061" t="s">
        <v>3058</v>
      </c>
      <c r="C11" s="2062"/>
      <c r="D11" s="2063"/>
      <c r="E11" s="2032"/>
      <c r="F11" s="2032"/>
      <c r="G11" s="2032"/>
      <c r="H11" s="2032"/>
      <c r="I11" s="2032"/>
      <c r="J11" s="2032"/>
      <c r="K11" s="2044"/>
      <c r="L11" s="2018"/>
      <c r="M11" s="2018"/>
      <c r="N11" s="2019"/>
      <c r="O11" s="2020"/>
      <c r="P11" s="2019"/>
      <c r="Q11" s="2019"/>
      <c r="R11" s="2019"/>
    </row>
    <row r="12" spans="1:19" ht="18" customHeight="1">
      <c r="A12" s="2064" t="s">
        <v>1783</v>
      </c>
      <c r="B12" s="2061" t="s">
        <v>3059</v>
      </c>
      <c r="C12" s="2065" t="s">
        <v>1784</v>
      </c>
      <c r="D12" s="2066" t="s">
        <v>1785</v>
      </c>
      <c r="E12" s="2066" t="s">
        <v>1786</v>
      </c>
      <c r="F12" s="2066" t="s">
        <v>1787</v>
      </c>
      <c r="G12" s="2066" t="s">
        <v>1788</v>
      </c>
      <c r="H12" s="2066" t="s">
        <v>1789</v>
      </c>
      <c r="I12" s="2066" t="s">
        <v>1790</v>
      </c>
      <c r="J12" s="2032"/>
      <c r="K12" s="2044"/>
      <c r="L12" s="2018"/>
      <c r="M12" s="2018"/>
      <c r="N12" s="2019"/>
      <c r="O12" s="2020"/>
      <c r="P12" s="2019"/>
      <c r="Q12" s="2019"/>
      <c r="R12" s="2019"/>
    </row>
    <row r="13" spans="1:19" ht="18" customHeight="1">
      <c r="A13" s="2067"/>
      <c r="B13" s="2068"/>
      <c r="C13" s="2069" t="s">
        <v>1791</v>
      </c>
      <c r="D13" s="2070"/>
      <c r="E13" s="2070">
        <v>55028</v>
      </c>
      <c r="F13" s="2070"/>
      <c r="G13" s="2070">
        <v>55028</v>
      </c>
      <c r="H13" s="2070"/>
      <c r="I13" s="1047"/>
      <c r="J13" s="2032"/>
      <c r="K13" s="2044"/>
      <c r="L13" s="2018"/>
      <c r="M13" s="2018"/>
      <c r="N13" s="2019"/>
      <c r="O13" s="2020"/>
      <c r="P13" s="2019"/>
      <c r="Q13" s="2019"/>
      <c r="R13" s="2019"/>
    </row>
    <row r="14" spans="1:19" ht="18" customHeight="1">
      <c r="A14" s="2067"/>
      <c r="B14" s="2068"/>
      <c r="C14" s="2069" t="s">
        <v>1792</v>
      </c>
      <c r="D14" s="1050"/>
      <c r="E14" s="1050">
        <v>40</v>
      </c>
      <c r="F14" s="1050"/>
      <c r="G14" s="1050">
        <v>40</v>
      </c>
      <c r="H14" s="1050"/>
      <c r="I14" s="1050"/>
      <c r="J14" s="2032"/>
      <c r="K14" s="2071"/>
      <c r="L14" s="2018"/>
      <c r="M14" s="2018"/>
      <c r="N14" s="2019"/>
      <c r="O14" s="2020"/>
      <c r="P14" s="2019"/>
      <c r="Q14" s="2019"/>
      <c r="R14" s="2019"/>
    </row>
    <row r="15" spans="1:19" ht="18" customHeight="1">
      <c r="A15" s="2053"/>
      <c r="B15" s="2072"/>
      <c r="C15" s="2069" t="s">
        <v>1793</v>
      </c>
      <c r="D15" s="1049" t="str">
        <f>IF(B12="出让",IF(D13="","",ROUNDDOWN(MIN((D13-$D$3)/365,D14),2)),D14)</f>
        <v/>
      </c>
      <c r="E15" s="1049">
        <f>IF(B12="出让",IF(E13="","",ROUNDDOWN(MIN((E13-$D$3)/365,E14),2)),E14)</f>
        <v>30.26</v>
      </c>
      <c r="F15" s="1049" t="str">
        <f>IF(B12="出让",IF(F13="","",ROUNDDOWN(MIN((F13-$D$3)/365,F14),2)),F14)</f>
        <v/>
      </c>
      <c r="G15" s="1049">
        <f>IF(B12="出让",IF(G13="","",ROUNDDOWN(MIN((G13-$D$3)/365,G14),2)),G14)</f>
        <v>30.26</v>
      </c>
      <c r="H15" s="1049" t="str">
        <f>IF(B12="出让",IF(H13="","",ROUNDDOWN(MIN((H13-$D$3)/365,H14),2)),H14)</f>
        <v/>
      </c>
      <c r="I15" s="1049" t="str">
        <f>IF(B12="出让",IF(I13="","",ROUNDDOWN(MIN((I13-$D$3)/365,I14),2)),I14)</f>
        <v/>
      </c>
      <c r="J15" s="2032"/>
      <c r="K15" s="2073"/>
      <c r="L15" s="2074"/>
      <c r="M15" s="2074"/>
      <c r="N15" s="2075"/>
      <c r="O15" s="2074"/>
      <c r="P15" s="2075"/>
      <c r="Q15" s="2019"/>
      <c r="R15" s="2019"/>
    </row>
    <row r="16" spans="1:19" ht="30.75" customHeight="1">
      <c r="A16" s="2056" t="s">
        <v>1794</v>
      </c>
      <c r="B16" s="3075"/>
      <c r="C16" s="3076"/>
      <c r="D16" s="3077"/>
      <c r="E16" s="2076" t="s">
        <v>1795</v>
      </c>
      <c r="F16" s="3078"/>
      <c r="G16" s="3079"/>
      <c r="H16" s="3079"/>
      <c r="I16" s="3080"/>
      <c r="J16" s="2019"/>
      <c r="K16" s="2073"/>
      <c r="L16" s="2074"/>
      <c r="M16" s="2074"/>
      <c r="N16" s="2075"/>
      <c r="O16" s="2074"/>
      <c r="P16" s="2075"/>
      <c r="Q16" s="2019"/>
      <c r="R16" s="2019"/>
    </row>
    <row r="17" spans="1:22" ht="18" customHeight="1">
      <c r="A17" s="2077" t="s">
        <v>1796</v>
      </c>
      <c r="B17" s="2025" t="s">
        <v>1797</v>
      </c>
      <c r="C17" s="1054">
        <f>'数据-汇总表'!E3</f>
        <v>73514.720000000016</v>
      </c>
      <c r="D17" s="2078" t="s">
        <v>1798</v>
      </c>
      <c r="E17" s="3081" t="s">
        <v>1799</v>
      </c>
      <c r="F17" s="3082"/>
      <c r="G17" s="3082"/>
      <c r="H17" s="3082"/>
      <c r="I17" s="3083"/>
      <c r="J17" s="2019"/>
      <c r="K17" s="2079"/>
      <c r="L17" s="2074"/>
      <c r="M17" s="2074"/>
      <c r="N17" s="2075"/>
      <c r="O17" s="2074"/>
      <c r="P17" s="2075"/>
      <c r="Q17" s="2019"/>
      <c r="R17" s="2019"/>
      <c r="S17" s="2019"/>
      <c r="T17" s="2019"/>
      <c r="U17" s="2019"/>
      <c r="V17" s="2019"/>
    </row>
    <row r="18" spans="1:22" ht="36" customHeight="1" thickBot="1">
      <c r="A18" s="2080" t="s">
        <v>1800</v>
      </c>
      <c r="B18" s="2028" t="s">
        <v>1801</v>
      </c>
      <c r="C18" s="1444">
        <f>'数据-汇总表'!D3</f>
        <v>10609</v>
      </c>
      <c r="D18" s="2081" t="s">
        <v>1798</v>
      </c>
      <c r="E18" s="3084" t="s">
        <v>1802</v>
      </c>
      <c r="F18" s="3085"/>
      <c r="G18" s="3085"/>
      <c r="H18" s="3085"/>
      <c r="I18" s="3086"/>
      <c r="J18" s="2019"/>
      <c r="K18" s="2079"/>
      <c r="L18" s="2074"/>
      <c r="M18" s="2074"/>
      <c r="N18" s="2075"/>
      <c r="O18" s="2074"/>
      <c r="P18" s="2075"/>
      <c r="Q18" s="2019"/>
      <c r="R18" s="2019"/>
      <c r="S18" s="2019"/>
      <c r="T18" s="2019"/>
      <c r="U18" s="2019"/>
      <c r="V18" s="2019"/>
    </row>
    <row r="19" spans="1:22" ht="37.5" customHeight="1" thickTop="1" thickBot="1">
      <c r="A19" s="373" t="s">
        <v>1803</v>
      </c>
      <c r="B19" s="352" t="s">
        <v>1804</v>
      </c>
      <c r="C19" s="2082"/>
      <c r="D19" s="2083" t="s">
        <v>1805</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1806</v>
      </c>
      <c r="B20" s="3071" t="s">
        <v>1807</v>
      </c>
      <c r="C20" s="3072"/>
      <c r="D20" s="3073" t="s">
        <v>1808</v>
      </c>
      <c r="E20" s="3074"/>
      <c r="F20" s="2088" t="s">
        <v>1809</v>
      </c>
      <c r="G20" s="2032"/>
      <c r="H20" s="2032"/>
      <c r="I20" s="2032"/>
      <c r="J20" s="2032"/>
      <c r="K20" s="3070"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1811</v>
      </c>
      <c r="C21" s="2090" t="s">
        <v>1812</v>
      </c>
      <c r="D21" s="2091" t="s">
        <v>1813</v>
      </c>
      <c r="E21" s="2092" t="s">
        <v>1812</v>
      </c>
      <c r="F21" s="2093"/>
      <c r="G21" s="2032"/>
      <c r="H21" s="2032"/>
      <c r="I21" s="2032"/>
      <c r="J21" s="2032"/>
      <c r="K21" s="307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1814</v>
      </c>
      <c r="C22" s="2090" t="s">
        <v>1815</v>
      </c>
      <c r="D22" s="2016"/>
      <c r="E22" s="2016"/>
      <c r="F22" s="2095"/>
      <c r="G22" s="2032"/>
      <c r="H22" s="2032"/>
      <c r="I22" s="2032"/>
      <c r="J22" s="2032"/>
      <c r="K22" s="307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1816</v>
      </c>
      <c r="B23" s="183" t="s">
        <v>1817</v>
      </c>
      <c r="C23" s="2097"/>
      <c r="D23" s="2098" t="s">
        <v>1817</v>
      </c>
      <c r="E23" s="2099"/>
      <c r="F23" s="2095"/>
      <c r="G23" s="2032"/>
      <c r="H23" s="2032"/>
      <c r="I23" s="2032"/>
      <c r="J23" s="2032"/>
      <c r="K23" s="2100"/>
      <c r="L23" s="748"/>
      <c r="M23" s="2018"/>
      <c r="N23" s="2075"/>
      <c r="O23" s="2074"/>
      <c r="P23" s="2075"/>
      <c r="Q23" s="2019"/>
      <c r="R23" s="2019"/>
      <c r="S23" s="2019"/>
      <c r="T23" s="2019"/>
      <c r="U23" s="2019"/>
      <c r="V23" s="2019"/>
    </row>
    <row r="24" spans="1:22" ht="18" customHeight="1">
      <c r="A24" s="2101"/>
      <c r="B24" s="183" t="s">
        <v>1818</v>
      </c>
      <c r="C24" s="2102"/>
      <c r="D24" s="2096" t="s">
        <v>1818</v>
      </c>
      <c r="E24" s="2103"/>
      <c r="F24" s="2095"/>
      <c r="G24" s="2032"/>
      <c r="H24" s="2032"/>
      <c r="I24" s="2032"/>
      <c r="J24" s="2032"/>
      <c r="K24" s="2100"/>
      <c r="L24" s="748"/>
      <c r="M24" s="2018"/>
      <c r="N24" s="2075"/>
      <c r="O24" s="2074"/>
      <c r="P24" s="2075"/>
      <c r="Q24" s="2019"/>
      <c r="R24" s="2019"/>
      <c r="S24" s="2019"/>
      <c r="T24" s="2019"/>
      <c r="U24" s="2019"/>
      <c r="V24" s="2019"/>
    </row>
    <row r="25" spans="1:22" ht="18" customHeight="1">
      <c r="A25" s="2101"/>
      <c r="B25" s="183" t="s">
        <v>1819</v>
      </c>
      <c r="C25" s="2102"/>
      <c r="D25" s="2096" t="s">
        <v>1819</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1820</v>
      </c>
      <c r="C26" s="2106"/>
      <c r="D26" s="2107" t="s">
        <v>1821</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58" t="s">
        <v>1822</v>
      </c>
      <c r="B27" s="2053" t="s">
        <v>1823</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58"/>
      <c r="B28" s="2025" t="s">
        <v>1824</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58"/>
      <c r="B29" s="2025" t="s">
        <v>1825</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59"/>
      <c r="B30" s="2025" t="s">
        <v>1826</v>
      </c>
      <c r="C30" s="3060"/>
      <c r="D30" s="3061"/>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62" t="s">
        <v>1827</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63"/>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63"/>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1828</v>
      </c>
      <c r="B34" s="2124"/>
      <c r="C34" s="2124"/>
      <c r="D34" s="2124"/>
      <c r="E34" s="2124"/>
      <c r="F34" s="2124"/>
      <c r="G34" s="2124"/>
      <c r="H34" s="2124"/>
      <c r="I34" s="2032"/>
      <c r="J34" s="2032"/>
      <c r="K34" s="1786">
        <f>COUNTIF(B34:H34,"——")</f>
        <v>0</v>
      </c>
      <c r="L34" s="2065" t="s">
        <v>1829</v>
      </c>
      <c r="M34" s="2065" t="s">
        <v>1830</v>
      </c>
      <c r="N34" s="2065" t="s">
        <v>1831</v>
      </c>
      <c r="O34" s="2065" t="s">
        <v>1832</v>
      </c>
      <c r="P34" s="2065" t="s">
        <v>1833</v>
      </c>
      <c r="Q34" s="2065" t="s">
        <v>1834</v>
      </c>
      <c r="R34" s="2065" t="s">
        <v>1835</v>
      </c>
      <c r="S34" s="3057" t="s">
        <v>1836</v>
      </c>
      <c r="T34" s="2125" t="str">
        <f>NUMBERSTRING(7-K34,1)&amp;"通"</f>
        <v>七通</v>
      </c>
      <c r="U34" s="2019"/>
      <c r="V34" s="2019"/>
    </row>
    <row r="35" spans="1:22" ht="18" customHeight="1">
      <c r="A35" s="2126"/>
      <c r="B35" s="3064" t="s">
        <v>1837</v>
      </c>
      <c r="C35" s="3064"/>
      <c r="D35" s="3064"/>
      <c r="E35" s="3064"/>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7"/>
      <c r="T35" s="48" t="str">
        <f>IF(T34="一通",L35,IF(T34="二通",M35,IF(T34="三通",N35,IF(T34="四通",O35,IF(T34="五通",P35,IF(T34="六通",Q35,R35))))))</f>
        <v>、、、、、、</v>
      </c>
      <c r="U35" s="2019"/>
      <c r="V35" s="2019"/>
    </row>
    <row r="36" spans="1:22" ht="18" customHeight="1">
      <c r="A36" s="2128"/>
      <c r="B36" s="2127" t="s">
        <v>1838</v>
      </c>
      <c r="C36" s="2127" t="s">
        <v>1839</v>
      </c>
      <c r="D36" s="2127" t="s">
        <v>1840</v>
      </c>
      <c r="E36" s="2127" t="s">
        <v>1841</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1842</v>
      </c>
      <c r="B37" s="2131"/>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1843</v>
      </c>
      <c r="B38" s="2133"/>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1844</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6"/>
      <c r="L40" s="2074"/>
      <c r="M40" s="2074"/>
      <c r="N40" s="2075"/>
      <c r="O40" s="2074"/>
      <c r="P40" s="2019"/>
      <c r="Q40" s="2019"/>
      <c r="R40" s="2019"/>
      <c r="S40" s="2019"/>
      <c r="T40" s="2019"/>
      <c r="U40" s="2019"/>
      <c r="V40" s="2019"/>
    </row>
    <row r="41" spans="1:22" ht="18" customHeight="1">
      <c r="A41" s="8" t="s">
        <v>1845</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1846</v>
      </c>
      <c r="B42" s="1786" t="s">
        <v>1847</v>
      </c>
      <c r="C42" s="1786" t="s">
        <v>1848</v>
      </c>
      <c r="D42" s="1786" t="s">
        <v>1849</v>
      </c>
      <c r="E42" s="1786" t="s">
        <v>1850</v>
      </c>
      <c r="F42" s="1786" t="s">
        <v>1851</v>
      </c>
      <c r="G42" s="1786" t="s">
        <v>1852</v>
      </c>
      <c r="H42" s="1786" t="s">
        <v>1853</v>
      </c>
      <c r="I42" s="1786" t="s">
        <v>1854</v>
      </c>
      <c r="J42" s="2143" t="s">
        <v>1855</v>
      </c>
      <c r="K42" s="2066" t="s">
        <v>1856</v>
      </c>
      <c r="L42" s="2066" t="s">
        <v>1857</v>
      </c>
      <c r="M42" s="2066" t="s">
        <v>1858</v>
      </c>
      <c r="N42" s="1786" t="s">
        <v>1859</v>
      </c>
      <c r="O42" s="1786" t="s">
        <v>1860</v>
      </c>
      <c r="P42" s="1786" t="s">
        <v>1861</v>
      </c>
      <c r="Q42" s="2065" t="s">
        <v>1862</v>
      </c>
      <c r="R42" s="2065" t="s">
        <v>1863</v>
      </c>
      <c r="S42" s="2019"/>
      <c r="T42" s="2019"/>
      <c r="U42" s="2019"/>
      <c r="V42" s="2019"/>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8671875" defaultRowHeight="13.8"/>
  <cols>
    <col min="1" max="1" width="10.6640625" style="2150" customWidth="1"/>
    <col min="2" max="2" width="11" style="2150" customWidth="1"/>
    <col min="3" max="3" width="10.33203125" style="2150" customWidth="1"/>
    <col min="4" max="4" width="9.109375" style="2150" customWidth="1"/>
    <col min="5" max="6" width="10" style="2213" customWidth="1"/>
    <col min="7" max="8" width="10" style="2150" customWidth="1"/>
    <col min="9" max="9" width="10.6640625" style="2150" customWidth="1"/>
    <col min="10" max="10" width="9.44140625" style="2150" customWidth="1"/>
    <col min="11" max="11" width="11" style="2150" customWidth="1"/>
    <col min="12" max="14" width="9.44140625" style="2150" customWidth="1"/>
    <col min="15" max="15" width="9.88671875" style="2150" customWidth="1"/>
    <col min="16" max="16" width="9.77734375" style="2150" customWidth="1"/>
    <col min="17" max="17" width="9.33203125" style="2150" customWidth="1"/>
    <col min="18" max="18" width="9.21875" style="2150" customWidth="1"/>
    <col min="19" max="19" width="10.88671875" style="2150" customWidth="1"/>
    <col min="20" max="21" width="10.77734375" style="2150" customWidth="1"/>
    <col min="22" max="22" width="10.88671875" style="2150" customWidth="1"/>
    <col min="23" max="27" width="10.77734375" style="2150" customWidth="1"/>
    <col min="28" max="28" width="10.88671875" style="2150" customWidth="1"/>
    <col min="29" max="29" width="11" style="2150" bestFit="1" customWidth="1"/>
    <col min="30" max="30" width="10" style="2150" bestFit="1" customWidth="1"/>
    <col min="31" max="31" width="9.77734375" style="2150" customWidth="1"/>
    <col min="32" max="46" width="9.44140625" style="2150" customWidth="1"/>
    <col min="47" max="47" width="18.109375" style="2150" customWidth="1"/>
    <col min="48" max="50" width="9.77734375" style="2150" customWidth="1"/>
    <col min="51" max="55" width="10.44140625" style="2150" bestFit="1" customWidth="1"/>
    <col min="56" max="56" width="9.44140625" style="2150" bestFit="1" customWidth="1"/>
    <col min="57" max="63" width="9.109375" style="2150" bestFit="1" customWidth="1"/>
    <col min="64" max="64" width="9.44140625" style="2150" bestFit="1" customWidth="1"/>
    <col min="65" max="65" width="9.109375" style="2150" bestFit="1" customWidth="1"/>
    <col min="66" max="66" width="9.44140625" style="2150" bestFit="1" customWidth="1"/>
    <col min="67" max="69" width="9.109375" style="2150" bestFit="1" customWidth="1"/>
    <col min="70" max="70" width="9.44140625" style="2150" bestFit="1" customWidth="1"/>
    <col min="71" max="71" width="9" style="2150" customWidth="1"/>
    <col min="72" max="72" width="9.109375" style="2150" bestFit="1" customWidth="1"/>
    <col min="73" max="16384" width="8.88671875" style="2150"/>
  </cols>
  <sheetData>
    <row r="1" spans="1:72" ht="21">
      <c r="A1" s="2153" t="s">
        <v>1864</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1865</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1866</v>
      </c>
      <c r="B2" s="11" t="s">
        <v>1867</v>
      </c>
      <c r="C2" s="11" t="s">
        <v>1868</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1869</v>
      </c>
      <c r="AZ2" s="1270" t="s">
        <v>1870</v>
      </c>
      <c r="BA2" s="11" t="s">
        <v>1871</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3.2">
      <c r="A3" s="13">
        <v>10609</v>
      </c>
      <c r="B3" s="14">
        <f>IF(C3="否",G5-AT5,G5)</f>
        <v>73514.720000000016</v>
      </c>
      <c r="C3" s="2159" t="s">
        <v>1872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3.2">
      <c r="A5" s="15" t="s">
        <v>1873</v>
      </c>
      <c r="B5" s="1794"/>
      <c r="C5" s="1794"/>
      <c r="D5" s="1797"/>
      <c r="E5" s="16" t="s">
        <v>1</v>
      </c>
      <c r="F5" s="16">
        <f>SUM(F13:F587)</f>
        <v>0</v>
      </c>
      <c r="G5" s="16">
        <f>SUM(G13:G587)</f>
        <v>73514.720000000016</v>
      </c>
      <c r="H5" s="16">
        <f t="shared" ref="H5:AT5" si="0">SUM(H13:H656)</f>
        <v>73514.720000000016</v>
      </c>
      <c r="I5" s="16">
        <f t="shared" si="0"/>
        <v>58289.510000000017</v>
      </c>
      <c r="J5" s="16">
        <f t="shared" si="0"/>
        <v>0</v>
      </c>
      <c r="K5" s="16">
        <f t="shared" si="0"/>
        <v>15225.21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73514.720000000016</v>
      </c>
      <c r="BA5" s="18">
        <f t="shared" si="1"/>
        <v>73514.720000000016</v>
      </c>
      <c r="BB5" s="18">
        <f t="shared" si="1"/>
        <v>58289.510000000017</v>
      </c>
      <c r="BC5" s="18">
        <f t="shared" si="1"/>
        <v>15225.21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3.2">
      <c r="A6" s="15" t="s">
        <v>1874</v>
      </c>
      <c r="B6" s="2165"/>
      <c r="C6" s="2165"/>
      <c r="D6" s="2166"/>
      <c r="E6" s="16">
        <f>H6+AC6+AT6</f>
        <v>10609</v>
      </c>
      <c r="F6" s="16" t="s">
        <v>1</v>
      </c>
      <c r="G6" s="16" t="s">
        <v>2</v>
      </c>
      <c r="H6" s="20">
        <f>SUMIF(I$12:AB$12,"总值",I6:AB6)</f>
        <v>10609</v>
      </c>
      <c r="I6" s="16">
        <f t="shared" ref="I6:AB6" si="2">ROUND($A$3*I5/$B$3,2)</f>
        <v>8411.83</v>
      </c>
      <c r="J6" s="16">
        <f t="shared" si="2"/>
        <v>0</v>
      </c>
      <c r="K6" s="16">
        <f t="shared" si="2"/>
        <v>2197.17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1874</v>
      </c>
      <c r="AW6" s="2165"/>
      <c r="AX6" s="2165"/>
      <c r="AY6" s="21">
        <f>IF(AY3&gt;0,AY3,ROUND($A$3*AZ5/$B$3,2))</f>
        <v>10609</v>
      </c>
      <c r="AZ6" s="16" t="s">
        <v>3</v>
      </c>
      <c r="BA6" s="16">
        <f>ROUND($AY$6*BA5/$AZ$5,2)</f>
        <v>10609</v>
      </c>
      <c r="BB6" s="16">
        <f>ROUND($AY$6*BB5/$AZ$5,2)</f>
        <v>8411.83</v>
      </c>
      <c r="BC6" s="16">
        <f t="shared" ref="BC6:BH6" si="4">ROUND($AY$6*BC5/$AZ$5,2)</f>
        <v>2197.17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5.2">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1882</v>
      </c>
      <c r="AV7" s="23" t="s">
        <v>1883</v>
      </c>
      <c r="AW7" s="2157" t="s">
        <v>1884</v>
      </c>
      <c r="AX7" s="23" t="s">
        <v>1877</v>
      </c>
      <c r="AY7" s="1794"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09"/>
      <c r="K8" s="1809"/>
      <c r="L8" s="1809"/>
      <c r="M8" s="1809"/>
      <c r="N8" s="1809"/>
      <c r="O8" s="1809"/>
      <c r="P8" s="1809"/>
      <c r="Q8" s="1809"/>
      <c r="R8" s="1809"/>
      <c r="S8" s="1809"/>
      <c r="T8" s="1809"/>
      <c r="U8" s="1809"/>
      <c r="V8" s="2177"/>
      <c r="W8" s="1809"/>
      <c r="X8" s="1809"/>
      <c r="Y8" s="1809"/>
      <c r="Z8" s="1809"/>
      <c r="AA8" s="2177"/>
      <c r="AB8" s="2178"/>
      <c r="AC8" s="981" t="s">
        <v>1888</v>
      </c>
      <c r="AD8" s="2179"/>
      <c r="AE8" s="2171"/>
      <c r="AF8" s="1809"/>
      <c r="AG8" s="1809"/>
      <c r="AH8" s="1809"/>
      <c r="AI8" s="1809"/>
      <c r="AJ8" s="1809"/>
      <c r="AK8" s="1809"/>
      <c r="AL8" s="1809"/>
      <c r="AM8" s="1809"/>
      <c r="AN8" s="1809"/>
      <c r="AO8" s="1809"/>
      <c r="AP8" s="1809"/>
      <c r="AQ8" s="1809"/>
      <c r="AR8" s="1809"/>
      <c r="AS8" s="1809"/>
      <c r="AT8" s="1292" t="s">
        <v>1889</v>
      </c>
      <c r="AU8" s="2173" t="s">
        <v>1890</v>
      </c>
      <c r="AV8" s="1292"/>
      <c r="AW8" s="2156"/>
      <c r="AX8" s="1292"/>
      <c r="AY8" s="2157"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3.2">
      <c r="A9" s="2173"/>
      <c r="B9" s="2173"/>
      <c r="C9" s="2173"/>
      <c r="D9" s="2173"/>
      <c r="E9" s="2173"/>
      <c r="F9" s="2173"/>
      <c r="G9" s="1292"/>
      <c r="H9" s="2181" t="s">
        <v>1893</v>
      </c>
      <c r="I9" s="2182" t="s">
        <v>3110</v>
      </c>
      <c r="J9" s="981"/>
      <c r="K9" s="2182" t="s">
        <v>3642</v>
      </c>
      <c r="L9" s="981"/>
      <c r="M9" s="2182"/>
      <c r="N9" s="981"/>
      <c r="O9" s="2182"/>
      <c r="P9" s="981"/>
      <c r="Q9" s="2182"/>
      <c r="R9" s="981"/>
      <c r="S9" s="2182"/>
      <c r="T9" s="981"/>
      <c r="U9" s="2182"/>
      <c r="V9" s="981"/>
      <c r="W9" s="2182"/>
      <c r="X9" s="2183"/>
      <c r="Y9" s="2182"/>
      <c r="Z9" s="981"/>
      <c r="AA9" s="2182"/>
      <c r="AB9" s="981"/>
      <c r="AC9" s="2174"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4"/>
      <c r="AT9" s="2173"/>
      <c r="AU9" s="2173" t="s">
        <v>1896</v>
      </c>
      <c r="AV9" s="1292"/>
      <c r="AW9" s="2156"/>
      <c r="AX9" s="1292"/>
      <c r="AY9" s="28"/>
      <c r="AZ9" s="28" t="s">
        <v>1886</v>
      </c>
      <c r="BA9" s="2185" t="s">
        <v>1897</v>
      </c>
      <c r="BB9" s="2186"/>
      <c r="BC9" s="1338"/>
      <c r="BD9" s="1338"/>
      <c r="BE9" s="1338"/>
      <c r="BF9" s="1338"/>
      <c r="BG9" s="1338"/>
      <c r="BH9" s="1338"/>
      <c r="BI9" s="1338"/>
      <c r="BJ9" s="1338"/>
      <c r="BK9" s="2187"/>
      <c r="BL9" s="15" t="s">
        <v>1898</v>
      </c>
      <c r="BM9" s="1809"/>
      <c r="BN9" s="2176"/>
      <c r="BO9" s="1809"/>
      <c r="BP9" s="1809"/>
      <c r="BQ9" s="1809"/>
      <c r="BR9" s="1809"/>
      <c r="BS9" s="1809"/>
      <c r="BT9" s="26"/>
    </row>
    <row r="10" spans="1:72" s="2180" customFormat="1" ht="13.2">
      <c r="A10" s="2173"/>
      <c r="B10" s="2173"/>
      <c r="C10" s="2173"/>
      <c r="D10" s="2173"/>
      <c r="E10" s="2173"/>
      <c r="F10" s="2173"/>
      <c r="G10" s="1292"/>
      <c r="H10" s="28"/>
      <c r="I10" s="2182" t="s">
        <v>27</v>
      </c>
      <c r="J10" s="981"/>
      <c r="K10" s="2188" t="s">
        <v>3643</v>
      </c>
      <c r="L10" s="981"/>
      <c r="M10" s="2188"/>
      <c r="N10" s="981"/>
      <c r="O10" s="2188"/>
      <c r="P10" s="981"/>
      <c r="Q10" s="2188"/>
      <c r="R10" s="981"/>
      <c r="S10" s="2188"/>
      <c r="T10" s="981"/>
      <c r="U10" s="2188"/>
      <c r="V10" s="981"/>
      <c r="W10" s="2188"/>
      <c r="X10" s="981"/>
      <c r="Y10" s="2188"/>
      <c r="Z10" s="981"/>
      <c r="AA10" s="2188"/>
      <c r="AB10" s="981"/>
      <c r="AC10" s="1292"/>
      <c r="AD10" s="15" t="s">
        <v>1899</v>
      </c>
      <c r="AE10" s="2189"/>
      <c r="AF10" s="15" t="s">
        <v>1899</v>
      </c>
      <c r="AG10" s="2189"/>
      <c r="AH10" s="15" t="s">
        <v>1900</v>
      </c>
      <c r="AI10" s="2189"/>
      <c r="AJ10" s="15" t="s">
        <v>1900</v>
      </c>
      <c r="AK10" s="2189"/>
      <c r="AL10" s="15" t="s">
        <v>1901</v>
      </c>
      <c r="AM10" s="1298"/>
      <c r="AN10" s="15" t="s">
        <v>1901</v>
      </c>
      <c r="AO10" s="1298"/>
      <c r="AP10" s="15" t="s">
        <v>1902</v>
      </c>
      <c r="AQ10" s="1298"/>
      <c r="AR10" s="15" t="s">
        <v>1902</v>
      </c>
      <c r="AS10" s="1298"/>
      <c r="AT10" s="2173"/>
      <c r="AU10" s="2173"/>
      <c r="AV10" s="1292"/>
      <c r="AW10" s="2156"/>
      <c r="AX10" s="1292"/>
      <c r="AY10" s="28"/>
      <c r="AZ10" s="28"/>
      <c r="BA10" s="2190" t="s">
        <v>1893</v>
      </c>
      <c r="BB10" s="2191" t="str">
        <f>I9</f>
        <v>地上</v>
      </c>
      <c r="BC10" s="29" t="str">
        <f>K9</f>
        <v>地下</v>
      </c>
      <c r="BD10" s="29">
        <f>M9</f>
        <v>0</v>
      </c>
      <c r="BE10" s="29">
        <f>O9</f>
        <v>0</v>
      </c>
      <c r="BF10" s="29">
        <f>Q9</f>
        <v>0</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3.2">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1903</v>
      </c>
      <c r="AE11" s="1810"/>
      <c r="AF11" s="2195" t="s">
        <v>1903</v>
      </c>
      <c r="AG11" s="1810"/>
      <c r="AH11" s="2195" t="s">
        <v>1904</v>
      </c>
      <c r="AI11" s="2196"/>
      <c r="AJ11" s="2195" t="s">
        <v>1904</v>
      </c>
      <c r="AK11" s="1810"/>
      <c r="AL11" s="1808"/>
      <c r="AM11" s="1810"/>
      <c r="AN11" s="1808"/>
      <c r="AO11" s="1810"/>
      <c r="AP11" s="1808"/>
      <c r="AQ11" s="1810"/>
      <c r="AR11" s="1808"/>
      <c r="AS11" s="1810"/>
      <c r="AT11" s="2156"/>
      <c r="AU11" s="2173"/>
      <c r="AV11" s="1292"/>
      <c r="AW11" s="2156"/>
      <c r="AX11" s="1292"/>
      <c r="AY11" s="28"/>
      <c r="AZ11" s="28"/>
      <c r="BA11" s="28"/>
      <c r="BB11" s="2178" t="str">
        <f>I10</f>
        <v>办公</v>
      </c>
      <c r="BC11" s="2178" t="str">
        <f>K10</f>
        <v>车库—办公</v>
      </c>
      <c r="BD11" s="2178">
        <f>M10</f>
        <v>0</v>
      </c>
      <c r="BE11" s="2178">
        <f>O10</f>
        <v>0</v>
      </c>
      <c r="BF11" s="2178">
        <f>Q10</f>
        <v>0</v>
      </c>
      <c r="BG11" s="2178">
        <f>S10</f>
        <v>0</v>
      </c>
      <c r="BH11" s="2178">
        <f>U10</f>
        <v>0</v>
      </c>
      <c r="BI11" s="2178">
        <f>W10</f>
        <v>0</v>
      </c>
      <c r="BJ11" s="2178">
        <f>Y10</f>
        <v>0</v>
      </c>
      <c r="BK11" s="2178">
        <f>AA10</f>
        <v>0</v>
      </c>
      <c r="BL11" s="1292"/>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3.2">
      <c r="A12" s="2198"/>
      <c r="B12" s="2198"/>
      <c r="C12" s="2198"/>
      <c r="D12" s="2198"/>
      <c r="E12" s="2198"/>
      <c r="F12" s="2198"/>
      <c r="G12" s="30"/>
      <c r="H12" s="2199"/>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200"/>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3.2">
      <c r="A13" s="1272"/>
      <c r="B13" s="1272"/>
      <c r="C13" s="1272"/>
      <c r="D13" s="2204" t="s">
        <v>3060</v>
      </c>
      <c r="E13" s="16">
        <f>IF($C$3="是",ROUND($A$3*G13/$B$3,2),ROUND($A$3*(G13-AT13)/$B$3,2))</f>
        <v>10609</v>
      </c>
      <c r="F13" s="32"/>
      <c r="G13" s="33">
        <f>H13+AC13+AT13</f>
        <v>73514.720000000016</v>
      </c>
      <c r="H13" s="20">
        <f>SUMIF(I$12:AB$12,"总值",I13:AB13)</f>
        <v>73514.720000000016</v>
      </c>
      <c r="I13" s="2205">
        <f>面积明细!E109</f>
        <v>58289.510000000017</v>
      </c>
      <c r="J13" s="2205"/>
      <c r="K13" s="2205">
        <f>面积明细!E110</f>
        <v>15225.21</v>
      </c>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0</v>
      </c>
      <c r="AY13" s="1797">
        <f>ROUND($AY$6*AZ13/$AZ$5,2)</f>
        <v>10609</v>
      </c>
      <c r="AZ13" s="16">
        <f>BA13+BL13</f>
        <v>73514.720000000016</v>
      </c>
      <c r="BA13" s="16">
        <f>SUM(BB13:BK13)</f>
        <v>73514.720000000016</v>
      </c>
      <c r="BB13" s="16">
        <f>IF($D13="是",I13-J13,0)</f>
        <v>58289.510000000017</v>
      </c>
      <c r="BC13" s="16">
        <f>IF($D13="是",K13-L13,0)</f>
        <v>15225.21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3.2">
      <c r="A14" s="1272"/>
      <c r="B14" s="1272"/>
      <c r="C14" s="1272"/>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3.2">
      <c r="A15" s="1272"/>
      <c r="B15" s="1272"/>
      <c r="C15" s="1272"/>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3.2">
      <c r="A16" s="1272"/>
      <c r="B16" s="1272"/>
      <c r="C16" s="1272"/>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3.2">
      <c r="A17" s="1272"/>
      <c r="B17" s="1272"/>
      <c r="C17" s="1272"/>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7" t="s">
        <v>0</v>
      </c>
      <c r="B1" s="3087" t="s">
        <v>4</v>
      </c>
      <c r="C1" s="3087" t="s">
        <v>5</v>
      </c>
      <c r="D1" s="3088" t="s">
        <v>53</v>
      </c>
      <c r="E1" s="3088" t="s">
        <v>54</v>
      </c>
      <c r="F1" s="3088"/>
      <c r="G1" s="3088"/>
      <c r="H1" s="3088"/>
      <c r="I1" s="3088"/>
      <c r="J1" s="3088"/>
      <c r="K1" s="3088"/>
      <c r="L1" s="3088"/>
      <c r="M1" s="3088"/>
    </row>
    <row r="2" spans="1:13" ht="27" customHeight="1">
      <c r="A2" s="3087"/>
      <c r="B2" s="3087"/>
      <c r="C2" s="3087"/>
      <c r="D2" s="3088"/>
      <c r="E2" s="3088" t="s">
        <v>37</v>
      </c>
      <c r="F2" s="3088" t="s">
        <v>38</v>
      </c>
      <c r="G2" s="3088"/>
      <c r="H2" s="3088"/>
      <c r="I2" s="3088"/>
      <c r="J2" s="3088" t="s">
        <v>39</v>
      </c>
      <c r="K2" s="3088"/>
      <c r="L2" s="3088"/>
      <c r="M2" s="3088"/>
    </row>
    <row r="3" spans="1:13" ht="46.8">
      <c r="A3" s="3087"/>
      <c r="B3" s="3087"/>
      <c r="C3" s="3087"/>
      <c r="D3" s="3088"/>
      <c r="E3" s="308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8" t="s">
        <v>55</v>
      </c>
      <c r="B9" s="3088"/>
      <c r="C9" s="30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1875" defaultRowHeight="13.8"/>
  <cols>
    <col min="1" max="1" width="12.109375" style="2217" customWidth="1"/>
    <col min="2" max="2" width="10.21875" style="2217" customWidth="1"/>
    <col min="3" max="3" width="18.44140625" style="2217" customWidth="1"/>
    <col min="4" max="4" width="11.6640625" style="2217" customWidth="1"/>
    <col min="5" max="5" width="13.33203125" style="2217" customWidth="1"/>
    <col min="6" max="8" width="11.44140625" style="2217" customWidth="1"/>
    <col min="9" max="9" width="11.109375" style="2217" customWidth="1"/>
    <col min="10" max="10" width="3.109375" style="2217" customWidth="1"/>
    <col min="11" max="16" width="10" style="2217" customWidth="1"/>
    <col min="17" max="17" width="2.6640625" style="2217" customWidth="1"/>
    <col min="18" max="18" width="9.33203125" style="2217" bestFit="1" customWidth="1"/>
    <col min="19" max="19" width="10.44140625" style="2217" bestFit="1" customWidth="1"/>
    <col min="20" max="16384" width="9.21875" style="2217"/>
  </cols>
  <sheetData>
    <row r="1" spans="1:16" ht="17.399999999999999">
      <c r="A1" s="2216" t="s">
        <v>1932</v>
      </c>
      <c r="B1" s="1392"/>
      <c r="C1" s="1392"/>
      <c r="D1" s="1392"/>
      <c r="E1" s="1392"/>
      <c r="F1" s="1392"/>
      <c r="G1" s="1392"/>
      <c r="H1" s="1392"/>
      <c r="I1" s="1392"/>
      <c r="J1" s="1392"/>
      <c r="K1" s="1392"/>
      <c r="L1" s="1392"/>
      <c r="M1" s="1392"/>
      <c r="N1" s="1392"/>
      <c r="O1" s="1392"/>
      <c r="P1" s="1392"/>
    </row>
    <row r="2" spans="1:16" ht="14.4">
      <c r="A2" s="3098" t="s">
        <v>1933</v>
      </c>
      <c r="B2" s="3098"/>
      <c r="C2" s="3098"/>
      <c r="D2" s="967" t="s">
        <v>1909</v>
      </c>
      <c r="E2" s="2218" t="s">
        <v>1910</v>
      </c>
      <c r="F2" s="1392"/>
      <c r="G2" s="2219"/>
      <c r="H2" s="2220"/>
      <c r="I2" s="2221" t="s">
        <v>1934</v>
      </c>
      <c r="J2" s="1392"/>
      <c r="K2" s="1392"/>
      <c r="L2" s="1392"/>
      <c r="M2" s="1392"/>
      <c r="N2" s="1427"/>
      <c r="O2" s="1392"/>
      <c r="P2" s="1392"/>
    </row>
    <row r="3" spans="1:16" ht="15" thickBot="1">
      <c r="A3" s="3099" t="s">
        <v>1907</v>
      </c>
      <c r="B3" s="3099"/>
      <c r="C3" s="3099"/>
      <c r="D3" s="46">
        <f>'数据-基础表'!AY6</f>
        <v>10609</v>
      </c>
      <c r="E3" s="46">
        <f>'数据-基础表'!AZ5</f>
        <v>73514.720000000016</v>
      </c>
      <c r="F3" s="1392"/>
      <c r="G3" s="1399"/>
      <c r="H3" s="1247" t="s">
        <v>1908</v>
      </c>
      <c r="I3" s="55">
        <f>ROUND('数据-基础表'!B3/'数据-基础表'!A3,2)</f>
        <v>6.93</v>
      </c>
      <c r="J3" s="1392"/>
      <c r="K3" s="1392"/>
      <c r="L3" s="1392"/>
      <c r="M3" s="1392"/>
      <c r="N3" s="1427"/>
      <c r="O3" s="1392"/>
      <c r="P3" s="1392"/>
    </row>
    <row r="4" spans="1:16" ht="14.4">
      <c r="A4" s="3100"/>
      <c r="B4" s="3101"/>
      <c r="C4" s="3102"/>
      <c r="D4" s="2222" t="s">
        <v>1909</v>
      </c>
      <c r="E4" s="2223" t="s">
        <v>1910</v>
      </c>
      <c r="F4" s="1392"/>
      <c r="G4" s="2224" t="s">
        <v>1935</v>
      </c>
      <c r="H4" s="1247" t="s">
        <v>1915</v>
      </c>
      <c r="I4" s="55">
        <f>ROUND(SUMIF('数据-基础表'!I9:AS9,"地上",'数据-基础表'!I5:AS5)/'数据-基础表'!A3,2)</f>
        <v>5.49</v>
      </c>
      <c r="J4" s="1392"/>
      <c r="K4" s="1392"/>
      <c r="L4" s="1392"/>
      <c r="M4" s="1392"/>
      <c r="N4" s="1427"/>
      <c r="O4" s="1392"/>
      <c r="P4" s="1392"/>
    </row>
    <row r="5" spans="1:16" ht="14.4">
      <c r="A5" s="47" t="s">
        <v>1911</v>
      </c>
      <c r="B5" s="3103" t="s">
        <v>1912</v>
      </c>
      <c r="C5" s="3103"/>
      <c r="D5" s="48">
        <f>ROUND($D$3*E5/$E$3,2)</f>
        <v>0</v>
      </c>
      <c r="E5" s="49">
        <f>SUMIF('数据-基础表'!$11:$11,"住宅",'数据-基础表'!$5:$5)</f>
        <v>0</v>
      </c>
      <c r="F5" s="1392"/>
      <c r="G5" s="1399"/>
      <c r="H5" s="1247" t="s">
        <v>1908</v>
      </c>
      <c r="I5" s="55">
        <f>ROUND(E31/D31,2)</f>
        <v>6.93</v>
      </c>
      <c r="J5" s="1392"/>
      <c r="K5" s="1392"/>
      <c r="L5" s="1392"/>
      <c r="M5" s="1392"/>
      <c r="N5" s="1392"/>
      <c r="O5" s="1392"/>
      <c r="P5" s="1392"/>
    </row>
    <row r="6" spans="1:16" ht="15" thickBot="1">
      <c r="A6" s="2225"/>
      <c r="B6" s="3103" t="s">
        <v>1913</v>
      </c>
      <c r="C6" s="3103"/>
      <c r="D6" s="48">
        <f>ROUND($D$3*E6/$E$3,2)</f>
        <v>10609</v>
      </c>
      <c r="E6" s="49">
        <f>E3-E5</f>
        <v>73514.720000000016</v>
      </c>
      <c r="F6" s="1392"/>
      <c r="G6" s="2226" t="s">
        <v>1914</v>
      </c>
      <c r="H6" s="1399" t="s">
        <v>1915</v>
      </c>
      <c r="I6" s="939">
        <f>ROUND(F31/D31,2)</f>
        <v>5.49</v>
      </c>
      <c r="J6" s="1392"/>
      <c r="K6" s="1392"/>
      <c r="L6" s="1392"/>
      <c r="M6" s="1392"/>
      <c r="N6" s="1392"/>
      <c r="O6" s="1392"/>
      <c r="P6" s="1392"/>
    </row>
    <row r="7" spans="1:16" ht="14.4">
      <c r="A7" s="3095"/>
      <c r="B7" s="3096"/>
      <c r="C7" s="3097"/>
      <c r="D7" s="2222" t="s">
        <v>1909</v>
      </c>
      <c r="E7" s="2227" t="s">
        <v>1916</v>
      </c>
      <c r="F7" s="1392"/>
      <c r="G7" s="2219" t="s">
        <v>1917</v>
      </c>
      <c r="H7" s="64"/>
      <c r="I7" s="420"/>
      <c r="J7" s="1392"/>
      <c r="K7" s="1392"/>
      <c r="L7" s="1392"/>
      <c r="M7" s="1392"/>
      <c r="N7" s="1392"/>
      <c r="O7" s="1392"/>
      <c r="P7" s="1392"/>
    </row>
    <row r="8" spans="1:16" ht="14.4">
      <c r="A8" s="47" t="s">
        <v>1918</v>
      </c>
      <c r="B8" s="50" t="s">
        <v>1919</v>
      </c>
      <c r="C8" s="48" t="s">
        <v>1920</v>
      </c>
      <c r="D8" s="48">
        <f t="shared" ref="D8:D15" si="0">ROUND($D$3*E8/$E$3,2)</f>
        <v>8411.83</v>
      </c>
      <c r="E8" s="51">
        <f>SUMIF('数据-基础表'!BB10:BK10,"地上",'数据-基础表'!BB5:BK5)</f>
        <v>58289.510000000017</v>
      </c>
      <c r="F8" s="1392"/>
      <c r="G8" s="2228"/>
      <c r="H8" s="2228"/>
      <c r="I8" s="1392"/>
      <c r="J8" s="1392"/>
      <c r="K8" s="1392"/>
      <c r="L8" s="1392"/>
      <c r="M8" s="1392"/>
      <c r="N8" s="1392"/>
      <c r="O8" s="1392"/>
      <c r="P8" s="1392"/>
    </row>
    <row r="9" spans="1:16" ht="14.4">
      <c r="A9" s="2229"/>
      <c r="B9" s="2230"/>
      <c r="C9" s="48" t="s">
        <v>1921</v>
      </c>
      <c r="D9" s="48">
        <f t="shared" si="0"/>
        <v>0</v>
      </c>
      <c r="E9" s="52">
        <v>0</v>
      </c>
      <c r="F9" s="1392"/>
      <c r="G9" s="2228"/>
      <c r="H9" s="2228"/>
      <c r="I9" s="1392"/>
      <c r="J9" s="1392"/>
      <c r="K9" s="1392"/>
      <c r="L9" s="1392"/>
      <c r="M9" s="1392"/>
      <c r="N9" s="1392"/>
      <c r="O9" s="1392"/>
      <c r="P9" s="1392"/>
    </row>
    <row r="10" spans="1:16" ht="14.4">
      <c r="A10" s="2229"/>
      <c r="B10" s="2230"/>
      <c r="C10" s="48" t="s">
        <v>1930</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ht="14.4">
      <c r="A11" s="2229"/>
      <c r="B11" s="2230"/>
      <c r="C11" s="48" t="s">
        <v>1922</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ht="14.4">
      <c r="A12" s="2229"/>
      <c r="B12" s="2230"/>
      <c r="C12" s="48" t="s">
        <v>1923</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ht="14.4">
      <c r="A13" s="2229"/>
      <c r="B13" s="2230"/>
      <c r="C13" s="48" t="s">
        <v>1924</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ht="14.4">
      <c r="A14" s="2229"/>
      <c r="B14" s="2230"/>
      <c r="C14" s="48" t="s">
        <v>1936</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1931</v>
      </c>
      <c r="D15" s="48">
        <f t="shared" si="0"/>
        <v>2197.17</v>
      </c>
      <c r="E15" s="51">
        <f>SUMPRODUCT(('数据-基础表'!BB10:BK10="地下")*('数据-基础表'!BB11:BK11="车库—办公")*('数据-基础表'!BB5:BK5))</f>
        <v>15225.21</v>
      </c>
      <c r="F15" s="1392"/>
      <c r="G15" s="2228"/>
      <c r="H15" s="2228"/>
      <c r="I15" s="1392"/>
      <c r="J15" s="1392"/>
      <c r="K15" s="1392"/>
      <c r="L15" s="1392"/>
      <c r="M15" s="1392"/>
      <c r="N15" s="1392"/>
      <c r="O15" s="1392"/>
      <c r="P15" s="1392"/>
    </row>
    <row r="16" spans="1:16" ht="15" thickBot="1">
      <c r="A16" s="2225"/>
      <c r="B16" s="2230"/>
      <c r="C16" s="50" t="s">
        <v>1925</v>
      </c>
      <c r="D16" s="50">
        <f>SUM(D8:D15)</f>
        <v>10609</v>
      </c>
      <c r="E16" s="53">
        <f>SUM(E8:E15)</f>
        <v>73514.720000000016</v>
      </c>
      <c r="F16" s="1392"/>
      <c r="G16" s="2228"/>
      <c r="H16" s="2231" t="s">
        <v>1937</v>
      </c>
      <c r="I16" s="2232"/>
      <c r="J16" s="1392"/>
      <c r="K16" s="3092" t="s">
        <v>1937</v>
      </c>
      <c r="L16" s="3093"/>
      <c r="M16" s="3093"/>
      <c r="N16" s="3093"/>
      <c r="O16" s="3093"/>
      <c r="P16" s="3094"/>
    </row>
    <row r="17" spans="1:19" ht="14.4">
      <c r="A17" s="2233" t="s">
        <v>1938</v>
      </c>
      <c r="B17" s="2234" t="s">
        <v>1939</v>
      </c>
      <c r="C17" s="2235" t="s">
        <v>1940</v>
      </c>
      <c r="D17" s="2236" t="s">
        <v>1928</v>
      </c>
      <c r="E17" s="2237" t="s">
        <v>1929</v>
      </c>
      <c r="F17" s="2238"/>
      <c r="G17" s="2239"/>
      <c r="H17" s="2240" t="s">
        <v>1941</v>
      </c>
      <c r="I17" s="2241" t="s">
        <v>1926</v>
      </c>
      <c r="J17" s="1392"/>
      <c r="K17" s="3089" t="s">
        <v>1942</v>
      </c>
      <c r="L17" s="3090"/>
      <c r="M17" s="3091"/>
      <c r="N17" s="3089" t="s">
        <v>1943</v>
      </c>
      <c r="O17" s="3090"/>
      <c r="P17" s="3091"/>
      <c r="R17" s="2219" t="s">
        <v>1944</v>
      </c>
      <c r="S17" s="64"/>
    </row>
    <row r="18" spans="1:19" ht="14.4">
      <c r="A18" s="2229"/>
      <c r="B18" s="2242"/>
      <c r="C18" s="2243"/>
      <c r="D18" s="2244"/>
      <c r="E18" s="2245" t="s">
        <v>1945</v>
      </c>
      <c r="F18" s="2246" t="s">
        <v>1946</v>
      </c>
      <c r="G18" s="2247" t="s">
        <v>1947</v>
      </c>
      <c r="H18" s="1262" t="s">
        <v>1948</v>
      </c>
      <c r="I18" s="2248" t="s">
        <v>1949</v>
      </c>
      <c r="J18" s="1392"/>
      <c r="K18" s="1262" t="s">
        <v>1950</v>
      </c>
      <c r="L18" s="2249" t="s">
        <v>1951</v>
      </c>
      <c r="M18" s="1046" t="s">
        <v>1952</v>
      </c>
      <c r="N18" s="1262" t="s">
        <v>1950</v>
      </c>
      <c r="O18" s="2249" t="s">
        <v>1951</v>
      </c>
      <c r="P18" s="1046" t="s">
        <v>1952</v>
      </c>
      <c r="R18" s="1247" t="s">
        <v>1953</v>
      </c>
      <c r="S18" s="1247" t="s">
        <v>1954</v>
      </c>
    </row>
    <row r="19" spans="1:19" ht="14.4">
      <c r="A19" s="2250"/>
      <c r="B19" s="50" t="s">
        <v>1927</v>
      </c>
      <c r="C19" s="2959" t="s">
        <v>3646</v>
      </c>
      <c r="D19" s="48">
        <f>ROUND($D$3*E19/$E$3,2)</f>
        <v>8411.83</v>
      </c>
      <c r="E19" s="56">
        <f t="shared" ref="E19:E26" si="1">SUM(F19:G19)</f>
        <v>58289.510000000017</v>
      </c>
      <c r="F19" s="57">
        <f>'数据-基础表'!I13</f>
        <v>58289.510000000017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8411.83</v>
      </c>
      <c r="S19" s="1248">
        <f t="shared" si="5"/>
        <v>58289.510000000017</v>
      </c>
    </row>
    <row r="20" spans="1:19" ht="14.4">
      <c r="A20" s="2254"/>
      <c r="B20" s="50" t="s">
        <v>1955</v>
      </c>
      <c r="C20" s="2959" t="s">
        <v>3648</v>
      </c>
      <c r="D20" s="48">
        <f t="shared" ref="D20:D26" si="6">ROUND($D$3*E20/$E$3,2)</f>
        <v>2197.17</v>
      </c>
      <c r="E20" s="56">
        <f t="shared" si="1"/>
        <v>15225.21</v>
      </c>
      <c r="F20" s="57"/>
      <c r="G20" s="58">
        <f>'数据-基础表'!K13</f>
        <v>15225.21</v>
      </c>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2197.17</v>
      </c>
      <c r="S20" s="1248">
        <f t="shared" si="5"/>
        <v>15225.21</v>
      </c>
    </row>
    <row r="21" spans="1:19" ht="14.4">
      <c r="A21" s="2254"/>
      <c r="B21" s="50" t="s">
        <v>1955</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ht="14.4">
      <c r="A22" s="2254"/>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ht="14.4">
      <c r="A23" s="2254"/>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ht="14.4">
      <c r="A24" s="2254"/>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ht="14.4">
      <c r="A25" s="2254"/>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ht="14.4">
      <c r="A26" s="2254"/>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 thickBot="1">
      <c r="A27" s="2254"/>
      <c r="B27" s="48"/>
      <c r="C27" s="2257" t="s">
        <v>1956</v>
      </c>
      <c r="D27" s="1393">
        <f>SUM(D19:D26)</f>
        <v>10609</v>
      </c>
      <c r="E27" s="1394">
        <f>IF(SUM(E19:E26)='数据-基础表'!BA5,SUM(E19:E26),IF(F27="地上面积有误","面积有误","地下面积有误"))</f>
        <v>73514.720000000016</v>
      </c>
      <c r="F27" s="1393">
        <f>IF(SUM(F19:F26)=E8,SUM(F19:F26),"地上面积有误")</f>
        <v>58289.510000000017</v>
      </c>
      <c r="G27" s="1395">
        <f>SUM(G19:G26)</f>
        <v>15225.21</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10609</v>
      </c>
      <c r="S27" s="1247">
        <f>IF(SUM(S19:S26)=$E$3,SUM(S19:S26),SUM(S19:S26)&amp;"误差"&amp;ROUND(SUM(S19:S26)-E3,2))</f>
        <v>73514.720000000016</v>
      </c>
    </row>
    <row r="28" spans="1:19" ht="14.4">
      <c r="A28" s="2254"/>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54"/>
      <c r="B29" s="50" t="s">
        <v>1957</v>
      </c>
      <c r="C29" s="2258"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54"/>
      <c r="B30" s="50"/>
      <c r="C30" s="2259" t="s">
        <v>1956</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0"/>
      <c r="B31" s="2261"/>
      <c r="C31" s="1007" t="s">
        <v>1960</v>
      </c>
      <c r="D31" s="729">
        <f>D27+D30</f>
        <v>10609</v>
      </c>
      <c r="E31" s="729">
        <f>E27+E30</f>
        <v>73514.720000000016</v>
      </c>
      <c r="F31" s="730">
        <f>F27+F30</f>
        <v>58289.510000000017</v>
      </c>
      <c r="G31" s="731">
        <f>G27+G30</f>
        <v>15225.21</v>
      </c>
      <c r="H31" s="1392"/>
      <c r="I31" s="1392"/>
      <c r="J31" s="1392"/>
      <c r="K31" s="1392"/>
      <c r="L31" s="1392"/>
      <c r="M31" s="1392"/>
      <c r="N31" s="1392"/>
      <c r="O31" s="1392"/>
      <c r="P31" s="1392"/>
    </row>
    <row r="32" spans="1:19" ht="14.4">
      <c r="A32" s="2224"/>
      <c r="B32" s="2224" t="s">
        <v>1961</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V8" sqref="V8"/>
    </sheetView>
  </sheetViews>
  <sheetFormatPr defaultColWidth="13.77734375" defaultRowHeight="13.2"/>
  <cols>
    <col min="1" max="1" width="20.88671875" style="2336" customWidth="1"/>
    <col min="2" max="2" width="12" style="2266" customWidth="1"/>
    <col min="3" max="3" width="10.77734375" style="2266" customWidth="1"/>
    <col min="4" max="4" width="9.109375" style="2337" customWidth="1"/>
    <col min="5" max="5" width="15" style="2266" bestFit="1" customWidth="1"/>
    <col min="6" max="10" width="8.88671875" style="2266" customWidth="1"/>
    <col min="11" max="12" width="12.33203125" style="2180" customWidth="1"/>
    <col min="13" max="13" width="8.6640625" style="2266" customWidth="1"/>
    <col min="14" max="14" width="11.88671875" style="2266" customWidth="1"/>
    <col min="15" max="15" width="8.44140625" style="2266" customWidth="1"/>
    <col min="16" max="17" width="10.88671875" style="2266" customWidth="1"/>
    <col min="18" max="19" width="12.44140625" style="2266" customWidth="1"/>
    <col min="20" max="20" width="12.109375" style="2266" customWidth="1"/>
    <col min="21" max="21" width="7.44140625" style="2266" customWidth="1"/>
    <col min="22" max="22" width="6.33203125" style="2266" customWidth="1"/>
    <col min="23" max="30" width="6.77734375" style="2266" customWidth="1"/>
    <col min="31" max="31" width="8" style="2266" customWidth="1"/>
    <col min="32" max="34" width="7.21875" style="2266" customWidth="1"/>
    <col min="35" max="39" width="8" style="2266" customWidth="1"/>
    <col min="40" max="40" width="13.77734375" style="2265"/>
    <col min="41" max="41" width="11.6640625" style="2265" customWidth="1"/>
    <col min="42" max="42" width="9.77734375" style="2265" customWidth="1"/>
    <col min="43" max="67" width="13.77734375" style="2265"/>
    <col min="68" max="16384" width="13.77734375" style="2266"/>
  </cols>
  <sheetData>
    <row r="1" spans="1:67" ht="18" thickBot="1">
      <c r="A1" s="2263" t="s">
        <v>1962</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1" customFormat="1" ht="15" thickBot="1">
      <c r="A2" s="2267" t="s">
        <v>1963</v>
      </c>
      <c r="B2" s="1266">
        <f>项目基本情况!D3</f>
        <v>43980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4.4" thickBot="1">
      <c r="A3" s="2019"/>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1964</v>
      </c>
      <c r="B4" s="2272"/>
      <c r="C4" s="2273"/>
      <c r="D4" s="2274"/>
      <c r="E4" s="2273" t="s">
        <v>1965</v>
      </c>
      <c r="F4" s="2273"/>
      <c r="G4" s="2273"/>
      <c r="H4" s="2273"/>
      <c r="I4" s="2273"/>
      <c r="J4" s="2275"/>
      <c r="K4" s="2276"/>
      <c r="L4" s="2277"/>
      <c r="M4" s="2273"/>
      <c r="N4" s="2273" t="s">
        <v>1966</v>
      </c>
      <c r="O4" s="2273"/>
      <c r="P4" s="2273"/>
      <c r="Q4" s="2273"/>
      <c r="R4" s="2273"/>
      <c r="S4" s="2275"/>
      <c r="T4" s="2278" t="str">
        <f>'数据-汇总表'!I17</f>
        <v>按面积比例</v>
      </c>
      <c r="U4" s="2272" t="s">
        <v>1967</v>
      </c>
      <c r="V4" s="2273"/>
      <c r="W4" s="2273"/>
      <c r="X4" s="2273"/>
      <c r="Y4" s="2275"/>
      <c r="Z4" s="2235" t="s">
        <v>1968</v>
      </c>
      <c r="AA4" s="2235"/>
      <c r="AB4" s="2235"/>
      <c r="AC4" s="2235"/>
      <c r="AD4" s="2235"/>
      <c r="AE4" s="2233" t="s">
        <v>1969</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57.6">
      <c r="A5" s="2280" t="s">
        <v>1970</v>
      </c>
      <c r="B5" s="2281" t="s">
        <v>1971</v>
      </c>
      <c r="C5" s="2282" t="s">
        <v>1972</v>
      </c>
      <c r="D5" s="2283" t="s">
        <v>1973</v>
      </c>
      <c r="E5" s="1268" t="s">
        <v>1974</v>
      </c>
      <c r="F5" s="2284" t="s">
        <v>1975</v>
      </c>
      <c r="G5" s="1268" t="s">
        <v>1976</v>
      </c>
      <c r="H5" s="1268" t="s">
        <v>1977</v>
      </c>
      <c r="I5" s="1268" t="s">
        <v>1978</v>
      </c>
      <c r="J5" s="2285" t="s">
        <v>1979</v>
      </c>
      <c r="K5" s="2286" t="s">
        <v>1980</v>
      </c>
      <c r="L5" s="2287" t="s">
        <v>1981</v>
      </c>
      <c r="M5" s="2288" t="s">
        <v>1982</v>
      </c>
      <c r="N5" s="2289" t="s">
        <v>3111</v>
      </c>
      <c r="O5" s="2287" t="s">
        <v>1983</v>
      </c>
      <c r="P5" s="2290" t="s">
        <v>1984</v>
      </c>
      <c r="Q5" s="69" t="s">
        <v>1985</v>
      </c>
      <c r="R5" s="2291" t="s">
        <v>1986</v>
      </c>
      <c r="S5" s="2292" t="s">
        <v>1987</v>
      </c>
      <c r="T5" s="2293" t="s">
        <v>1988</v>
      </c>
      <c r="U5" s="1267" t="s">
        <v>1989</v>
      </c>
      <c r="V5" s="1268" t="s">
        <v>1990</v>
      </c>
      <c r="W5" s="1268" t="s">
        <v>1991</v>
      </c>
      <c r="X5" s="71"/>
      <c r="Y5" s="70" t="s">
        <v>1992</v>
      </c>
      <c r="Z5" s="2294" t="s">
        <v>1989</v>
      </c>
      <c r="AA5" s="1268" t="s">
        <v>1990</v>
      </c>
      <c r="AB5" s="1268" t="s">
        <v>1991</v>
      </c>
      <c r="AC5" s="71"/>
      <c r="AD5" s="71" t="s">
        <v>1992</v>
      </c>
      <c r="AE5" s="1267" t="s">
        <v>1993</v>
      </c>
      <c r="AF5" s="1268" t="s">
        <v>1994</v>
      </c>
      <c r="AG5" s="70" t="s">
        <v>1995</v>
      </c>
      <c r="AH5" s="1267" t="s">
        <v>1996</v>
      </c>
      <c r="AI5" s="2294" t="s">
        <v>1997</v>
      </c>
      <c r="AJ5" s="2294" t="s">
        <v>1998</v>
      </c>
      <c r="AK5" s="1268" t="s">
        <v>1999</v>
      </c>
      <c r="AL5" s="1268" t="s">
        <v>2000</v>
      </c>
      <c r="AM5" s="70" t="s">
        <v>2001</v>
      </c>
      <c r="AN5" s="2295" t="s">
        <v>2002</v>
      </c>
      <c r="AO5" s="2065" t="s">
        <v>2003</v>
      </c>
      <c r="AP5" s="1249" t="s">
        <v>2004</v>
      </c>
      <c r="AQ5" s="2296" t="s">
        <v>2005</v>
      </c>
      <c r="AR5" s="2296" t="s">
        <v>2006</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3.8">
      <c r="A6" s="2297" t="str">
        <f>'数据-汇总表'!C19</f>
        <v>办公</v>
      </c>
      <c r="B6" s="2298" t="str">
        <f>IF(A6=0,"","经营性")</f>
        <v>经营性</v>
      </c>
      <c r="C6" s="2299" t="s">
        <v>1372</v>
      </c>
      <c r="D6" s="1051">
        <f>SUMIF(项目基本情况!D$12:I$12,C6,项目基本情况!D$14:I$14)</f>
        <v>40</v>
      </c>
      <c r="E6" s="1048">
        <f>IF(B6="","",SUMIF(项目基本情况!D$12:I$12,C6,项目基本情况!D$13:I$13))</f>
        <v>55028</v>
      </c>
      <c r="F6" s="72">
        <f>SUMIF(项目基本情况!D$12:I$12,C6,项目基本情况!D$15:I$15)</f>
        <v>30.26</v>
      </c>
      <c r="G6" s="73">
        <f>IF(ISERROR(ROUND(POWER(1+H6,D6-F6)*(POWER(1+H6,F6)-1)/(POWER(1+H6,D6)-1),3)),0,ROUND(POWER(1+H6,D6-F6)*(POWER(1+H6,F6)-1)/(POWER(1+H6,D6)-1),3))</f>
        <v>0.89900000000000002</v>
      </c>
      <c r="H6" s="802">
        <v>0.05</v>
      </c>
      <c r="I6" s="802">
        <v>5.5E-2</v>
      </c>
      <c r="J6" s="74">
        <v>0.08</v>
      </c>
      <c r="K6" s="1251">
        <f>SUMIF('数据-汇总表'!C$19:C$33,A6,'数据-汇总表'!E$19:E$33)</f>
        <v>58289.510000000017</v>
      </c>
      <c r="L6" s="803">
        <v>3500</v>
      </c>
      <c r="M6" s="75">
        <f t="shared" ref="M6:M14" si="0">ROUND(K6*L6/10000,0)</f>
        <v>20401</v>
      </c>
      <c r="N6" s="801">
        <f>ROUND((1-(2020-2011)/60)*50%+N17*50%,2)</f>
        <v>0.9</v>
      </c>
      <c r="O6" s="75" t="str">
        <f>IF($N$5="成新度","——",ROUND(M6*N6,0))</f>
        <v>——</v>
      </c>
      <c r="P6" s="76" t="str">
        <f>IF($N$5="成新度","——",M6-O6)</f>
        <v>——</v>
      </c>
      <c r="Q6" s="804">
        <v>0.15</v>
      </c>
      <c r="R6" s="77">
        <f ca="1">SUMIF('数据-汇总表'!C$19:C$33,A6,'数据-汇总表'!R$19:R$27)</f>
        <v>8411.83</v>
      </c>
      <c r="S6" s="54">
        <f>IF('数据-汇总表'!$I$17="按面积比例",SUMIF('数据-汇总表'!C$19:C$33,A6,'数据-汇总表'!K$19:K$33),SUMIF('数据-汇总表'!C$19:C$33,A6,'数据-汇总表'!N$19:N$33))</f>
        <v>0</v>
      </c>
      <c r="T6" s="1443">
        <f>ROUND($L$14*S6/10000,0)</f>
        <v>0</v>
      </c>
      <c r="U6" s="78">
        <v>1.2</v>
      </c>
      <c r="V6" s="79">
        <v>0.03</v>
      </c>
      <c r="W6" s="79">
        <v>0.1</v>
      </c>
      <c r="X6" s="1261"/>
      <c r="Y6" s="80">
        <f>N6</f>
        <v>0.9</v>
      </c>
      <c r="Z6" s="81"/>
      <c r="AA6" s="74"/>
      <c r="AB6" s="74"/>
      <c r="AC6" s="1261"/>
      <c r="AD6" s="82"/>
      <c r="AE6" s="1262">
        <f ca="1">IF(AN6="",0,SUMIF(INDIRECT("'"&amp;AN6&amp;"'"&amp;"!E:E"),$AE$5,INDIRECT("'"&amp;AN6&amp;"'"&amp;"!F:F")))</f>
        <v>30.26</v>
      </c>
      <c r="AF6" s="1795"/>
      <c r="AG6" s="147">
        <f>IF(AF6="",0,AE6-AF6)</f>
        <v>0</v>
      </c>
      <c r="AH6" s="83"/>
      <c r="AI6" s="85">
        <v>365</v>
      </c>
      <c r="AJ6" s="86"/>
      <c r="AK6" s="87">
        <v>1.4999999999999999E-2</v>
      </c>
      <c r="AL6" s="88">
        <v>1.5E-3</v>
      </c>
      <c r="AM6" s="89">
        <v>0.01</v>
      </c>
      <c r="AN6" s="2300" t="s">
        <v>3656</v>
      </c>
      <c r="AO6" s="55">
        <f ca="1">SUMIF(INDIRECT("'"&amp;AN6&amp;"'"&amp;"!A:A"),"总价",INDIRECT("'"&amp;AN6&amp;"'"&amp;"!B:B"))</f>
        <v>29703</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3.8">
      <c r="A7" s="2297" t="str">
        <f>'数据-汇总表'!C20</f>
        <v>车库</v>
      </c>
      <c r="B7" s="2298" t="str">
        <f t="shared" ref="B7:B13" si="1">IF(A7=0,"","经营性")</f>
        <v>经营性</v>
      </c>
      <c r="C7" s="2299" t="s">
        <v>3647</v>
      </c>
      <c r="D7" s="1051">
        <f>SUMIF(项目基本情况!D$12:I$12,C7,项目基本情况!D$14:I$14)</f>
        <v>40</v>
      </c>
      <c r="E7" s="1048">
        <f>IF(B7="","",SUMIF(项目基本情况!D$12:I$12,C7,项目基本情况!D$13:I$13))</f>
        <v>55028</v>
      </c>
      <c r="F7" s="72">
        <f>SUMIF(项目基本情况!D$12:I$12,C7,项目基本情况!D$15:I$15)</f>
        <v>30.26</v>
      </c>
      <c r="G7" s="73">
        <f t="shared" ref="G7:G11" si="2">IF(ISERROR(ROUND(POWER(1+H7,D7-F7)*(POWER(1+H7,F7)-1)/(POWER(1+H7,D7)-1),3)),0,ROUND(POWER(1+H7,D7-F7)*(POWER(1+H7,F7)-1)/(POWER(1+H7,D7)-1),3))</f>
        <v>0.878</v>
      </c>
      <c r="H7" s="802">
        <v>0.04</v>
      </c>
      <c r="I7" s="802">
        <v>4.4999999999999998E-2</v>
      </c>
      <c r="J7" s="74">
        <v>0.08</v>
      </c>
      <c r="K7" s="1251">
        <f>SUMIF('数据-汇总表'!C$19:C$33,A7,'数据-汇总表'!E$19:E$33)</f>
        <v>15225.21</v>
      </c>
      <c r="L7" s="803">
        <v>2500</v>
      </c>
      <c r="M7" s="75">
        <f t="shared" si="0"/>
        <v>3806</v>
      </c>
      <c r="N7" s="801">
        <f>N6</f>
        <v>0.9</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3">
        <f t="shared" ref="T7:T13" si="5">ROUND($L$14*S7/10000,0)</f>
        <v>0</v>
      </c>
      <c r="U7" s="78">
        <v>0.6</v>
      </c>
      <c r="V7" s="79">
        <v>1.4999999999999999E-2</v>
      </c>
      <c r="W7" s="79">
        <v>0.05</v>
      </c>
      <c r="X7" s="1261"/>
      <c r="Y7" s="80">
        <f>Y6</f>
        <v>0.9</v>
      </c>
      <c r="Z7" s="81"/>
      <c r="AA7" s="74"/>
      <c r="AB7" s="74"/>
      <c r="AC7" s="1261"/>
      <c r="AD7" s="82"/>
      <c r="AE7" s="1262">
        <f t="shared" ref="AE7:AE13" ca="1" si="6">IF(AN7="",0,SUMIF(INDIRECT("'"&amp;AN7&amp;"'"&amp;"!E:E"),$AE$5,INDIRECT("'"&amp;AN7&amp;"'"&amp;"!F:F")))</f>
        <v>30.26</v>
      </c>
      <c r="AF7" s="1795"/>
      <c r="AG7" s="147">
        <f t="shared" ref="AG7:AG13" si="7">IF(AF7="",0,AE7-AF7)</f>
        <v>0</v>
      </c>
      <c r="AH7" s="83"/>
      <c r="AI7" s="85">
        <v>365</v>
      </c>
      <c r="AJ7" s="86"/>
      <c r="AK7" s="87">
        <f>AK6</f>
        <v>1.4999999999999999E-2</v>
      </c>
      <c r="AL7" s="88">
        <f>AL6</f>
        <v>1.5E-3</v>
      </c>
      <c r="AM7" s="89">
        <f>AM6</f>
        <v>0.01</v>
      </c>
      <c r="AN7" s="2300" t="s">
        <v>3658</v>
      </c>
      <c r="AO7" s="55">
        <f t="shared" ref="AO7:AO13" ca="1" si="8">SUMIF(INDIRECT("'"&amp;AN7&amp;"'"&amp;"!A:A"),"总价",INDIRECT("'"&amp;AN7&amp;"'"&amp;"!B:B"))</f>
        <v>3589</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3.8">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5"/>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3.8">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5"/>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3.8">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5"/>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3.8">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5"/>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3.8">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5"/>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3.8">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5"/>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4">
      <c r="A14" s="2302" t="s">
        <v>2007</v>
      </c>
      <c r="B14" s="2298" t="s">
        <v>2008</v>
      </c>
      <c r="C14" s="2303"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6"/>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8.8">
      <c r="A15" s="2302" t="s">
        <v>2009</v>
      </c>
      <c r="B15" s="2298" t="s">
        <v>2008</v>
      </c>
      <c r="C15" s="2303"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6"/>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 thickBot="1">
      <c r="A16" s="2304" t="s">
        <v>2011</v>
      </c>
      <c r="B16" s="97"/>
      <c r="C16" s="1005"/>
      <c r="D16" s="2305"/>
      <c r="E16" s="97"/>
      <c r="F16" s="97"/>
      <c r="G16" s="98">
        <f>ROUND(SUMPRODUCT(G6:G13,K6:K13)/SUMPRODUCT((G6:G13&gt;0)*(K6:K13)),3)</f>
        <v>0.89500000000000002</v>
      </c>
      <c r="H16" s="99">
        <f>ROUND(SUMPRODUCT(H6:H13,K6:K13)/SUMPRODUCT((H6:H13&gt;0)*(K6:K13)),3)</f>
        <v>4.8000000000000001E-2</v>
      </c>
      <c r="I16" s="100"/>
      <c r="J16" s="100"/>
      <c r="K16" s="101">
        <f>SUM(K6:K15)</f>
        <v>73514.720000000016</v>
      </c>
      <c r="L16" s="102">
        <f>ROUND(M16*10000/SUM(K6:K14),0)</f>
        <v>3293</v>
      </c>
      <c r="M16" s="102">
        <f>SUM(M6:M14)</f>
        <v>24207</v>
      </c>
      <c r="N16" s="103">
        <f>ROUND(SUMPRODUCT(M6:M14,N6:N14)/M16,3)</f>
        <v>0.9</v>
      </c>
      <c r="O16" s="102">
        <f>SUM(O6:O14)</f>
        <v>0</v>
      </c>
      <c r="P16" s="102">
        <f>SUM(P6:P14)</f>
        <v>0</v>
      </c>
      <c r="Q16" s="104">
        <f>ROUND(SUMPRODUCT(Q6:Q13,K6:K13)/SUMPRODUCT((Q6:Q13&gt;0)*(K6:K13)),2)</f>
        <v>0.13</v>
      </c>
      <c r="R16" s="1255">
        <f ca="1">SUM(R6:R13)</f>
        <v>10609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8" thickBot="1">
      <c r="A17" s="2306"/>
      <c r="B17" s="732"/>
      <c r="C17" s="1581"/>
      <c r="D17" s="2264"/>
      <c r="E17" s="2264"/>
      <c r="F17" s="1581"/>
      <c r="G17" s="1581"/>
      <c r="H17" s="1581"/>
      <c r="I17" s="1581"/>
      <c r="J17" s="1581"/>
      <c r="K17" s="168"/>
      <c r="L17" s="168"/>
      <c r="M17" s="1581"/>
      <c r="N17" s="2960">
        <v>0.95</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1"/>
      <c r="C18" s="2268"/>
      <c r="D18" s="2269"/>
      <c r="E18" s="2268"/>
      <c r="F18" s="2268"/>
      <c r="G18" s="2268"/>
      <c r="H18" s="2268"/>
      <c r="I18" s="2268"/>
      <c r="J18" s="226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07" t="s">
        <v>2013</v>
      </c>
      <c r="B19" s="112">
        <v>0</v>
      </c>
      <c r="C19" s="2268" t="s">
        <v>2014</v>
      </c>
      <c r="D19" s="2269"/>
      <c r="E19" s="2268"/>
      <c r="F19" s="2268"/>
      <c r="G19" s="2268"/>
      <c r="H19" s="2268"/>
      <c r="I19" s="2268"/>
      <c r="J19" s="226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08" t="s">
        <v>2015</v>
      </c>
      <c r="B20" s="113">
        <v>2</v>
      </c>
      <c r="C20" s="2268" t="s">
        <v>2016</v>
      </c>
      <c r="D20" s="2269"/>
      <c r="E20" s="2268"/>
      <c r="F20" s="2268"/>
      <c r="G20" s="2268"/>
      <c r="H20" s="2268"/>
      <c r="I20" s="2268"/>
      <c r="J20" s="226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09" t="s">
        <v>2017</v>
      </c>
      <c r="B21" s="113">
        <v>2</v>
      </c>
      <c r="C21" s="2268"/>
      <c r="D21" s="2269"/>
      <c r="E21" s="2268"/>
      <c r="F21" s="2268"/>
      <c r="G21" s="2268"/>
      <c r="H21" s="2268"/>
      <c r="I21" s="2268"/>
      <c r="J21" s="226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08" t="s">
        <v>2018</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09" t="s">
        <v>2019</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2020</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19"/>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2021</v>
      </c>
      <c r="B26" s="2311" t="s">
        <v>2022</v>
      </c>
      <c r="C26" s="2312" t="s">
        <v>2023</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8.8">
      <c r="A27" s="2313" t="s">
        <v>2024</v>
      </c>
      <c r="B27" s="116">
        <v>105</v>
      </c>
      <c r="C27" s="1756" t="s">
        <v>2025</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8.8">
      <c r="A28" s="2316" t="s">
        <v>2026</v>
      </c>
      <c r="B28" s="119">
        <v>105</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9.4" thickBot="1">
      <c r="A29" s="2318" t="s">
        <v>2027</v>
      </c>
      <c r="B29" s="121">
        <f ca="1">成本法!C10</f>
        <v>772</v>
      </c>
      <c r="C29" s="1756" t="s">
        <v>2028</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8.8">
      <c r="A30" s="2319" t="s">
        <v>2029</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8.8">
      <c r="A31" s="2316" t="s">
        <v>2030</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9.4" thickBot="1">
      <c r="A32" s="2320" t="s">
        <v>2031</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4">
      <c r="A33" s="2313" t="s">
        <v>2032</v>
      </c>
      <c r="B33" s="726">
        <v>0.03</v>
      </c>
      <c r="C33" s="1755" t="s">
        <v>2033</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4">
      <c r="A34" s="2316" t="s">
        <v>2034</v>
      </c>
      <c r="B34" s="122">
        <v>0.05</v>
      </c>
      <c r="C34" s="1755" t="s">
        <v>2035</v>
      </c>
      <c r="D34" s="2269" t="s">
        <v>2036</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4">
      <c r="A35" s="2316" t="s">
        <v>2037</v>
      </c>
      <c r="B35" s="119">
        <v>200</v>
      </c>
      <c r="C35" s="1755" t="s">
        <v>2038</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2039</v>
      </c>
      <c r="B36" s="123">
        <v>1.4999999999999999E-2</v>
      </c>
      <c r="C36" s="1755" t="s">
        <v>2040</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19" t="s">
        <v>2041</v>
      </c>
      <c r="B37" s="124">
        <v>0.02</v>
      </c>
      <c r="C37" s="1755" t="s">
        <v>2042</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16" t="s">
        <v>2043</v>
      </c>
      <c r="B38" s="122">
        <v>0.03</v>
      </c>
      <c r="C38" s="1755" t="s">
        <v>2042</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0" t="s">
        <v>2044</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2045</v>
      </c>
      <c r="B40" s="1300">
        <f ca="1">存贷款利率!G1</f>
        <v>4.7500000000000001E-2</v>
      </c>
      <c r="C40" s="1755" t="s">
        <v>2046</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13" t="s">
        <v>2047</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21" t="s">
        <v>2048</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21" t="s">
        <v>2049</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23" t="s">
        <v>2050</v>
      </c>
      <c r="B44" s="128">
        <v>7.0000000000000007E-2</v>
      </c>
      <c r="C44" s="1755" t="s">
        <v>2051</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23" t="s">
        <v>2052</v>
      </c>
      <c r="B45" s="126">
        <v>0.03</v>
      </c>
      <c r="C45" s="1756" t="s">
        <v>2053</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23" t="s">
        <v>2054</v>
      </c>
      <c r="B46" s="126">
        <v>0.02</v>
      </c>
      <c r="C46" s="1756" t="s">
        <v>2055</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2056</v>
      </c>
      <c r="B47" s="129"/>
      <c r="C47" s="1756" t="s">
        <v>2057</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25" t="s">
        <v>2058</v>
      </c>
      <c r="B48" s="130">
        <v>0.03</v>
      </c>
      <c r="C48" s="1762" t="s">
        <v>2059</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2060</v>
      </c>
      <c r="B49" s="126">
        <v>5.0000000000000001E-4</v>
      </c>
      <c r="C49" s="1762" t="s">
        <v>2061</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26" t="s">
        <v>2062</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2063</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26" t="s">
        <v>2064</v>
      </c>
      <c r="B52" s="133">
        <f>SUMIF(A54:A63,B53,B54:B63)</f>
        <v>4</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16" t="s">
        <v>2065</v>
      </c>
      <c r="B53" s="2327" t="s">
        <v>523</v>
      </c>
      <c r="C53" s="1427" t="s">
        <v>2066</v>
      </c>
      <c r="D53" s="2328" t="s">
        <v>2067</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29" t="s">
        <v>2068</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29" t="s">
        <v>2069</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29" t="s">
        <v>2070</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29" t="s">
        <v>2071</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29" t="s">
        <v>2072</v>
      </c>
      <c r="B58" s="84">
        <v>4</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29" t="s">
        <v>2073</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29" t="s">
        <v>2074</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29" t="s">
        <v>2075</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29" t="s">
        <v>2076</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2077</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9" customWidth="1"/>
    <col min="2" max="2" width="24.44140625" style="2407" customWidth="1"/>
    <col min="3" max="3" width="24.44140625" style="2406" customWidth="1"/>
    <col min="4" max="4" width="2.6640625" style="2406" customWidth="1"/>
    <col min="5" max="5" width="5.88671875" style="2406" customWidth="1"/>
    <col min="6" max="6" width="27" style="2407" customWidth="1"/>
    <col min="7" max="7" width="27" style="2408" customWidth="1"/>
    <col min="8" max="8" width="11.88671875" style="2386" customWidth="1"/>
    <col min="9" max="9" width="16.77734375" style="2387" customWidth="1"/>
    <col min="10" max="10" width="2.6640625" style="2386" customWidth="1"/>
    <col min="11" max="11" width="11.88671875" style="2386" customWidth="1"/>
    <col min="12" max="12" width="16.77734375" style="2387" customWidth="1"/>
    <col min="13" max="13" width="2.6640625" style="2386" customWidth="1"/>
    <col min="14" max="14" width="11.88671875" style="2386" customWidth="1"/>
    <col min="15" max="15" width="16.77734375" style="2387" customWidth="1"/>
    <col min="16" max="16" width="2.6640625" style="2386" customWidth="1"/>
    <col min="17" max="17" width="11.88671875" style="2386" customWidth="1"/>
    <col min="18" max="18" width="16.77734375" style="2388" customWidth="1"/>
    <col min="19" max="29" width="9" style="2358"/>
    <col min="30" max="16384" width="9" style="2359"/>
  </cols>
  <sheetData>
    <row r="1" spans="1:29" s="2352" customFormat="1" ht="18" thickBot="1">
      <c r="A1" s="3104" t="s">
        <v>2078</v>
      </c>
      <c r="B1" s="3105"/>
      <c r="C1" s="3105"/>
      <c r="D1" s="3105"/>
      <c r="E1" s="3105"/>
      <c r="F1" s="3105"/>
      <c r="G1" s="3105"/>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2079</v>
      </c>
      <c r="D2" s="2356"/>
      <c r="E2" s="2357"/>
      <c r="F2" s="2277"/>
      <c r="G2" s="2355" t="s">
        <v>2080</v>
      </c>
      <c r="H2" s="2358"/>
      <c r="I2" s="2358"/>
      <c r="J2" s="2358"/>
      <c r="K2" s="2358"/>
      <c r="L2" s="2358"/>
      <c r="M2" s="2358"/>
      <c r="N2" s="2358"/>
      <c r="O2" s="2358"/>
      <c r="P2" s="2358"/>
      <c r="Q2" s="2358"/>
      <c r="R2" s="2358"/>
    </row>
    <row r="3" spans="1:29" ht="57.6">
      <c r="A3" s="415" t="s">
        <v>2081</v>
      </c>
      <c r="B3" s="1268" t="s">
        <v>2082</v>
      </c>
      <c r="C3" s="2360" t="s">
        <v>2083</v>
      </c>
      <c r="D3" s="2361"/>
      <c r="E3" s="431" t="s">
        <v>2081</v>
      </c>
      <c r="F3" s="2362" t="s">
        <v>2084</v>
      </c>
      <c r="G3" s="2363" t="s">
        <v>2085</v>
      </c>
      <c r="H3" s="2358"/>
      <c r="I3" s="2358"/>
      <c r="J3" s="2358"/>
      <c r="K3" s="2358"/>
      <c r="L3" s="2358"/>
      <c r="M3" s="2358"/>
      <c r="N3" s="2358"/>
      <c r="O3" s="2358"/>
      <c r="P3" s="2358"/>
      <c r="Q3" s="2358"/>
      <c r="R3" s="2358"/>
    </row>
    <row r="4" spans="1:29" ht="43.2">
      <c r="A4" s="431"/>
      <c r="B4" s="1786" t="s">
        <v>2086</v>
      </c>
      <c r="C4" s="2364" t="s">
        <v>2087</v>
      </c>
      <c r="D4" s="2361"/>
      <c r="E4" s="2365"/>
      <c r="F4" s="42" t="s">
        <v>2088</v>
      </c>
      <c r="G4" s="2366" t="s">
        <v>2089</v>
      </c>
      <c r="H4" s="2358"/>
      <c r="I4" s="2358"/>
      <c r="J4" s="2358"/>
      <c r="K4" s="2358"/>
      <c r="L4" s="2358"/>
      <c r="M4" s="2358"/>
      <c r="N4" s="2358"/>
      <c r="O4" s="2358"/>
      <c r="P4" s="2358"/>
      <c r="Q4" s="2358"/>
      <c r="R4" s="2358"/>
    </row>
    <row r="5" spans="1:29" ht="43.2">
      <c r="A5" s="431"/>
      <c r="B5" s="1786" t="s">
        <v>2090</v>
      </c>
      <c r="C5" s="2364" t="s">
        <v>2091</v>
      </c>
      <c r="D5" s="2361"/>
      <c r="E5" s="2365"/>
      <c r="F5" s="1786" t="s">
        <v>2092</v>
      </c>
      <c r="G5" s="2366" t="s">
        <v>2093</v>
      </c>
      <c r="H5" s="2358"/>
      <c r="I5" s="2358"/>
      <c r="J5" s="2358"/>
      <c r="K5" s="2358"/>
      <c r="L5" s="2358"/>
      <c r="M5" s="2358"/>
      <c r="N5" s="2358"/>
      <c r="O5" s="2358"/>
      <c r="P5" s="2358"/>
      <c r="Q5" s="2358"/>
      <c r="R5" s="2358"/>
    </row>
    <row r="6" spans="1:29" ht="57.6">
      <c r="A6" s="431"/>
      <c r="B6" s="1786" t="s">
        <v>2094</v>
      </c>
      <c r="C6" s="2366" t="s">
        <v>2089</v>
      </c>
      <c r="D6" s="2361"/>
      <c r="E6" s="2365"/>
      <c r="F6" s="1786" t="s">
        <v>2095</v>
      </c>
      <c r="G6" s="2366" t="s">
        <v>2096</v>
      </c>
      <c r="H6" s="2358"/>
      <c r="I6" s="2358"/>
      <c r="J6" s="2358"/>
      <c r="K6" s="2358"/>
      <c r="L6" s="2358"/>
      <c r="M6" s="2358"/>
      <c r="N6" s="2358"/>
      <c r="O6" s="2358"/>
      <c r="P6" s="2358"/>
      <c r="Q6" s="2358"/>
      <c r="R6" s="2358"/>
    </row>
    <row r="7" spans="1:29" ht="43.8" thickBot="1">
      <c r="A7" s="431"/>
      <c r="B7" s="1786" t="s">
        <v>2092</v>
      </c>
      <c r="C7" s="2366" t="s">
        <v>2093</v>
      </c>
      <c r="D7" s="2367"/>
      <c r="E7" s="2368"/>
      <c r="F7" s="2369" t="s">
        <v>2097</v>
      </c>
      <c r="G7" s="2370" t="s">
        <v>2098</v>
      </c>
      <c r="H7" s="2358"/>
      <c r="I7" s="2358"/>
      <c r="J7" s="2358"/>
      <c r="K7" s="2358"/>
      <c r="L7" s="2358"/>
      <c r="M7" s="2358"/>
      <c r="N7" s="2358"/>
      <c r="O7" s="2358"/>
      <c r="P7" s="2358"/>
      <c r="Q7" s="2358"/>
      <c r="R7" s="2358"/>
    </row>
    <row r="8" spans="1:29" ht="28.8">
      <c r="A8" s="431"/>
      <c r="B8" s="1786" t="s">
        <v>2095</v>
      </c>
      <c r="C8" s="2366" t="s">
        <v>2096</v>
      </c>
      <c r="D8" s="2367"/>
      <c r="E8" s="2367"/>
      <c r="F8" s="1133"/>
      <c r="G8" s="1133"/>
      <c r="H8" s="2358"/>
      <c r="I8" s="2358"/>
      <c r="J8" s="2358"/>
      <c r="K8" s="2358"/>
      <c r="L8" s="2358"/>
      <c r="M8" s="2358"/>
      <c r="N8" s="2358"/>
      <c r="O8" s="2358"/>
      <c r="P8" s="2358"/>
      <c r="Q8" s="2358"/>
      <c r="R8" s="2358"/>
    </row>
    <row r="9" spans="1:29" ht="43.2">
      <c r="A9" s="431"/>
      <c r="B9" s="1786" t="s">
        <v>2099</v>
      </c>
      <c r="C9" s="2364" t="s">
        <v>2100</v>
      </c>
      <c r="D9" s="2361"/>
      <c r="E9" s="2367"/>
      <c r="F9" s="1133"/>
      <c r="G9" s="1133"/>
      <c r="H9" s="2358"/>
      <c r="I9" s="2358"/>
      <c r="J9" s="2358"/>
      <c r="K9" s="2358"/>
      <c r="L9" s="2358"/>
      <c r="M9" s="2358"/>
      <c r="N9" s="2358"/>
      <c r="O9" s="2358"/>
      <c r="P9" s="2358"/>
      <c r="Q9" s="2358"/>
      <c r="R9" s="2358"/>
    </row>
    <row r="10" spans="1:29" s="117" customFormat="1" ht="15" thickBot="1">
      <c r="A10" s="2371"/>
      <c r="B10" s="2372" t="s">
        <v>2101</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7.399999999999999">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8" thickBot="1">
      <c r="A13" s="2384" t="s">
        <v>2102</v>
      </c>
      <c r="B13" s="2378"/>
      <c r="C13" s="2378"/>
      <c r="D13" s="2385"/>
      <c r="E13" s="2378"/>
      <c r="F13" s="2378"/>
      <c r="G13" s="2378"/>
    </row>
    <row r="14" spans="1:29" ht="15" thickBot="1">
      <c r="A14" s="2389"/>
      <c r="B14" s="2390"/>
      <c r="C14" s="2391" t="s">
        <v>2103</v>
      </c>
      <c r="D14" s="2361"/>
      <c r="E14" s="2392"/>
      <c r="F14" s="2392"/>
      <c r="G14" s="2355" t="s">
        <v>2104</v>
      </c>
    </row>
    <row r="15" spans="1:29" ht="55.2">
      <c r="A15" s="68" t="s">
        <v>2105</v>
      </c>
      <c r="B15" s="1267" t="s">
        <v>2082</v>
      </c>
      <c r="C15" s="2393" t="str">
        <f>C3</f>
        <v>估价对象周边居住用地比例、居住小区规模和社区发展完善程度，综合评价居住社区成熟度一般</v>
      </c>
      <c r="D15" s="2361"/>
      <c r="E15" s="2394" t="s">
        <v>2106</v>
      </c>
      <c r="F15" s="1267" t="s">
        <v>2107</v>
      </c>
      <c r="G15" s="135" t="str">
        <f>G3</f>
        <v>估价对象位于XX开发区，园区建设成熟度XX，产业集聚程度XX</v>
      </c>
    </row>
    <row r="16" spans="1:29" ht="41.4">
      <c r="A16" s="645"/>
      <c r="B16" s="2395" t="s">
        <v>2086</v>
      </c>
      <c r="C16" s="2396" t="str">
        <f>C4</f>
        <v>估价对象位于XX商圈，周边商业氛围成熟，人流量大，商业繁华度好</v>
      </c>
      <c r="D16" s="2361"/>
      <c r="E16" s="2397"/>
      <c r="F16" s="2398" t="s">
        <v>2088</v>
      </c>
      <c r="G16" s="136" t="str">
        <f>G4</f>
        <v>估价对象周边道路状况、公共交通通达情况、停车便捷程度，综合评价交通便捷度较好</v>
      </c>
    </row>
    <row r="17" spans="1:18" ht="41.4">
      <c r="A17" s="645"/>
      <c r="B17" s="2395" t="s">
        <v>2090</v>
      </c>
      <c r="C17" s="2396" t="str">
        <f>C5</f>
        <v>估价对象位于XX商圈，周边办公楼项目较多，入驻率高，办公集聚程度较好</v>
      </c>
      <c r="D17" s="2367"/>
      <c r="E17" s="2397"/>
      <c r="F17" s="2398" t="s">
        <v>2108</v>
      </c>
      <c r="G17" s="1569"/>
    </row>
    <row r="18" spans="1:18" ht="55.2">
      <c r="A18" s="645"/>
      <c r="B18" s="2398" t="s">
        <v>2094</v>
      </c>
      <c r="C18" s="136" t="str">
        <f>C6</f>
        <v>估价对象周边道路状况、公共交通通达情况、停车便捷程度，综合评价交通便捷度较好</v>
      </c>
      <c r="D18" s="2367"/>
      <c r="E18" s="2397"/>
      <c r="F18" s="2398" t="s">
        <v>2097</v>
      </c>
      <c r="G18" s="136" t="str">
        <f>G7</f>
        <v>该园区内是否有污染型企业，绿化情况，卫生条件，整体环境状况判断</v>
      </c>
    </row>
    <row r="19" spans="1:18" ht="27.6">
      <c r="A19" s="645"/>
      <c r="B19" s="2398" t="s">
        <v>2109</v>
      </c>
      <c r="C19" s="1569"/>
      <c r="D19" s="2361"/>
      <c r="E19" s="2397"/>
      <c r="F19" s="1786" t="s">
        <v>2092</v>
      </c>
      <c r="G19" s="136" t="str">
        <f>G5</f>
        <v>估价对象所在区域公共配套设施齐备情况</v>
      </c>
    </row>
    <row r="20" spans="1:18" ht="41.4">
      <c r="A20" s="645"/>
      <c r="B20" s="2398" t="s">
        <v>2110</v>
      </c>
      <c r="C20" s="2396" t="str">
        <f>C9</f>
        <v>区域自然环境：；人文环境；综合评价环境状况一般</v>
      </c>
      <c r="D20" s="2367"/>
      <c r="E20" s="2397"/>
      <c r="F20" s="1786" t="s">
        <v>2111</v>
      </c>
      <c r="G20" s="136" t="str">
        <f>G6</f>
        <v>估价对象所在区域基础设施水平</v>
      </c>
    </row>
    <row r="21" spans="1:18" ht="27.6">
      <c r="A21" s="645"/>
      <c r="B21" s="1786" t="s">
        <v>2092</v>
      </c>
      <c r="C21" s="136" t="str">
        <f>C7</f>
        <v>估价对象所在区域公共配套设施齐备情况</v>
      </c>
      <c r="D21" s="2361"/>
      <c r="E21" s="2397"/>
      <c r="F21" s="2398" t="s">
        <v>2112</v>
      </c>
      <c r="G21" s="2399"/>
    </row>
    <row r="22" spans="1:18" ht="13.5" customHeight="1">
      <c r="A22" s="645"/>
      <c r="B22" s="1786" t="s">
        <v>2095</v>
      </c>
      <c r="C22" s="136" t="str">
        <f>C8</f>
        <v>估价对象所在区域基础设施水平</v>
      </c>
      <c r="D22" s="2361"/>
      <c r="E22" s="2397"/>
      <c r="F22" s="2398" t="s">
        <v>2101</v>
      </c>
      <c r="G22" s="1569"/>
    </row>
    <row r="23" spans="1:18" s="2358" customFormat="1" ht="15" thickBot="1">
      <c r="A23" s="645"/>
      <c r="B23" s="2398" t="s">
        <v>2112</v>
      </c>
      <c r="C23" s="2399"/>
      <c r="D23" s="2386"/>
      <c r="E23" s="2400"/>
      <c r="F23" s="2401" t="s">
        <v>2113</v>
      </c>
      <c r="G23" s="2402"/>
      <c r="H23" s="2386"/>
      <c r="I23" s="2387"/>
      <c r="J23" s="2386"/>
      <c r="K23" s="2386"/>
      <c r="L23" s="2387"/>
      <c r="M23" s="2386"/>
      <c r="N23" s="2386"/>
      <c r="O23" s="2387"/>
      <c r="P23" s="2386"/>
      <c r="Q23" s="2386"/>
      <c r="R23" s="2388"/>
    </row>
    <row r="24" spans="1:18" s="2358" customFormat="1" ht="15" thickBot="1">
      <c r="A24" s="2403"/>
      <c r="B24" s="2401" t="s">
        <v>2114</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
    </sheetView>
  </sheetViews>
  <sheetFormatPr defaultColWidth="9" defaultRowHeight="14.4"/>
  <cols>
    <col min="1" max="1" width="23.33203125" style="2951" customWidth="1"/>
    <col min="2" max="9" width="15.77734375" style="2951" customWidth="1"/>
    <col min="10" max="16384" width="9" style="2951"/>
  </cols>
  <sheetData>
    <row r="1" spans="1:10" ht="16.2">
      <c r="A1" s="2952" t="s">
        <v>1360</v>
      </c>
      <c r="B1" s="2952">
        <f>SUM(B14:B23)</f>
        <v>73514.720000000016</v>
      </c>
      <c r="C1" s="2949"/>
      <c r="D1" s="2949"/>
      <c r="E1" s="2949"/>
      <c r="F1" s="2949"/>
      <c r="G1" s="2950"/>
    </row>
    <row r="2" spans="1:10" ht="16.2">
      <c r="A2" s="2952" t="s">
        <v>1348</v>
      </c>
      <c r="B2" s="2952">
        <f>SUM(C14:C23)</f>
        <v>10609</v>
      </c>
      <c r="C2" s="2949"/>
      <c r="D2" s="2949"/>
      <c r="E2" s="2949"/>
      <c r="F2" s="2949"/>
      <c r="G2" s="2950"/>
    </row>
    <row r="3" spans="1:10" ht="15.6">
      <c r="A3" s="2952" t="s">
        <v>1357</v>
      </c>
      <c r="B3" s="2953">
        <f>项目基本情况!D3</f>
        <v>43980</v>
      </c>
      <c r="C3" s="2949"/>
      <c r="D3" s="2949"/>
      <c r="E3" s="2949"/>
      <c r="F3" s="2949"/>
      <c r="G3" s="2950"/>
    </row>
    <row r="4" spans="1:10" ht="31.2">
      <c r="A4" s="2952" t="s">
        <v>1356</v>
      </c>
      <c r="B4" s="2952" t="s">
        <v>1355</v>
      </c>
      <c r="C4" s="2952" t="s">
        <v>1354</v>
      </c>
      <c r="D4" s="2952" t="s">
        <v>1353</v>
      </c>
      <c r="E4" s="2949"/>
      <c r="F4" s="2950"/>
      <c r="G4" s="2950"/>
    </row>
    <row r="5" spans="1:10" ht="15.6">
      <c r="A5" s="2952" t="s">
        <v>1352</v>
      </c>
      <c r="B5" s="2952">
        <f ca="1">SUM(D14:D23)</f>
        <v>46521</v>
      </c>
      <c r="C5" s="2952">
        <f ca="1">ROUND(B5*10000/$B$1,0)</f>
        <v>6328</v>
      </c>
      <c r="D5" s="2952">
        <f ca="1">ROUND(B5*10000/$B$2,0)</f>
        <v>43851</v>
      </c>
      <c r="E5" s="2949"/>
      <c r="F5" s="2950"/>
      <c r="G5" s="2950"/>
    </row>
    <row r="6" spans="1:10" ht="15.6">
      <c r="A6" s="2952" t="s">
        <v>1351</v>
      </c>
      <c r="B6" s="2952">
        <f ca="1">SUM(G14:G23)</f>
        <v>46521</v>
      </c>
      <c r="C6" s="2952">
        <f ca="1">ROUND(B6*10000/$B$1,0)</f>
        <v>6328</v>
      </c>
      <c r="D6" s="2952">
        <f ca="1">ROUND(B6*10000/$B$2,0)</f>
        <v>43851</v>
      </c>
      <c r="E6" s="2949"/>
      <c r="F6" s="2950"/>
      <c r="G6" s="2950"/>
    </row>
    <row r="7" spans="1:10" ht="15.6">
      <c r="A7" s="2952" t="s">
        <v>1359</v>
      </c>
      <c r="B7" s="2952">
        <f>SUM(H14:H23)</f>
        <v>0</v>
      </c>
      <c r="C7" s="2952">
        <f>ROUND(B7*10000/$B$1,0)</f>
        <v>0</v>
      </c>
      <c r="D7" s="2952">
        <f>ROUND(B7*10000/$B$2,0)</f>
        <v>0</v>
      </c>
      <c r="E7" s="2949"/>
      <c r="F7" s="2950"/>
      <c r="G7" s="2950"/>
    </row>
    <row r="8" spans="1:10" ht="15.6">
      <c r="A8" s="2952" t="s">
        <v>1280</v>
      </c>
      <c r="B8" s="2952">
        <f>SUM(I14:I23)</f>
        <v>0</v>
      </c>
      <c r="C8" s="2952">
        <f>ROUND(B8*10000/$B$1,0)</f>
        <v>0</v>
      </c>
      <c r="D8" s="2952">
        <f>ROUND(B8*10000/$B$2,0)</f>
        <v>0</v>
      </c>
      <c r="E8" s="2949"/>
      <c r="F8" s="2950"/>
      <c r="G8" s="2950"/>
    </row>
    <row r="9" spans="1:10" ht="15.6">
      <c r="A9" s="2952" t="s">
        <v>1350</v>
      </c>
      <c r="B9" s="1738"/>
      <c r="C9" s="2949"/>
      <c r="D9" s="2949"/>
      <c r="E9" s="2949"/>
      <c r="F9" s="2950"/>
      <c r="G9" s="2950"/>
    </row>
    <row r="10" spans="1:10" ht="15.6">
      <c r="A10" s="2952" t="s">
        <v>1349</v>
      </c>
      <c r="B10" s="1738"/>
      <c r="C10" s="2949"/>
      <c r="D10" s="2949"/>
      <c r="E10" s="2949"/>
      <c r="F10" s="2950"/>
      <c r="G10" s="2950"/>
    </row>
    <row r="11" spans="1:10" ht="15.6">
      <c r="A11" s="2952" t="s">
        <v>1365</v>
      </c>
      <c r="B11" s="1738"/>
      <c r="C11" s="2949"/>
      <c r="D11" s="2949"/>
      <c r="E11" s="2949"/>
      <c r="F11" s="2950"/>
      <c r="G11" s="2950"/>
    </row>
    <row r="12" spans="1:10" ht="15.6">
      <c r="A12" s="2949"/>
      <c r="B12" s="2949"/>
      <c r="C12" s="2949"/>
      <c r="D12" s="2949"/>
      <c r="E12" s="2949"/>
      <c r="F12" s="2950"/>
      <c r="G12" s="2950"/>
    </row>
    <row r="13" spans="1:10" ht="31.8">
      <c r="A13" s="2954" t="s">
        <v>1364</v>
      </c>
      <c r="B13" s="2955" t="s">
        <v>1361</v>
      </c>
      <c r="C13" s="2955" t="s">
        <v>1363</v>
      </c>
      <c r="D13" s="2955" t="s">
        <v>1362</v>
      </c>
      <c r="E13" s="2952" t="s">
        <v>1354</v>
      </c>
      <c r="F13" s="2952" t="s">
        <v>1353</v>
      </c>
      <c r="G13" s="2955" t="s">
        <v>1347</v>
      </c>
      <c r="H13" s="2955" t="s">
        <v>1358</v>
      </c>
      <c r="I13" s="2955" t="s">
        <v>1346</v>
      </c>
      <c r="J13" s="2950"/>
    </row>
    <row r="14" spans="1:10" ht="15.6">
      <c r="A14" s="2956" t="s">
        <v>1345</v>
      </c>
      <c r="B14" s="2957">
        <f>'数据-汇总表'!E3</f>
        <v>73514.720000000016</v>
      </c>
      <c r="C14" s="2957">
        <f>'数据-汇总表'!D3</f>
        <v>10609</v>
      </c>
      <c r="D14" s="2957">
        <f ca="1">结果表!H118</f>
        <v>46521</v>
      </c>
      <c r="E14" s="2955">
        <f ca="1">ROUND(D14*10000/B14,0)</f>
        <v>6328</v>
      </c>
      <c r="F14" s="2955">
        <f ca="1">ROUND(D14*10000/C14,0)</f>
        <v>43851</v>
      </c>
      <c r="G14" s="2957">
        <f ca="1">结果表!D122</f>
        <v>46521</v>
      </c>
      <c r="H14" s="2957" t="str">
        <f>结果表!D124</f>
        <v>——</v>
      </c>
      <c r="I14" s="2957" t="str">
        <f>结果表!D126</f>
        <v>——</v>
      </c>
      <c r="J14" s="2950"/>
    </row>
    <row r="15" spans="1:10" ht="15.6">
      <c r="A15" s="2956" t="s">
        <v>1344</v>
      </c>
      <c r="B15" s="1739"/>
      <c r="C15" s="1739"/>
      <c r="D15" s="1739"/>
      <c r="E15" s="2955" t="e">
        <f t="shared" ref="E15:E23" si="0">ROUND(D15*10000/B15,0)</f>
        <v>#DIV/0!</v>
      </c>
      <c r="F15" s="2955" t="e">
        <f t="shared" ref="F15:F23" si="1">ROUND(D15*10000/C15,0)</f>
        <v>#DIV/0!</v>
      </c>
      <c r="G15" s="1740"/>
      <c r="H15" s="1740"/>
      <c r="I15" s="1739"/>
      <c r="J15" s="2950"/>
    </row>
    <row r="16" spans="1:10" ht="15.6">
      <c r="A16" s="2956" t="s">
        <v>1343</v>
      </c>
      <c r="B16" s="1739"/>
      <c r="C16" s="1739"/>
      <c r="D16" s="1739"/>
      <c r="E16" s="2955" t="e">
        <f t="shared" si="0"/>
        <v>#DIV/0!</v>
      </c>
      <c r="F16" s="2955" t="e">
        <f t="shared" si="1"/>
        <v>#DIV/0!</v>
      </c>
      <c r="G16" s="1740"/>
      <c r="H16" s="1740"/>
      <c r="I16" s="1739"/>
    </row>
    <row r="17" spans="1:9" ht="15.6">
      <c r="A17" s="2956" t="s">
        <v>1342</v>
      </c>
      <c r="B17" s="1739"/>
      <c r="C17" s="1739"/>
      <c r="D17" s="1739"/>
      <c r="E17" s="2955" t="e">
        <f t="shared" si="0"/>
        <v>#DIV/0!</v>
      </c>
      <c r="F17" s="2955" t="e">
        <f t="shared" si="1"/>
        <v>#DIV/0!</v>
      </c>
      <c r="G17" s="1740"/>
      <c r="H17" s="1740"/>
      <c r="I17" s="1739"/>
    </row>
    <row r="18" spans="1:9" ht="15.6">
      <c r="A18" s="2956" t="s">
        <v>1341</v>
      </c>
      <c r="B18" s="1739"/>
      <c r="C18" s="1739"/>
      <c r="D18" s="1739"/>
      <c r="E18" s="2955" t="e">
        <f t="shared" si="0"/>
        <v>#DIV/0!</v>
      </c>
      <c r="F18" s="2955" t="e">
        <f t="shared" si="1"/>
        <v>#DIV/0!</v>
      </c>
      <c r="G18" s="1739"/>
      <c r="H18" s="1739"/>
      <c r="I18" s="1739"/>
    </row>
    <row r="19" spans="1:9" ht="15.6">
      <c r="A19" s="2956" t="s">
        <v>1340</v>
      </c>
      <c r="B19" s="1739"/>
      <c r="C19" s="1739"/>
      <c r="D19" s="1739"/>
      <c r="E19" s="2955" t="e">
        <f t="shared" si="0"/>
        <v>#DIV/0!</v>
      </c>
      <c r="F19" s="2955" t="e">
        <f t="shared" si="1"/>
        <v>#DIV/0!</v>
      </c>
      <c r="G19" s="1739"/>
      <c r="H19" s="1739"/>
      <c r="I19" s="1739"/>
    </row>
    <row r="20" spans="1:9" ht="15.6">
      <c r="A20" s="2956" t="s">
        <v>1339</v>
      </c>
      <c r="B20" s="1739"/>
      <c r="C20" s="1739"/>
      <c r="D20" s="1739"/>
      <c r="E20" s="2955" t="e">
        <f t="shared" si="0"/>
        <v>#DIV/0!</v>
      </c>
      <c r="F20" s="2955" t="e">
        <f t="shared" si="1"/>
        <v>#DIV/0!</v>
      </c>
      <c r="G20" s="1739"/>
      <c r="H20" s="1739"/>
      <c r="I20" s="1739"/>
    </row>
    <row r="21" spans="1:9" ht="15.6">
      <c r="A21" s="2956" t="s">
        <v>1338</v>
      </c>
      <c r="B21" s="1739"/>
      <c r="C21" s="1739"/>
      <c r="D21" s="1739"/>
      <c r="E21" s="2955" t="e">
        <f t="shared" si="0"/>
        <v>#DIV/0!</v>
      </c>
      <c r="F21" s="2955" t="e">
        <f t="shared" si="1"/>
        <v>#DIV/0!</v>
      </c>
      <c r="G21" s="1739"/>
      <c r="H21" s="1739"/>
      <c r="I21" s="1739"/>
    </row>
    <row r="22" spans="1:9" ht="15.6">
      <c r="A22" s="2956" t="s">
        <v>1337</v>
      </c>
      <c r="B22" s="1739"/>
      <c r="C22" s="1739"/>
      <c r="D22" s="1739"/>
      <c r="E22" s="2955" t="e">
        <f t="shared" si="0"/>
        <v>#DIV/0!</v>
      </c>
      <c r="F22" s="2955" t="e">
        <f t="shared" si="1"/>
        <v>#DIV/0!</v>
      </c>
      <c r="G22" s="1739"/>
      <c r="H22" s="1739"/>
      <c r="I22" s="1739"/>
    </row>
    <row r="23" spans="1:9" ht="15.6">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11" sqref="K11"/>
    </sheetView>
  </sheetViews>
  <sheetFormatPr defaultColWidth="12.6640625" defaultRowHeight="21.75" customHeight="1"/>
  <cols>
    <col min="1" max="2" width="12.6640625" style="2415"/>
    <col min="3" max="4" width="12.6640625" style="2415" customWidth="1"/>
    <col min="5" max="9" width="12.6640625" style="2415"/>
    <col min="10" max="11" width="12.6640625" style="795" customWidth="1"/>
    <col min="12" max="12" width="12.6640625" style="795"/>
    <col min="13" max="13" width="14.109375" style="795" bestFit="1" customWidth="1"/>
    <col min="14" max="26" width="12.6640625" style="795"/>
    <col min="27" max="35" width="12.6640625" style="2414"/>
    <col min="36" max="16384" width="12.6640625" style="2415"/>
  </cols>
  <sheetData>
    <row r="1" spans="1:12" ht="21.75" customHeight="1" thickBot="1">
      <c r="A1" s="2216" t="s">
        <v>2115</v>
      </c>
      <c r="B1" s="2409"/>
      <c r="C1" s="2410" t="s">
        <v>1372</v>
      </c>
      <c r="D1" s="2409"/>
      <c r="E1" s="2409"/>
      <c r="F1" s="2411" t="s">
        <v>2116</v>
      </c>
      <c r="G1" s="2061" t="s">
        <v>3175</v>
      </c>
      <c r="H1" s="2412" t="str">
        <f>IF(G1="现房","——","估价对象范围")</f>
        <v>——</v>
      </c>
      <c r="I1" s="2413" t="s">
        <v>70</v>
      </c>
    </row>
    <row r="2" spans="1:12" ht="21.75" customHeight="1" thickBot="1">
      <c r="A2" s="3139" t="str">
        <f>项目基本情况!S2</f>
        <v>房地产</v>
      </c>
      <c r="B2" s="3140"/>
      <c r="C2" s="3140"/>
      <c r="D2" s="3140"/>
      <c r="E2" s="3140"/>
      <c r="F2" s="3140"/>
      <c r="G2" s="3140"/>
      <c r="H2" s="3140"/>
      <c r="I2" s="3141"/>
    </row>
    <row r="3" spans="1:12" ht="13.2">
      <c r="A3" s="3143" t="s">
        <v>2117</v>
      </c>
      <c r="B3" s="3144"/>
      <c r="C3" s="3144"/>
      <c r="D3" s="3144"/>
      <c r="E3" s="3144"/>
      <c r="F3" s="3144"/>
      <c r="G3" s="3144"/>
      <c r="H3" s="3144"/>
      <c r="I3" s="3144"/>
    </row>
    <row r="4" spans="1:12" ht="14.4">
      <c r="A4" s="2416" t="s">
        <v>2118</v>
      </c>
      <c r="B4" s="2417" t="s">
        <v>2119</v>
      </c>
      <c r="C4" s="2418" t="s">
        <v>3653</v>
      </c>
      <c r="D4" s="2418" t="s">
        <v>3654</v>
      </c>
      <c r="E4" s="3136" t="s">
        <v>2120</v>
      </c>
      <c r="F4" s="3137"/>
      <c r="G4" s="3137"/>
      <c r="H4" s="3137"/>
      <c r="I4" s="3145"/>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3.2">
      <c r="A5" s="3119" t="s">
        <v>2121</v>
      </c>
      <c r="B5" s="3057">
        <v>25</v>
      </c>
      <c r="C5" s="3122"/>
      <c r="D5" s="3142"/>
      <c r="E5" s="140" t="s">
        <v>2122</v>
      </c>
      <c r="F5" s="2420"/>
      <c r="G5" s="2420"/>
      <c r="H5" s="2420"/>
      <c r="I5" s="1822"/>
    </row>
    <row r="6" spans="1:12" ht="13.2">
      <c r="A6" s="3119"/>
      <c r="B6" s="3057"/>
      <c r="C6" s="3123"/>
      <c r="D6" s="3142"/>
      <c r="E6" s="140" t="s">
        <v>2123</v>
      </c>
      <c r="F6" s="2420"/>
      <c r="G6" s="2420"/>
      <c r="H6" s="2420"/>
      <c r="I6" s="1822"/>
    </row>
    <row r="7" spans="1:12" ht="13.2">
      <c r="A7" s="3119"/>
      <c r="B7" s="3057"/>
      <c r="C7" s="3124"/>
      <c r="D7" s="3142"/>
      <c r="E7" s="140" t="s">
        <v>2124</v>
      </c>
      <c r="F7" s="2420"/>
      <c r="G7" s="2420"/>
      <c r="H7" s="2420"/>
      <c r="I7" s="1822"/>
    </row>
    <row r="8" spans="1:12" ht="13.2">
      <c r="A8" s="3119" t="s">
        <v>2125</v>
      </c>
      <c r="B8" s="3057">
        <v>15</v>
      </c>
      <c r="C8" s="3122"/>
      <c r="D8" s="3142"/>
      <c r="E8" s="140" t="s">
        <v>2126</v>
      </c>
      <c r="F8" s="2420"/>
      <c r="G8" s="2420"/>
      <c r="H8" s="2420"/>
      <c r="I8" s="1822"/>
    </row>
    <row r="9" spans="1:12" ht="13.2">
      <c r="A9" s="3119"/>
      <c r="B9" s="3057"/>
      <c r="C9" s="3124"/>
      <c r="D9" s="3142"/>
      <c r="E9" s="140" t="s">
        <v>2127</v>
      </c>
      <c r="F9" s="2420"/>
      <c r="G9" s="2420"/>
      <c r="H9" s="2420"/>
      <c r="I9" s="1822"/>
    </row>
    <row r="10" spans="1:12" ht="13.2">
      <c r="A10" s="3119" t="s">
        <v>2128</v>
      </c>
      <c r="B10" s="3057">
        <v>15</v>
      </c>
      <c r="C10" s="3122"/>
      <c r="D10" s="3142"/>
      <c r="E10" s="140" t="s">
        <v>2129</v>
      </c>
      <c r="F10" s="2420"/>
      <c r="G10" s="2420"/>
      <c r="H10" s="2420"/>
      <c r="I10" s="1822"/>
    </row>
    <row r="11" spans="1:12" ht="13.2">
      <c r="A11" s="3119"/>
      <c r="B11" s="3057"/>
      <c r="C11" s="3124"/>
      <c r="D11" s="3142"/>
      <c r="E11" s="140" t="s">
        <v>2130</v>
      </c>
      <c r="F11" s="2420"/>
      <c r="G11" s="2420"/>
      <c r="H11" s="2420"/>
      <c r="I11" s="1822"/>
    </row>
    <row r="12" spans="1:12" ht="13.2">
      <c r="A12" s="3119" t="s">
        <v>2131</v>
      </c>
      <c r="B12" s="3057">
        <v>15</v>
      </c>
      <c r="C12" s="3122"/>
      <c r="D12" s="3142"/>
      <c r="E12" s="140" t="s">
        <v>2132</v>
      </c>
      <c r="F12" s="2420"/>
      <c r="G12" s="2420"/>
      <c r="H12" s="2420"/>
      <c r="I12" s="1822"/>
    </row>
    <row r="13" spans="1:12" ht="13.2">
      <c r="A13" s="3119"/>
      <c r="B13" s="3057"/>
      <c r="C13" s="3124"/>
      <c r="D13" s="3142"/>
      <c r="E13" s="140" t="s">
        <v>2133</v>
      </c>
      <c r="F13" s="2420"/>
      <c r="G13" s="2420"/>
      <c r="H13" s="2420"/>
      <c r="I13" s="1822"/>
    </row>
    <row r="14" spans="1:12" ht="13.2">
      <c r="A14" s="3119" t="s">
        <v>2134</v>
      </c>
      <c r="B14" s="3057">
        <v>30</v>
      </c>
      <c r="C14" s="3122">
        <v>6</v>
      </c>
      <c r="D14" s="3142">
        <v>4</v>
      </c>
      <c r="E14" s="140" t="s">
        <v>2135</v>
      </c>
      <c r="F14" s="2420"/>
      <c r="G14" s="2420"/>
      <c r="H14" s="2420"/>
      <c r="I14" s="1822"/>
    </row>
    <row r="15" spans="1:12" ht="13.2">
      <c r="A15" s="3119"/>
      <c r="B15" s="3057"/>
      <c r="C15" s="3123"/>
      <c r="D15" s="3142"/>
      <c r="E15" s="140" t="s">
        <v>2136</v>
      </c>
      <c r="F15" s="2420"/>
      <c r="G15" s="2420"/>
      <c r="H15" s="2420"/>
      <c r="I15" s="1822"/>
    </row>
    <row r="16" spans="1:12" ht="13.2">
      <c r="A16" s="3119"/>
      <c r="B16" s="3057"/>
      <c r="C16" s="3124"/>
      <c r="D16" s="3142"/>
      <c r="E16" s="140" t="s">
        <v>2137</v>
      </c>
      <c r="F16" s="2420"/>
      <c r="G16" s="2420"/>
      <c r="H16" s="2420"/>
      <c r="I16" s="1822"/>
    </row>
    <row r="17" spans="1:35" ht="14.4">
      <c r="A17" s="2421" t="s">
        <v>2138</v>
      </c>
      <c r="B17" s="64"/>
      <c r="C17" s="141">
        <f>SUM(C5:C16)</f>
        <v>6</v>
      </c>
      <c r="D17" s="141">
        <f>SUM(D5:D16)</f>
        <v>4</v>
      </c>
      <c r="E17" s="138"/>
      <c r="F17" s="138"/>
      <c r="G17" s="138"/>
      <c r="H17" s="138"/>
      <c r="I17" s="138"/>
      <c r="K17" s="2419"/>
      <c r="L17" s="2422" t="s">
        <v>2139</v>
      </c>
      <c r="M17" s="2422" t="s">
        <v>2140</v>
      </c>
    </row>
    <row r="18" spans="1:35" ht="15" thickBot="1">
      <c r="A18" s="2423" t="s">
        <v>2141</v>
      </c>
      <c r="B18" s="2424"/>
      <c r="C18" s="142">
        <f>ROUND(C17/SUM(C17:D17),2)</f>
        <v>0.6</v>
      </c>
      <c r="D18" s="142">
        <f>1-C18</f>
        <v>0.4</v>
      </c>
      <c r="E18" s="138"/>
      <c r="F18" s="138"/>
      <c r="G18" s="138"/>
      <c r="H18" s="138"/>
      <c r="I18" s="138"/>
      <c r="J18" s="3011" t="s">
        <v>3660</v>
      </c>
      <c r="K18" s="2419" t="s">
        <v>2142</v>
      </c>
      <c r="L18" s="2419">
        <f>IF(C1="",'数据-汇总表'!E3,SUMIF(项目类型,C1,'数据-汇总表'!E17:E26)+SUMIF(项目类型,C1,'数据-汇总表'!I17:I26))</f>
        <v>0</v>
      </c>
      <c r="M18" s="2419">
        <f>IF(C1="",'数据-汇总表'!E3,SUMIF(项目类型,C1,'数据-汇总表'!E17:E26))</f>
        <v>0</v>
      </c>
    </row>
    <row r="19" spans="1:35" ht="14.4">
      <c r="A19" s="2425" t="s">
        <v>2143</v>
      </c>
      <c r="B19" s="2426" t="s">
        <v>2144</v>
      </c>
      <c r="C19" s="143">
        <f ca="1">SUMIF(INDIRECT("'"&amp;C4&amp;"'"&amp;"!A:A"),结果表!B19,INDIRECT("'"&amp;C4&amp;"'"&amp;"!B:B"))</f>
        <v>55341</v>
      </c>
      <c r="D19" s="144">
        <f ca="1">SUMIF(INDIRECT("'"&amp;D4&amp;"'"&amp;"!A:A"),结果表!B19,INDIRECT("'"&amp;D4&amp;"'"&amp;"!B:B"))</f>
        <v>33292</v>
      </c>
      <c r="E19" s="2425" t="s">
        <v>2145</v>
      </c>
      <c r="F19" s="2426" t="s">
        <v>2144</v>
      </c>
      <c r="G19" s="145">
        <f ca="1">ROUND(C19*$C$18+D19*$D$18,0)</f>
        <v>46521</v>
      </c>
      <c r="H19" s="2427" t="s">
        <v>2146</v>
      </c>
      <c r="I19" s="138"/>
      <c r="J19" s="3012">
        <v>46431</v>
      </c>
      <c r="K19" s="2419" t="s">
        <v>2147</v>
      </c>
      <c r="L19" s="2419">
        <f>IF(C1="",'数据-汇总表'!D3,SUMIF(项目类型,C1,'数据-汇总表'!D17:D26)+SUMIF(项目类型,C1,'数据-汇总表'!H17:H27))</f>
        <v>0</v>
      </c>
      <c r="M19" s="2419">
        <f>IF(C1="",'数据-汇总表'!D3,SUMIF(项目类型,C1,'数据-汇总表'!D17:D26))</f>
        <v>0</v>
      </c>
    </row>
    <row r="20" spans="1:35" ht="14.4">
      <c r="A20" s="2428"/>
      <c r="B20" s="1247" t="s">
        <v>2148</v>
      </c>
      <c r="C20" s="146">
        <f ca="1">SUMIF(INDIRECT("'"&amp;C4&amp;"'"&amp;"!A:A"),结果表!B20,INDIRECT("'"&amp;C4&amp;"'"&amp;"!B:B"))</f>
        <v>7528</v>
      </c>
      <c r="D20" s="147">
        <f ca="1">SUMIF(INDIRECT("'"&amp;D4&amp;"'"&amp;"!A:A"),结果表!B20,INDIRECT("'"&amp;D4&amp;"'"&amp;"!B:B"))</f>
        <v>4529</v>
      </c>
      <c r="E20" s="2428"/>
      <c r="F20" s="1247" t="s">
        <v>2148</v>
      </c>
      <c r="G20" s="148">
        <f ca="1">ROUND(C20*$C$18+D20*$D$18,0)</f>
        <v>6328</v>
      </c>
      <c r="H20" s="980" t="s">
        <v>2149</v>
      </c>
      <c r="I20" s="138"/>
      <c r="J20" s="3011"/>
    </row>
    <row r="21" spans="1:35" ht="15" customHeight="1" thickBot="1">
      <c r="A21" s="1000"/>
      <c r="B21" s="2429" t="s">
        <v>2150</v>
      </c>
      <c r="C21" s="789" t="e">
        <f ca="1">ROUND(C19*10000/L19,0)</f>
        <v>#DIV/0!</v>
      </c>
      <c r="D21" s="790" t="e">
        <f ca="1">ROUND(D19*10000/L19,0)</f>
        <v>#DIV/0!</v>
      </c>
      <c r="E21" s="1000"/>
      <c r="F21" s="2429" t="s">
        <v>2150</v>
      </c>
      <c r="G21" s="149" t="e">
        <f ca="1">ROUND(G19*10000/L19,0)</f>
        <v>#DIV/0!</v>
      </c>
      <c r="H21" s="2430" t="s">
        <v>2149</v>
      </c>
      <c r="I21" s="138"/>
    </row>
    <row r="22" spans="1:35" ht="15" thickBot="1">
      <c r="A22" s="2272" t="s">
        <v>2151</v>
      </c>
      <c r="B22" s="2431"/>
      <c r="C22" s="2432"/>
      <c r="D22" s="791">
        <f ca="1">IF(C19&lt;D19,D19/C19-1,C19/D19-1)</f>
        <v>0.66229124113901228</v>
      </c>
      <c r="E22" s="138"/>
      <c r="F22" s="138"/>
      <c r="G22" s="138"/>
      <c r="H22" s="138"/>
      <c r="I22" s="138"/>
    </row>
    <row r="23" spans="1:35" ht="13.8" thickBot="1">
      <c r="A23" s="2409"/>
      <c r="B23" s="2409"/>
      <c r="C23" s="2409"/>
      <c r="D23" s="2409"/>
      <c r="E23" s="138"/>
      <c r="F23" s="138"/>
      <c r="G23" s="138"/>
      <c r="H23" s="138"/>
      <c r="I23" s="138"/>
    </row>
    <row r="24" spans="1:35" ht="14.4">
      <c r="A24" s="3113" t="s">
        <v>2152</v>
      </c>
      <c r="B24" s="2426" t="s">
        <v>2144</v>
      </c>
      <c r="C24" s="145">
        <f>IF(B30=0,0,D30)</f>
        <v>0</v>
      </c>
      <c r="D24" s="2433"/>
      <c r="E24" s="138"/>
      <c r="F24" s="138"/>
      <c r="G24" s="138"/>
      <c r="H24" s="138"/>
      <c r="I24" s="138"/>
    </row>
    <row r="25" spans="1:35" ht="14.4">
      <c r="A25" s="3114"/>
      <c r="B25" s="1247" t="s">
        <v>2148</v>
      </c>
      <c r="C25" s="150">
        <f>IF(B30=0,0,C30)</f>
        <v>0</v>
      </c>
      <c r="D25" s="2434"/>
      <c r="E25" s="138"/>
      <c r="F25" s="138"/>
      <c r="G25" s="138"/>
      <c r="H25" s="138"/>
      <c r="I25" s="138"/>
    </row>
    <row r="26" spans="1:35" ht="13.5" customHeight="1">
      <c r="A26" s="2435" t="s">
        <v>2153</v>
      </c>
      <c r="B26" s="151" t="s">
        <v>2154</v>
      </c>
      <c r="C26" s="151" t="s">
        <v>2155</v>
      </c>
      <c r="D26" s="152" t="s">
        <v>2156</v>
      </c>
      <c r="E26" s="138"/>
      <c r="F26" s="138"/>
      <c r="G26" s="138"/>
      <c r="H26" s="138"/>
      <c r="I26" s="138"/>
    </row>
    <row r="27" spans="1:35" ht="13.8">
      <c r="A27" s="2435"/>
      <c r="B27" s="151">
        <v>0</v>
      </c>
      <c r="C27" s="151">
        <v>0</v>
      </c>
      <c r="D27" s="152">
        <f>ROUND(C27*B27/10000,0)</f>
        <v>0</v>
      </c>
      <c r="E27" s="138"/>
      <c r="F27" s="138"/>
      <c r="G27" s="138"/>
      <c r="H27" s="138"/>
      <c r="I27" s="138"/>
    </row>
    <row r="28" spans="1:35" ht="13.8">
      <c r="A28" s="2435"/>
      <c r="B28" s="151"/>
      <c r="C28" s="151"/>
      <c r="D28" s="152"/>
      <c r="E28" s="138"/>
      <c r="F28" s="138"/>
      <c r="G28" s="138"/>
      <c r="H28" s="138"/>
      <c r="I28" s="138"/>
    </row>
    <row r="29" spans="1:35" ht="13.8">
      <c r="A29" s="2435"/>
      <c r="B29" s="151"/>
      <c r="C29" s="151"/>
      <c r="D29" s="152"/>
      <c r="E29" s="138"/>
      <c r="F29" s="138"/>
      <c r="G29" s="138"/>
      <c r="H29" s="138"/>
      <c r="I29" s="138"/>
    </row>
    <row r="30" spans="1:35" ht="14.4">
      <c r="A30" s="151" t="s">
        <v>2157</v>
      </c>
      <c r="B30" s="151"/>
      <c r="C30" s="151"/>
      <c r="D30" s="151"/>
      <c r="E30" s="2908" t="s">
        <v>3029</v>
      </c>
      <c r="F30" s="138"/>
      <c r="G30" s="138"/>
      <c r="H30" s="138"/>
      <c r="I30" s="138"/>
    </row>
    <row r="31" spans="1:35" s="2437" customFormat="1" ht="14.4"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 thickBot="1">
      <c r="A32" s="2438" t="s">
        <v>2158</v>
      </c>
      <c r="B32" s="2439"/>
      <c r="C32" s="153">
        <f ca="1">IF(D32="总价",G19-C24,G20-C25)</f>
        <v>46521</v>
      </c>
      <c r="D32" s="2440" t="s">
        <v>2159</v>
      </c>
      <c r="E32" s="138"/>
      <c r="F32" s="138"/>
      <c r="G32" s="138"/>
      <c r="H32" s="138"/>
      <c r="I32" s="138"/>
    </row>
    <row r="33" spans="1:15" ht="14.4">
      <c r="A33" s="957" t="s">
        <v>2160</v>
      </c>
      <c r="B33" s="2441"/>
      <c r="C33" s="2442"/>
      <c r="D33" s="2443"/>
      <c r="E33" s="2444" t="s">
        <v>2161</v>
      </c>
      <c r="F33" s="2445" t="str">
        <f>IF(D32="楼面单价","取值（单价）","取值（总价）")</f>
        <v>取值（总价）</v>
      </c>
      <c r="G33" s="138"/>
      <c r="H33" s="138"/>
      <c r="I33" s="138"/>
    </row>
    <row r="34" spans="1:15" ht="14.4">
      <c r="A34" s="2446"/>
      <c r="B34" s="2447"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2163</v>
      </c>
      <c r="F34" s="1736"/>
      <c r="G34" s="138"/>
      <c r="H34" s="138"/>
      <c r="I34" s="138"/>
    </row>
    <row r="35" spans="1:15" ht="15" thickBot="1">
      <c r="A35" s="2449"/>
      <c r="B35" s="2450"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2165</v>
      </c>
      <c r="F35" s="163"/>
      <c r="G35" s="138"/>
      <c r="H35" s="138"/>
      <c r="I35" s="138"/>
    </row>
    <row r="36" spans="1:15" ht="15" thickBot="1">
      <c r="A36" s="3131" t="s">
        <v>2166</v>
      </c>
      <c r="B36" s="2452" t="s">
        <v>2167</v>
      </c>
      <c r="C36" s="154"/>
      <c r="D36" s="2453"/>
      <c r="E36" s="2454"/>
      <c r="F36" s="2455"/>
      <c r="G36" s="138"/>
      <c r="H36" s="138"/>
      <c r="I36" s="138"/>
    </row>
    <row r="37" spans="1:15" ht="15" thickBot="1">
      <c r="A37" s="3132"/>
      <c r="B37" s="2258" t="s">
        <v>2168</v>
      </c>
      <c r="C37" s="156"/>
      <c r="D37" s="1392"/>
      <c r="E37" s="1392"/>
      <c r="F37" s="2455"/>
      <c r="G37" s="138"/>
      <c r="H37" s="138"/>
      <c r="I37" s="138"/>
    </row>
    <row r="38" spans="1:15" ht="15" thickBot="1">
      <c r="A38" s="3133"/>
      <c r="B38" s="2456" t="s">
        <v>2169</v>
      </c>
      <c r="C38" s="727"/>
      <c r="D38" s="2457" t="s">
        <v>2170</v>
      </c>
      <c r="E38" s="1392"/>
      <c r="F38" s="2455"/>
      <c r="G38" s="138"/>
      <c r="H38" s="138"/>
      <c r="I38" s="138"/>
    </row>
    <row r="39" spans="1:15" ht="14.4">
      <c r="A39" s="2428" t="s">
        <v>2171</v>
      </c>
      <c r="B39" s="2458" t="s">
        <v>2172</v>
      </c>
      <c r="C39" s="2459" t="s">
        <v>2173</v>
      </c>
      <c r="D39" s="2459" t="s">
        <v>2174</v>
      </c>
      <c r="E39" s="2460" t="s">
        <v>2175</v>
      </c>
      <c r="F39" s="2455"/>
      <c r="G39" s="138"/>
      <c r="H39" s="138"/>
      <c r="I39" s="138"/>
    </row>
    <row r="40" spans="1:15" ht="13.8">
      <c r="A40" s="2461" t="s">
        <v>2176</v>
      </c>
      <c r="B40" s="158"/>
      <c r="C40" s="159"/>
      <c r="D40" s="159"/>
      <c r="E40" s="160"/>
      <c r="F40" s="2455"/>
      <c r="G40" s="138"/>
      <c r="H40" s="138"/>
      <c r="I40" s="138"/>
    </row>
    <row r="41" spans="1:15" ht="13.8">
      <c r="A41" s="2461" t="s">
        <v>2177</v>
      </c>
      <c r="B41" s="158"/>
      <c r="C41" s="159"/>
      <c r="D41" s="159"/>
      <c r="E41" s="160"/>
      <c r="F41" s="2455"/>
      <c r="G41" s="138"/>
      <c r="H41" s="138"/>
      <c r="I41" s="138"/>
    </row>
    <row r="42" spans="1:15" ht="14.4" thickBot="1">
      <c r="A42" s="2462"/>
      <c r="B42" s="161"/>
      <c r="C42" s="162"/>
      <c r="D42" s="162"/>
      <c r="E42" s="163"/>
      <c r="F42" s="2455"/>
      <c r="G42" s="138"/>
      <c r="H42" s="138"/>
      <c r="I42" s="138"/>
    </row>
    <row r="43" spans="1:15" ht="13.2">
      <c r="A43" s="2156"/>
      <c r="B43" s="2156"/>
      <c r="C43" s="2156"/>
      <c r="D43" s="2156"/>
      <c r="E43" s="2156"/>
      <c r="F43" s="2463"/>
      <c r="G43" s="2463"/>
      <c r="H43" s="2463"/>
      <c r="I43" s="2464"/>
    </row>
    <row r="44" spans="1:15" ht="17.399999999999999">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110" t="s">
        <v>2180</v>
      </c>
      <c r="B45" s="3111"/>
      <c r="C45" s="3112"/>
      <c r="D45" s="164">
        <f ca="1">ROUND(H101*F45,0)</f>
        <v>46521</v>
      </c>
      <c r="E45" s="165" t="s">
        <v>2181</v>
      </c>
      <c r="F45" s="166">
        <v>1</v>
      </c>
      <c r="G45" s="167" t="s">
        <v>2182</v>
      </c>
      <c r="H45" s="138"/>
      <c r="I45" s="138"/>
      <c r="J45" s="3170" t="s">
        <v>2183</v>
      </c>
      <c r="K45" s="3170"/>
      <c r="L45" s="3170"/>
      <c r="M45" s="3170"/>
      <c r="N45" s="3170"/>
      <c r="O45" s="3170"/>
    </row>
    <row r="46" spans="1:15" ht="14.25" customHeight="1">
      <c r="A46" s="3107" t="s">
        <v>2184</v>
      </c>
      <c r="B46" s="3108"/>
      <c r="C46" s="3108"/>
      <c r="D46" s="3108"/>
      <c r="E46" s="3108"/>
      <c r="F46" s="3108"/>
      <c r="G46" s="3109"/>
      <c r="H46" s="2471"/>
      <c r="I46" s="168"/>
      <c r="J46" s="1800">
        <v>1</v>
      </c>
      <c r="K46" s="3170" t="s">
        <v>2185</v>
      </c>
      <c r="L46" s="3170"/>
      <c r="M46" s="3190"/>
      <c r="N46" s="3190"/>
      <c r="O46" s="3190"/>
    </row>
    <row r="47" spans="1:15" ht="12" customHeight="1">
      <c r="A47" s="169" t="s">
        <v>2186</v>
      </c>
      <c r="B47" s="170"/>
      <c r="C47" s="171"/>
      <c r="D47" s="172" t="s">
        <v>2187</v>
      </c>
      <c r="E47" s="24" t="s">
        <v>2188</v>
      </c>
      <c r="F47" s="173" t="s">
        <v>2189</v>
      </c>
      <c r="G47" s="174" t="s">
        <v>2190</v>
      </c>
      <c r="H47" s="2471"/>
      <c r="I47" s="168"/>
      <c r="J47" s="1800">
        <v>2</v>
      </c>
      <c r="K47" s="3170" t="s">
        <v>2191</v>
      </c>
      <c r="L47" s="3170"/>
      <c r="M47" s="3191">
        <f>'数据-取费表'!B2</f>
        <v>43980</v>
      </c>
      <c r="N47" s="3191"/>
      <c r="O47" s="3191"/>
    </row>
    <row r="48" spans="1:15" ht="26.4">
      <c r="A48" s="3138" t="s">
        <v>2192</v>
      </c>
      <c r="B48" s="3121"/>
      <c r="C48" s="3121"/>
      <c r="D48" s="140">
        <f>IF(H48="情况1",0,IF(H48="情况2",D52,IF(H48="情况3",D53,IF(H48="情况4",D54))))</f>
        <v>0</v>
      </c>
      <c r="E48" s="1789" t="str">
        <f>IF(H48="情况4","(销售额-原购置价)×税（费）率","销售额×税（费）率")</f>
        <v>销售额×税（费）率</v>
      </c>
      <c r="F48" s="175" t="str">
        <f>IF(H48="情况1","免征",'数据-取费表'!B41)</f>
        <v>免征</v>
      </c>
      <c r="G48" s="2472" t="s">
        <v>2193</v>
      </c>
      <c r="H48" s="2473" t="s">
        <v>2194</v>
      </c>
      <c r="I48" s="2471"/>
      <c r="J48" s="1800">
        <v>3</v>
      </c>
      <c r="K48" s="3170" t="s">
        <v>2195</v>
      </c>
      <c r="L48" s="3170"/>
      <c r="M48" s="3192">
        <f ca="1">H101</f>
        <v>46521</v>
      </c>
      <c r="N48" s="3192"/>
      <c r="O48" s="3192"/>
    </row>
    <row r="49" spans="1:35" ht="25.5" customHeight="1">
      <c r="A49" s="176" t="s">
        <v>2196</v>
      </c>
      <c r="B49" s="3106" t="s">
        <v>2197</v>
      </c>
      <c r="C49" s="3106"/>
      <c r="D49" s="177">
        <v>0</v>
      </c>
      <c r="E49" s="23" t="s">
        <v>2198</v>
      </c>
      <c r="F49" s="28" t="s">
        <v>34</v>
      </c>
      <c r="G49" s="3176"/>
      <c r="H49" s="138"/>
      <c r="I49" s="2474"/>
      <c r="J49" s="1800">
        <v>4</v>
      </c>
      <c r="K49" s="3170" t="str">
        <f>IF(项目基本情况!E8="房地产抵押价值","房地产抵押价值","抵押担保权已注销时的房地产抵押价值")</f>
        <v>房地产抵押价值</v>
      </c>
      <c r="L49" s="3170"/>
      <c r="M49" s="3192">
        <f ca="1">IF(项目基本情况!E8="房地产抵押价值",H107,H109)</f>
        <v>46521</v>
      </c>
      <c r="N49" s="3192"/>
      <c r="O49" s="3192"/>
    </row>
    <row r="50" spans="1:35" ht="25.5" customHeight="1">
      <c r="A50" s="178"/>
      <c r="B50" s="3106" t="s">
        <v>2199</v>
      </c>
      <c r="C50" s="3106"/>
      <c r="D50" s="179"/>
      <c r="E50" s="31"/>
      <c r="F50" s="180"/>
      <c r="G50" s="3177"/>
      <c r="H50" s="138"/>
      <c r="I50" s="2474"/>
      <c r="J50" s="3170" t="s">
        <v>2200</v>
      </c>
      <c r="K50" s="3170"/>
      <c r="L50" s="3170"/>
      <c r="M50" s="3170"/>
      <c r="N50" s="3170"/>
      <c r="O50" s="3170"/>
    </row>
    <row r="51" spans="1:35" ht="12" customHeight="1">
      <c r="A51" s="181"/>
      <c r="B51" s="3106" t="s">
        <v>2201</v>
      </c>
      <c r="C51" s="3106"/>
      <c r="D51" s="182"/>
      <c r="E51" s="30"/>
      <c r="F51" s="180"/>
      <c r="G51" s="3178"/>
      <c r="H51" s="138"/>
      <c r="I51" s="2474"/>
      <c r="J51" s="2475" t="s">
        <v>2202</v>
      </c>
      <c r="K51" s="3170" t="s">
        <v>2203</v>
      </c>
      <c r="L51" s="3170"/>
      <c r="M51" s="2475" t="s">
        <v>2204</v>
      </c>
      <c r="N51" s="2475" t="s">
        <v>2205</v>
      </c>
      <c r="O51" s="2475" t="s">
        <v>2206</v>
      </c>
    </row>
    <row r="52" spans="1:35" ht="24" customHeight="1">
      <c r="A52" s="183" t="s">
        <v>2207</v>
      </c>
      <c r="B52" s="3106" t="s">
        <v>2208</v>
      </c>
      <c r="C52" s="3106"/>
      <c r="D52" s="182">
        <f ca="1">ROUND(D45*'数据-取费表'!B41/(1+'数据-取费表'!C42),0)</f>
        <v>2481</v>
      </c>
      <c r="E52" s="11" t="s">
        <v>2209</v>
      </c>
      <c r="F52" s="184">
        <f>'数据-取费表'!B41</f>
        <v>5.6000000000000001E-2</v>
      </c>
      <c r="G52" s="2476"/>
      <c r="H52" s="138"/>
      <c r="I52" s="2474"/>
      <c r="J52" s="1800">
        <v>1</v>
      </c>
      <c r="K52" s="3171" t="s">
        <v>2210</v>
      </c>
      <c r="L52" s="3171"/>
      <c r="M52" s="1743">
        <f>D48</f>
        <v>0</v>
      </c>
      <c r="N52" s="1800" t="str">
        <f>E48</f>
        <v>销售额×税（费）率</v>
      </c>
      <c r="O52" s="1744" t="str">
        <f>F48</f>
        <v>免征</v>
      </c>
    </row>
    <row r="53" spans="1:35" ht="12" customHeight="1">
      <c r="A53" s="183" t="s">
        <v>2211</v>
      </c>
      <c r="B53" s="3129" t="s">
        <v>2212</v>
      </c>
      <c r="C53" s="3130"/>
      <c r="D53" s="182">
        <f ca="1">ROUND(D45*'数据-取费表'!B41/(1+'数据-取费表'!C42),0)</f>
        <v>2481</v>
      </c>
      <c r="E53" s="11" t="s">
        <v>2209</v>
      </c>
      <c r="F53" s="184">
        <f>'数据-取费表'!B41</f>
        <v>5.6000000000000001E-2</v>
      </c>
      <c r="G53" s="2476"/>
      <c r="H53" s="138"/>
      <c r="I53" s="2474"/>
      <c r="J53" s="1800">
        <v>2</v>
      </c>
      <c r="K53" s="3171" t="s">
        <v>2213</v>
      </c>
      <c r="L53" s="3171"/>
      <c r="M53" s="1743">
        <f t="shared" ref="M53:O54" ca="1" si="0">D55</f>
        <v>23</v>
      </c>
      <c r="N53" s="1800" t="str">
        <f t="shared" si="0"/>
        <v>销售额×税（费）率</v>
      </c>
      <c r="O53" s="1744">
        <f t="shared" si="0"/>
        <v>5.0000000000000001E-4</v>
      </c>
    </row>
    <row r="54" spans="1:35" ht="12" customHeight="1">
      <c r="A54" s="183" t="s">
        <v>2214</v>
      </c>
      <c r="B54" s="3129" t="s">
        <v>2215</v>
      </c>
      <c r="C54" s="3130"/>
      <c r="D54" s="182">
        <f ca="1">C68</f>
        <v>2481</v>
      </c>
      <c r="E54" s="30" t="s">
        <v>2216</v>
      </c>
      <c r="F54" s="184">
        <f>'数据-取费表'!B41</f>
        <v>5.6000000000000001E-2</v>
      </c>
      <c r="G54" s="2476"/>
      <c r="H54" s="2477"/>
      <c r="I54" s="2474"/>
      <c r="J54" s="1800">
        <v>3</v>
      </c>
      <c r="K54" s="3171" t="s">
        <v>2217</v>
      </c>
      <c r="L54" s="3171"/>
      <c r="M54" s="1743">
        <f t="shared" ca="1" si="0"/>
        <v>26331</v>
      </c>
      <c r="N54" s="1800" t="str">
        <f t="shared" si="0"/>
        <v>增值额×税（费）率</v>
      </c>
      <c r="O54" s="1745" t="str">
        <f t="shared" si="0"/>
        <v>——</v>
      </c>
    </row>
    <row r="55" spans="1:35" ht="24" customHeight="1">
      <c r="A55" s="3120" t="s">
        <v>2218</v>
      </c>
      <c r="B55" s="3121"/>
      <c r="C55" s="3121"/>
      <c r="D55" s="185">
        <f ca="1">IF(H55="个人住宅",0,ROUND(D45*I55,0))</f>
        <v>23</v>
      </c>
      <c r="E55" s="11" t="s">
        <v>2219</v>
      </c>
      <c r="F55" s="184">
        <f>IF(H55="正常",I55,"免征")</f>
        <v>5.0000000000000001E-4</v>
      </c>
      <c r="G55" s="2476"/>
      <c r="H55" s="2473" t="s">
        <v>2220</v>
      </c>
      <c r="I55" s="186">
        <f>'数据-取费表'!B49</f>
        <v>5.0000000000000001E-4</v>
      </c>
      <c r="J55" s="1800" t="str">
        <f>IF(H59="非个人房产","",4)</f>
        <v/>
      </c>
      <c r="K55" s="3171" t="str">
        <f>IF(H59="非个人房产","——","个人所得税")</f>
        <v>——</v>
      </c>
      <c r="L55" s="3171"/>
      <c r="M55" s="1746" t="str">
        <f>D59</f>
        <v>——</v>
      </c>
      <c r="N55" s="1798" t="str">
        <f>E59</f>
        <v>——</v>
      </c>
      <c r="O55" s="1747" t="str">
        <f>F59</f>
        <v>——</v>
      </c>
    </row>
    <row r="56" spans="1:35" ht="25.2">
      <c r="A56" s="3120" t="s">
        <v>2221</v>
      </c>
      <c r="B56" s="3121"/>
      <c r="C56" s="3121"/>
      <c r="D56" s="185">
        <f ca="1">IF(H56="个人住宅",D57,D58)</f>
        <v>26331</v>
      </c>
      <c r="E56" s="11" t="s">
        <v>2222</v>
      </c>
      <c r="F56" s="184" t="str">
        <f>IF(H56="正常",F58,"免征")</f>
        <v>——</v>
      </c>
      <c r="G56" s="2478" t="s">
        <v>2223</v>
      </c>
      <c r="H56" s="2479" t="s">
        <v>2220</v>
      </c>
      <c r="I56" s="2480"/>
      <c r="J56" s="1800" t="str">
        <f>IF(项目基本情况!K6="上海银行",IF(J55="",4,J55+1),"")</f>
        <v/>
      </c>
      <c r="K56" s="3194" t="str">
        <f>IF(项目基本情况!K6="上海银行","其他处置费用","")</f>
        <v/>
      </c>
      <c r="L56" s="3195"/>
      <c r="M56" s="1743" t="str">
        <f>IF(项目基本情况!K6="上海银行",M69,"")</f>
        <v/>
      </c>
      <c r="N56" s="3197" t="str">
        <f>IF(项目基本情况!K6="上海银行","包含处置中涉及的律师、诉讼、拍卖、评估等费用","")</f>
        <v/>
      </c>
      <c r="O56" s="3198"/>
    </row>
    <row r="57" spans="1:35" ht="13.2">
      <c r="A57" s="183" t="s">
        <v>2196</v>
      </c>
      <c r="B57" s="3136" t="s">
        <v>2224</v>
      </c>
      <c r="C57" s="3145"/>
      <c r="D57" s="187">
        <v>0</v>
      </c>
      <c r="E57" s="23" t="s">
        <v>2198</v>
      </c>
      <c r="F57" s="155"/>
      <c r="G57" s="2476"/>
      <c r="H57" s="2480"/>
      <c r="I57" s="2480"/>
      <c r="J57" s="3171">
        <f>IF(AND(J55="",J56=""),4,IF(项目基本情况!K6="上海银行",结果表!J56+1,结果表!J55+1))</f>
        <v>4</v>
      </c>
      <c r="K57" s="3171" t="s">
        <v>2225</v>
      </c>
      <c r="L57" s="2481" t="s">
        <v>2226</v>
      </c>
      <c r="M57" s="1748"/>
      <c r="N57" s="1749">
        <f ca="1">SUMIF(M52:M56,"&lt;9e307")</f>
        <v>26354</v>
      </c>
      <c r="O57" s="2482"/>
      <c r="P57" s="1742">
        <f ca="1">N57/M49</f>
        <v>0.56649685088454671</v>
      </c>
    </row>
    <row r="58" spans="1:35" ht="25.2">
      <c r="A58" s="183" t="s">
        <v>2207</v>
      </c>
      <c r="B58" s="3136" t="s">
        <v>2227</v>
      </c>
      <c r="C58" s="3137"/>
      <c r="D58" s="185">
        <f ca="1">IF(H58="转让取得",C81,C97)</f>
        <v>26331</v>
      </c>
      <c r="E58" s="11" t="s">
        <v>2222</v>
      </c>
      <c r="F58" s="24" t="s">
        <v>34</v>
      </c>
      <c r="G58" s="2476"/>
      <c r="H58" s="2479" t="s">
        <v>2228</v>
      </c>
      <c r="I58" s="2480"/>
      <c r="J58" s="3171"/>
      <c r="K58" s="3171"/>
      <c r="L58" s="2481" t="s">
        <v>2229</v>
      </c>
      <c r="M58" s="1750"/>
      <c r="N58" s="2483" t="str">
        <f ca="1">NUMBERSTRING(INT(N57*10000),2)&amp;"元整"</f>
        <v>贰亿陆仟叁佰伍拾肆万元整</v>
      </c>
      <c r="O58" s="2484"/>
    </row>
    <row r="59" spans="1:35" ht="24.6" thickBot="1">
      <c r="A59" s="3174" t="s">
        <v>2230</v>
      </c>
      <c r="B59" s="3175"/>
      <c r="C59" s="3175"/>
      <c r="D59" s="188" t="str">
        <f>IF(H59="非个人房产","——",IF(H59="个人住宅",0,ROUND(D45*I59,0)))</f>
        <v>——</v>
      </c>
      <c r="E59" s="189" t="str">
        <f>IF(H59="非个人房产","——","销售额×税（费）率")</f>
        <v>——</v>
      </c>
      <c r="F59" s="190" t="str">
        <f>IF(H59="非个人房产","——",IF(H59="个人住宅","免征",I59))</f>
        <v>——</v>
      </c>
      <c r="G59" s="2485" t="s">
        <v>2223</v>
      </c>
      <c r="H59" s="2479" t="s">
        <v>2231</v>
      </c>
      <c r="I59" s="191">
        <v>0.01</v>
      </c>
      <c r="J59" s="3172">
        <f>J57+1</f>
        <v>5</v>
      </c>
      <c r="K59" s="3171" t="s">
        <v>2232</v>
      </c>
      <c r="L59" s="1800" t="s">
        <v>2226</v>
      </c>
      <c r="M59" s="1751"/>
      <c r="N59" s="1752">
        <f ca="1">M49-N57</f>
        <v>20167</v>
      </c>
      <c r="O59" s="2486"/>
    </row>
    <row r="60" spans="1:35" ht="12" customHeight="1">
      <c r="A60" s="2487"/>
      <c r="B60" s="2409"/>
      <c r="C60" s="2409"/>
      <c r="D60" s="2409"/>
      <c r="E60" s="2157"/>
      <c r="F60" s="2480"/>
      <c r="G60" s="2480"/>
      <c r="H60" s="2488"/>
      <c r="I60" s="138"/>
      <c r="J60" s="3173"/>
      <c r="K60" s="3171"/>
      <c r="L60" s="2481" t="s">
        <v>2229</v>
      </c>
      <c r="M60" s="1750"/>
      <c r="N60" s="2483" t="str">
        <f ca="1">NUMBERSTRING(INT(N59*10000),2)&amp;"元整"</f>
        <v>贰亿零壹佰陆拾柒万元整</v>
      </c>
      <c r="O60" s="2484"/>
    </row>
    <row r="61" spans="1:35" ht="13.8" thickBot="1">
      <c r="A61" s="3118" t="s">
        <v>2233</v>
      </c>
      <c r="B61" s="3118"/>
      <c r="C61" s="3118"/>
      <c r="D61" s="3118"/>
      <c r="E61" s="3118"/>
      <c r="F61" s="2480"/>
      <c r="G61" s="2480"/>
      <c r="H61" s="2488"/>
      <c r="I61" s="138"/>
      <c r="J61" s="1800">
        <f>J59+1</f>
        <v>6</v>
      </c>
      <c r="K61" s="3171" t="s">
        <v>2234</v>
      </c>
      <c r="L61" s="3171"/>
      <c r="M61" s="1753"/>
      <c r="N61" s="1754">
        <f ca="1">ROUND(N59*10000/'数据-汇总表'!E3,0)</f>
        <v>2743</v>
      </c>
      <c r="O61" s="2489"/>
    </row>
    <row r="62" spans="1:35" ht="13.2">
      <c r="A62" s="3134" t="s">
        <v>2235</v>
      </c>
      <c r="B62" s="3135"/>
      <c r="C62" s="1792"/>
      <c r="D62" s="1792" t="s">
        <v>2236</v>
      </c>
      <c r="E62" s="192" t="s">
        <v>2237</v>
      </c>
      <c r="F62" s="2480"/>
      <c r="G62" s="2480"/>
      <c r="H62" s="2488"/>
      <c r="I62" s="138"/>
    </row>
    <row r="63" spans="1:35" ht="13.2">
      <c r="A63" s="203" t="s">
        <v>775</v>
      </c>
      <c r="B63" s="193" t="s">
        <v>2238</v>
      </c>
      <c r="C63" s="194">
        <f ca="1">ROUND((C64+C65)/(1+'数据-取费表'!C42),0)</f>
        <v>44306</v>
      </c>
      <c r="D63" s="195"/>
      <c r="E63" s="196"/>
      <c r="F63" s="2480"/>
      <c r="G63" s="2480"/>
      <c r="H63" s="2488"/>
      <c r="I63" s="138"/>
      <c r="J63" s="3196" t="s">
        <v>2239</v>
      </c>
      <c r="K63" s="2490" t="s">
        <v>2240</v>
      </c>
      <c r="L63" s="1741">
        <f ca="1">IF(M49&gt;10000,M49*0.5%,IF(AND(M49&gt;1000,M49&lt;=10000),M49*1%,IF(AND(M49&gt;100,M49&lt;=1000),M49*3%,IF(AND(M49&gt;10,M49&lt;=100),M49*5%,M49*8%))))</f>
        <v>232.60500000000002</v>
      </c>
      <c r="M63" s="24">
        <f ca="1">ROUND(L63,1)</f>
        <v>232.6</v>
      </c>
      <c r="Z63" s="2414"/>
      <c r="AI63" s="2415"/>
    </row>
    <row r="64" spans="1:35" ht="14.25" customHeight="1">
      <c r="A64" s="197" t="s">
        <v>770</v>
      </c>
      <c r="B64" s="198" t="s">
        <v>2241</v>
      </c>
      <c r="C64" s="199">
        <f ca="1">D45</f>
        <v>46521</v>
      </c>
      <c r="D64" s="200" t="s">
        <v>32</v>
      </c>
      <c r="E64" s="201"/>
      <c r="F64" s="2480"/>
      <c r="G64" s="2480"/>
      <c r="H64" s="2488"/>
      <c r="I64" s="138"/>
      <c r="J64" s="3196"/>
      <c r="K64" s="2490" t="s">
        <v>2242</v>
      </c>
      <c r="L64" s="1741">
        <f ca="1">IF(M49&gt;2000,M49*0.5%,IF(AND(M49&gt;1000,M49&lt;=2000),M49*0.6%,IF(AND(M49&gt;500,M49&lt;=1000),M49*0.7%,IF(AND(M49&gt;200,M49&lt;=500),M49*0.8%,IF(AND(M49&gt;100,M49&lt;=200),M49*0.9%,IF(AND(M49&gt;50,M49&lt;=100),M49*1%,IF(AND(M49&gt;20,M49&lt;=50),M49*1.5%,IF(AND(M49&gt;10,M49&lt;=20),M49*2%,IF(AND(M49&gt;1,M49&lt;=10),M49*2.5%)))))))))</f>
        <v>232.60500000000002</v>
      </c>
      <c r="M64" s="24">
        <f t="shared" ref="M64:M65" ca="1" si="1">ROUND(L64,1)</f>
        <v>232.6</v>
      </c>
      <c r="N64" s="138" t="s">
        <v>2243</v>
      </c>
      <c r="Z64" s="2414"/>
      <c r="AI64" s="2415"/>
    </row>
    <row r="65" spans="1:35" ht="14.25" customHeight="1">
      <c r="A65" s="197" t="s">
        <v>771</v>
      </c>
      <c r="B65" s="198" t="s">
        <v>2244</v>
      </c>
      <c r="C65" s="202"/>
      <c r="D65" s="200"/>
      <c r="E65" s="201"/>
      <c r="F65" s="2480"/>
      <c r="G65" s="2480"/>
      <c r="H65" s="2488"/>
      <c r="I65" s="138"/>
      <c r="J65" s="3196"/>
      <c r="K65" s="2490" t="s">
        <v>2245</v>
      </c>
      <c r="L65" s="1741">
        <f ca="1">IF(M49&gt;1000,M49*0.1%,IF(AND(M49&gt;500,M49&lt;=1000),M49*0.5%,IF(AND(M49&gt;50,M49&lt;=500),M49*1%,IF(AND(M49&gt;1,M49&lt;=50),M49*1.5%))))</f>
        <v>46.521000000000001</v>
      </c>
      <c r="M65" s="24">
        <f t="shared" ca="1" si="1"/>
        <v>46.5</v>
      </c>
      <c r="N65" s="138" t="s">
        <v>2243</v>
      </c>
      <c r="Z65" s="2414"/>
      <c r="AI65" s="2415"/>
    </row>
    <row r="66" spans="1:35" ht="14.25" customHeight="1">
      <c r="A66" s="203" t="s">
        <v>772</v>
      </c>
      <c r="B66" s="204" t="s">
        <v>2246</v>
      </c>
      <c r="C66" s="205"/>
      <c r="D66" s="206" t="s">
        <v>32</v>
      </c>
      <c r="E66" s="1764" t="s">
        <v>1366</v>
      </c>
      <c r="F66" s="2480"/>
      <c r="G66" s="2480"/>
      <c r="H66" s="2488"/>
      <c r="I66" s="138"/>
      <c r="J66" s="3196"/>
      <c r="K66" s="2490" t="s">
        <v>2247</v>
      </c>
      <c r="L66" s="1741">
        <f ca="1">M49*0.5%</f>
        <v>232.60500000000002</v>
      </c>
      <c r="M66" s="24">
        <f ca="1">IF(L66&gt;0.5,0.5,ROUND(L66,0))</f>
        <v>0.5</v>
      </c>
      <c r="N66" s="138" t="s">
        <v>2248</v>
      </c>
      <c r="Z66" s="2414"/>
      <c r="AI66" s="2415"/>
    </row>
    <row r="67" spans="1:35" ht="14.25" customHeight="1">
      <c r="A67" s="203" t="s">
        <v>773</v>
      </c>
      <c r="B67" s="204" t="s">
        <v>2249</v>
      </c>
      <c r="C67" s="207">
        <f ca="1">C63-C66</f>
        <v>44306</v>
      </c>
      <c r="D67" s="200" t="s">
        <v>32</v>
      </c>
      <c r="E67" s="201"/>
      <c r="F67" s="2480"/>
      <c r="G67" s="2480"/>
      <c r="H67" s="2488"/>
      <c r="I67" s="138"/>
      <c r="J67" s="3196"/>
      <c r="K67" s="2490" t="s">
        <v>2250</v>
      </c>
      <c r="L67" s="1741">
        <f ca="1">IF(M49&gt;=10000,(8.25+(M49-10000)*0.01%),IF(AND(M49&gt;=8000,M49&lt;10000),(7.85+(M49-8000)*0.02%),IF(AND(M49&gt;=5000,M49&lt;8000),(6.65+(M49-5000)*0.04%),IF(AND(M49&gt;=2000,M49&lt;5000),(4.25+(PM49-2000)*0.08%),IF(AND(M49&gt;=1000,M49&lt;2000),(2.75+(M49-1000)*0.15%),IF(AND(M49&gt;=100,M49&lt;1000),(0.5+(M49-100)*0.25%),IF(AND(M49&gt;0,M49&lt;100),M49*0.5%)))))))</f>
        <v>11.902100000000001</v>
      </c>
      <c r="M67" s="24">
        <f ca="1">ROUND(L67*0.9,1)</f>
        <v>10.7</v>
      </c>
      <c r="Z67" s="2414"/>
      <c r="AI67" s="2415"/>
    </row>
    <row r="68" spans="1:35" ht="14.25" customHeight="1" thickBot="1">
      <c r="A68" s="208" t="s">
        <v>774</v>
      </c>
      <c r="B68" s="209" t="s">
        <v>2251</v>
      </c>
      <c r="C68" s="210">
        <f ca="1">IF(C67&lt;=0,0,ROUND(C67*D68,0))</f>
        <v>2481</v>
      </c>
      <c r="D68" s="211">
        <f>'数据-取费表'!B41</f>
        <v>5.6000000000000001E-2</v>
      </c>
      <c r="E68" s="212"/>
      <c r="F68" s="2480"/>
      <c r="G68" s="2480"/>
      <c r="H68" s="2488"/>
      <c r="I68" s="138"/>
      <c r="J68" s="3196"/>
      <c r="K68" s="2490" t="s">
        <v>2252</v>
      </c>
      <c r="L68" s="1741">
        <f ca="1">IF(M49&gt;10000,M49*0.5%,IF(AND(M49&gt;5000,M49&lt;=10000),M49*1%,IF(AND(M49&gt;1000,M49&lt;=5000),M49*2%,IF(AND(M49&gt;200,M49&lt;=1000),M49*3%,M49*5%))))</f>
        <v>232.60500000000002</v>
      </c>
      <c r="M68" s="24">
        <f ca="1">ROUND(L68,1)</f>
        <v>232.6</v>
      </c>
      <c r="Z68" s="2414"/>
      <c r="AI68" s="2415"/>
    </row>
    <row r="69" spans="1:35" s="2437" customFormat="1" ht="16.5" customHeight="1">
      <c r="A69" s="2491"/>
      <c r="B69" s="2492"/>
      <c r="C69" s="2493"/>
      <c r="D69" s="2494"/>
      <c r="E69" s="2495"/>
      <c r="F69" s="2157"/>
      <c r="G69" s="2157"/>
      <c r="H69" s="2156"/>
      <c r="I69" s="2409"/>
      <c r="J69" s="3196"/>
      <c r="K69" s="2490" t="s">
        <v>2253</v>
      </c>
      <c r="L69" s="2496"/>
      <c r="M69" s="24">
        <f ca="1">ROUND(SUM(M63:M68),0)</f>
        <v>756</v>
      </c>
      <c r="N69" s="1742">
        <f ca="1">M69/M49</f>
        <v>1.6250725478816019E-2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4.4" thickBot="1">
      <c r="A70" s="3155" t="s">
        <v>2254</v>
      </c>
      <c r="B70" s="3156"/>
      <c r="C70" s="3156"/>
      <c r="D70" s="3156"/>
      <c r="E70" s="3156"/>
      <c r="F70" s="3156"/>
      <c r="G70" s="3156"/>
      <c r="H70" s="315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3.8">
      <c r="A71" s="3134" t="s">
        <v>2235</v>
      </c>
      <c r="B71" s="3135"/>
      <c r="C71" s="1792"/>
      <c r="D71" s="1792" t="s">
        <v>2236</v>
      </c>
      <c r="E71" s="213" t="s">
        <v>2237</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3.8">
      <c r="A72" s="203" t="s">
        <v>775</v>
      </c>
      <c r="B72" s="204" t="s">
        <v>2255</v>
      </c>
      <c r="C72" s="207">
        <f ca="1">ROUND(D45/(1+'数据-取费表'!C42),0)</f>
        <v>44306</v>
      </c>
      <c r="D72" s="200" t="s">
        <v>32</v>
      </c>
      <c r="E72" s="1791"/>
      <c r="F72" s="1785"/>
      <c r="G72" s="1785"/>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3.8">
      <c r="A73" s="203" t="s">
        <v>772</v>
      </c>
      <c r="B73" s="173" t="s">
        <v>2256</v>
      </c>
      <c r="C73" s="207">
        <f ca="1">C74+C78</f>
        <v>266</v>
      </c>
      <c r="D73" s="200" t="s">
        <v>32</v>
      </c>
      <c r="E73" s="1791"/>
      <c r="F73" s="1785"/>
      <c r="G73" s="1785"/>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2257</v>
      </c>
      <c r="C74" s="200">
        <f>ROUND(IF(G77="2016年5月1日后购买",C75/(1+'数据-取费表'!C42)+C76+C77,C75+C76+C77),0)</f>
        <v>0</v>
      </c>
      <c r="D74" s="200" t="s">
        <v>32</v>
      </c>
      <c r="E74" s="1791"/>
      <c r="F74" s="1785"/>
      <c r="G74" s="1785"/>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28.8">
      <c r="A75" s="217" t="s">
        <v>776</v>
      </c>
      <c r="B75" s="198" t="s">
        <v>2258</v>
      </c>
      <c r="C75" s="218"/>
      <c r="D75" s="200" t="s">
        <v>32</v>
      </c>
      <c r="E75" s="219" t="s">
        <v>2259</v>
      </c>
      <c r="F75" s="2502" t="s">
        <v>2260</v>
      </c>
      <c r="G75" s="219" t="s">
        <v>2261</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2262</v>
      </c>
      <c r="C76" s="200">
        <f>IF(F75="购房发票",ROUND(C75*H75*D76,0),0)</f>
        <v>0</v>
      </c>
      <c r="D76" s="222">
        <v>0.05</v>
      </c>
      <c r="E76" s="3129" t="s">
        <v>2263</v>
      </c>
      <c r="F76" s="3106"/>
      <c r="G76" s="3106"/>
      <c r="H76" s="315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4" t="s">
        <v>2266</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2267</v>
      </c>
      <c r="C78" s="225">
        <f ca="1">ROUND(D45*D78/(1+'数据-取费表'!C42),0)</f>
        <v>266</v>
      </c>
      <c r="D78" s="226">
        <f>'数据-取费表'!B43</f>
        <v>6.000000000000001E-3</v>
      </c>
      <c r="E78" s="3115" t="s">
        <v>2268</v>
      </c>
      <c r="F78" s="3116"/>
      <c r="G78" s="3116"/>
      <c r="H78" s="312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3.8">
      <c r="A79" s="2506" t="s">
        <v>779</v>
      </c>
      <c r="B79" s="204" t="s">
        <v>2269</v>
      </c>
      <c r="C79" s="207">
        <f ca="1">C72-C73</f>
        <v>44040</v>
      </c>
      <c r="D79" s="200" t="s">
        <v>32</v>
      </c>
      <c r="E79" s="1791"/>
      <c r="F79" s="1785"/>
      <c r="G79" s="1785"/>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2270</v>
      </c>
      <c r="C80" s="227">
        <f ca="1">IF(C79&lt;=0,0,C79/C73)</f>
        <v>165.5639097744361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6" thickBot="1">
      <c r="A81" s="2507" t="s">
        <v>781</v>
      </c>
      <c r="B81" s="209" t="s">
        <v>2271</v>
      </c>
      <c r="C81" s="228">
        <f ca="1">ROUND(IF(C79&lt;=0,0,IF(C80&gt;=200%,C79*60%-C73*35%,IF(C80&gt;=100%,C79*50%-C73*15%,IF(C80&gt;=50%,C79*40%-C73*5%,IF(C80&lt;50%,C79*30%,0))))),0)</f>
        <v>26331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4.4" thickBot="1">
      <c r="A83" s="3155" t="s">
        <v>2272</v>
      </c>
      <c r="B83" s="3156"/>
      <c r="C83" s="3156"/>
      <c r="D83" s="3156"/>
      <c r="E83" s="3156"/>
      <c r="F83" s="3156"/>
      <c r="G83" s="3156"/>
      <c r="H83" s="315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3.8">
      <c r="A84" s="3134" t="s">
        <v>2235</v>
      </c>
      <c r="B84" s="3135"/>
      <c r="C84" s="1792"/>
      <c r="D84" s="1792" t="s">
        <v>2236</v>
      </c>
      <c r="E84" s="213" t="s">
        <v>2237</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3.8">
      <c r="A85" s="203" t="s">
        <v>775</v>
      </c>
      <c r="B85" s="204" t="s">
        <v>2255</v>
      </c>
      <c r="C85" s="207">
        <f ca="1">ROUND(D45/(1+'数据-取费表'!C42),0)</f>
        <v>44306</v>
      </c>
      <c r="D85" s="200" t="s">
        <v>32</v>
      </c>
      <c r="E85" s="1791"/>
      <c r="F85" s="1785"/>
      <c r="G85" s="1785"/>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3.8">
      <c r="A86" s="203" t="s">
        <v>772</v>
      </c>
      <c r="B86" s="173" t="s">
        <v>2256</v>
      </c>
      <c r="C86" s="207">
        <f ca="1">IF(H88="仅含出让金",C87+C90+C91+C92+C93+C94,C87+C91+C92+C93+C94)</f>
        <v>266</v>
      </c>
      <c r="D86" s="235"/>
      <c r="E86" s="1791"/>
      <c r="F86" s="1785"/>
      <c r="G86" s="1785"/>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3.8">
      <c r="A87" s="217" t="s">
        <v>770</v>
      </c>
      <c r="B87" s="198" t="s">
        <v>2273</v>
      </c>
      <c r="C87" s="225">
        <f>C88+C89</f>
        <v>0</v>
      </c>
      <c r="D87" s="226"/>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4">
      <c r="A88" s="217" t="s">
        <v>776</v>
      </c>
      <c r="B88" s="198" t="s">
        <v>2274</v>
      </c>
      <c r="C88" s="236"/>
      <c r="D88" s="226"/>
      <c r="E88" s="237" t="s">
        <v>2275</v>
      </c>
      <c r="F88" s="1788"/>
      <c r="G88" s="238" t="s">
        <v>2276</v>
      </c>
      <c r="H88" s="2508"/>
      <c r="I88" s="2503"/>
      <c r="J88" s="2958" t="s">
        <v>3052</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3.8">
      <c r="A89" s="217" t="s">
        <v>777</v>
      </c>
      <c r="B89" s="198" t="s">
        <v>2264</v>
      </c>
      <c r="C89" s="225">
        <f>ROUND(C88*D89,0)</f>
        <v>0</v>
      </c>
      <c r="D89" s="226">
        <f>'数据-取费表'!B48+'数据-取费表'!B49</f>
        <v>3.0499999999999999E-2</v>
      </c>
      <c r="E89" s="237" t="s">
        <v>2277</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4">
      <c r="A90" s="217" t="s">
        <v>771</v>
      </c>
      <c r="B90" s="198" t="s">
        <v>2278</v>
      </c>
      <c r="C90" s="236"/>
      <c r="D90" s="226"/>
      <c r="E90" s="237" t="str">
        <f>IF(H88="-","土地取得成本中已包含该笔费用"," ")</f>
        <v xml:space="preserve"> </v>
      </c>
      <c r="F90" s="1788"/>
      <c r="G90" s="3199" t="s">
        <v>3054</v>
      </c>
      <c r="H90" s="3200"/>
      <c r="I90" s="2503"/>
      <c r="J90" s="2958" t="s">
        <v>3053</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2279</v>
      </c>
      <c r="B91" s="198" t="s">
        <v>2280</v>
      </c>
      <c r="C91" s="225">
        <f>IF(H91="——",成本法!C33,I91)</f>
        <v>0</v>
      </c>
      <c r="D91" s="226"/>
      <c r="E91" s="3115" t="s">
        <v>2281</v>
      </c>
      <c r="F91" s="3116"/>
      <c r="G91" s="3116"/>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2283</v>
      </c>
      <c r="B92" s="198" t="s">
        <v>2284</v>
      </c>
      <c r="C92" s="225">
        <f>ROUND((C87+C90+C91)*D92,0)</f>
        <v>0</v>
      </c>
      <c r="D92" s="226">
        <v>0.1</v>
      </c>
      <c r="E92" s="3115" t="s">
        <v>2285</v>
      </c>
      <c r="F92" s="3116"/>
      <c r="G92" s="3116"/>
      <c r="H92" s="312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2286</v>
      </c>
      <c r="B93" s="198" t="s">
        <v>2267</v>
      </c>
      <c r="C93" s="225">
        <f ca="1">ROUND(D45*D93/(1+'数据-取费表'!C42),0)</f>
        <v>266</v>
      </c>
      <c r="D93" s="226">
        <f>'数据-取费表'!B43</f>
        <v>6.000000000000001E-3</v>
      </c>
      <c r="E93" s="3115" t="s">
        <v>2268</v>
      </c>
      <c r="F93" s="3116"/>
      <c r="G93" s="3116"/>
      <c r="H93" s="312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2287</v>
      </c>
      <c r="B94" s="198" t="s">
        <v>2288</v>
      </c>
      <c r="C94" s="236">
        <f>ROUND((C87+C90+C91)*D94,0)</f>
        <v>0</v>
      </c>
      <c r="D94" s="226">
        <v>0.2</v>
      </c>
      <c r="E94" s="3126" t="s">
        <v>2289</v>
      </c>
      <c r="F94" s="3127"/>
      <c r="G94" s="3127"/>
      <c r="H94" s="3128"/>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3.8">
      <c r="A95" s="2506" t="s">
        <v>779</v>
      </c>
      <c r="B95" s="204" t="s">
        <v>2269</v>
      </c>
      <c r="C95" s="207">
        <f ca="1">ROUND(C85-C86,0)</f>
        <v>44040</v>
      </c>
      <c r="D95" s="200" t="s">
        <v>32</v>
      </c>
      <c r="E95" s="1791"/>
      <c r="F95" s="1785"/>
      <c r="G95" s="1785"/>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2270</v>
      </c>
      <c r="C96" s="227">
        <f ca="1">IF(C95&lt;=0,0,C95/C86)</f>
        <v>165.5639097744361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6" thickBot="1">
      <c r="A97" s="2507" t="s">
        <v>781</v>
      </c>
      <c r="B97" s="209" t="s">
        <v>2271</v>
      </c>
      <c r="C97" s="228">
        <f ca="1">ROUND(IF(C95&lt;=0,0,IF(C96&gt;=200%,C95*60%-C86*35%,IF(C96&gt;=100%,C95*50%-C86*15%,IF(C96&gt;=50%,C95*40%-C86*5%,IF(C96&lt;50%,C95*30%,0))))),0)</f>
        <v>26331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2290</v>
      </c>
      <c r="B99" s="2409"/>
      <c r="C99" s="2409"/>
      <c r="D99" s="2409"/>
      <c r="E99" s="2157"/>
      <c r="F99" s="2157"/>
      <c r="G99" s="2157"/>
      <c r="H99" s="2156"/>
      <c r="I99" s="138"/>
    </row>
    <row r="100" spans="1:35" ht="18.75" customHeight="1">
      <c r="A100" s="3100" t="s">
        <v>2291</v>
      </c>
      <c r="B100" s="3101"/>
      <c r="C100" s="3101"/>
      <c r="D100" s="3117"/>
      <c r="E100" s="3101" t="s">
        <v>2292</v>
      </c>
      <c r="F100" s="3101"/>
      <c r="G100" s="3101"/>
      <c r="H100" s="3117"/>
      <c r="I100" s="138"/>
    </row>
    <row r="101" spans="1:35" ht="18.75" customHeight="1">
      <c r="A101" s="3179" t="s">
        <v>2293</v>
      </c>
      <c r="B101" s="3180"/>
      <c r="C101" s="736" t="str">
        <f>C4</f>
        <v>成本法</v>
      </c>
      <c r="D101" s="737" t="str">
        <f>D4</f>
        <v>收益法（汇总）</v>
      </c>
      <c r="E101" s="3193" t="s">
        <v>2294</v>
      </c>
      <c r="F101" s="3147"/>
      <c r="G101" s="2511" t="s">
        <v>2295</v>
      </c>
      <c r="H101" s="1045">
        <f ca="1">H118</f>
        <v>46521</v>
      </c>
      <c r="I101" s="138"/>
    </row>
    <row r="102" spans="1:35" ht="18.75" customHeight="1">
      <c r="A102" s="3149" t="s">
        <v>2296</v>
      </c>
      <c r="B102" s="2511" t="s">
        <v>2295</v>
      </c>
      <c r="C102" s="736">
        <f ca="1">C19</f>
        <v>55341</v>
      </c>
      <c r="D102" s="737">
        <f ca="1">D19</f>
        <v>33292</v>
      </c>
      <c r="E102" s="3193"/>
      <c r="F102" s="3147"/>
      <c r="G102" s="2511" t="s">
        <v>2297</v>
      </c>
      <c r="H102" s="371" t="e">
        <f ca="1">I118</f>
        <v>#DIV/0!</v>
      </c>
      <c r="I102" s="138"/>
    </row>
    <row r="103" spans="1:35" ht="42.75" customHeight="1">
      <c r="A103" s="3149"/>
      <c r="B103" s="2511" t="s">
        <v>2297</v>
      </c>
      <c r="C103" s="738">
        <f ca="1">C20</f>
        <v>7528</v>
      </c>
      <c r="D103" s="739">
        <f ca="1">D20</f>
        <v>4529</v>
      </c>
      <c r="E103" s="3188" t="s">
        <v>2298</v>
      </c>
      <c r="F103" s="3189"/>
      <c r="G103" s="2512" t="s">
        <v>2299</v>
      </c>
      <c r="H103" s="1045">
        <f>IF(D36="正常操作",H104+H105+H106,H105+H106)</f>
        <v>0</v>
      </c>
      <c r="I103" s="138"/>
    </row>
    <row r="104" spans="1:35" ht="18.75" customHeight="1">
      <c r="A104" s="3149" t="s">
        <v>2300</v>
      </c>
      <c r="B104" s="2513" t="s">
        <v>2295</v>
      </c>
      <c r="C104" s="740">
        <f ca="1">H118</f>
        <v>46521</v>
      </c>
      <c r="D104" s="741"/>
      <c r="E104" s="2258" t="s">
        <v>2301</v>
      </c>
      <c r="F104" s="2249"/>
      <c r="G104" s="2512" t="s">
        <v>2299</v>
      </c>
      <c r="H104" s="1046">
        <f>IF(D36="同一抵押权人同一抵押物续贷",C36&amp;"（未扣减，详见特别提示）",C36)</f>
        <v>0</v>
      </c>
      <c r="I104" s="138"/>
    </row>
    <row r="105" spans="1:35" ht="18.75" customHeight="1" thickBot="1">
      <c r="A105" s="3150"/>
      <c r="B105" s="2514" t="s">
        <v>2297</v>
      </c>
      <c r="C105" s="742" t="e">
        <f ca="1">I118</f>
        <v>#DIV/0!</v>
      </c>
      <c r="D105" s="743"/>
      <c r="E105" s="2258" t="s">
        <v>2302</v>
      </c>
      <c r="F105" s="2249"/>
      <c r="G105" s="2512" t="s">
        <v>2299</v>
      </c>
      <c r="H105" s="1046">
        <f>C37</f>
        <v>0</v>
      </c>
      <c r="I105" s="138"/>
    </row>
    <row r="106" spans="1:35" ht="18.75" customHeight="1">
      <c r="A106" s="2409" t="s">
        <v>2303</v>
      </c>
      <c r="B106" s="2409"/>
      <c r="C106" s="2409"/>
      <c r="D106" s="2409"/>
      <c r="E106" s="2515" t="s">
        <v>2304</v>
      </c>
      <c r="F106" s="2249"/>
      <c r="G106" s="2512" t="s">
        <v>2299</v>
      </c>
      <c r="H106" s="1046">
        <f>C38</f>
        <v>0</v>
      </c>
      <c r="I106" s="138"/>
    </row>
    <row r="107" spans="1:35" ht="18.75" customHeight="1">
      <c r="A107" s="138"/>
      <c r="B107" s="138"/>
      <c r="C107" s="138"/>
      <c r="D107" s="138"/>
      <c r="E107" s="3146" t="str">
        <f>IF(项目基本情况!E8="已注销","——","3.房地产抵押价值")</f>
        <v>3.房地产抵押价值</v>
      </c>
      <c r="F107" s="3147"/>
      <c r="G107" s="2511" t="s">
        <v>2295</v>
      </c>
      <c r="H107" s="1045">
        <f ca="1">IF(E107="——","——",H101-H103)</f>
        <v>46521</v>
      </c>
      <c r="I107" s="138"/>
    </row>
    <row r="108" spans="1:35" ht="18.75" customHeight="1">
      <c r="A108" s="138"/>
      <c r="B108" s="138"/>
      <c r="C108" s="138"/>
      <c r="D108" s="138"/>
      <c r="E108" s="3146"/>
      <c r="F108" s="3147"/>
      <c r="G108" s="2511" t="s">
        <v>2297</v>
      </c>
      <c r="H108" s="371">
        <f ca="1">ROUND(H107*10000/'数据-汇总表'!E3,0)</f>
        <v>6328</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11" t="s">
        <v>2295</v>
      </c>
      <c r="H109" s="348" t="str">
        <f>IF(E109="——","——",H101-H105-H106)</f>
        <v>——</v>
      </c>
      <c r="I109" s="138"/>
    </row>
    <row r="110" spans="1:35" ht="18.75" customHeight="1">
      <c r="A110" s="138"/>
      <c r="B110" s="138"/>
      <c r="C110" s="138"/>
      <c r="D110" s="138"/>
      <c r="E110" s="3146"/>
      <c r="F110" s="3147"/>
      <c r="G110" s="2511" t="s">
        <v>2297</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11" t="s">
        <v>2295</v>
      </c>
      <c r="H111" s="1045" t="str">
        <f>IF(E111="——","——",N59)</f>
        <v>——</v>
      </c>
      <c r="I111" s="138"/>
    </row>
    <row r="112" spans="1:35" ht="18.75" customHeight="1" thickBot="1">
      <c r="A112" s="138"/>
      <c r="B112" s="138"/>
      <c r="C112" s="138"/>
      <c r="D112" s="138"/>
      <c r="E112" s="3183"/>
      <c r="F112" s="3184"/>
      <c r="G112" s="2516" t="s">
        <v>2297</v>
      </c>
      <c r="H112" s="790" t="str">
        <f>IF(E111="——","——",N61)</f>
        <v>——</v>
      </c>
      <c r="I112" s="138"/>
    </row>
    <row r="113" spans="1:11" ht="18.75" customHeight="1">
      <c r="A113" s="138"/>
      <c r="B113" s="138"/>
      <c r="C113" s="138"/>
      <c r="D113" s="138"/>
      <c r="E113" s="3151" t="s">
        <v>2303</v>
      </c>
      <c r="F113" s="3151"/>
      <c r="G113" s="3151"/>
      <c r="H113" s="3151"/>
      <c r="I113" s="138"/>
    </row>
    <row r="114" spans="1:11" ht="3.75" customHeight="1">
      <c r="A114" s="2409"/>
      <c r="B114" s="2409"/>
      <c r="C114" s="2409"/>
      <c r="D114" s="2409"/>
      <c r="E114" s="2487"/>
      <c r="F114" s="2487"/>
      <c r="G114" s="2487"/>
      <c r="H114" s="2487"/>
      <c r="I114" s="2409"/>
    </row>
    <row r="115" spans="1:11" ht="18.75" customHeight="1">
      <c r="A115" s="3164" t="s">
        <v>2305</v>
      </c>
      <c r="B115" s="3165"/>
      <c r="C115" s="3165"/>
      <c r="D115" s="3165"/>
      <c r="E115" s="3165"/>
      <c r="F115" s="3165"/>
      <c r="G115" s="3165"/>
      <c r="H115" s="3165"/>
      <c r="I115" s="3166"/>
    </row>
    <row r="116" spans="1:11" ht="27" customHeight="1">
      <c r="A116" s="3057" t="s">
        <v>2306</v>
      </c>
      <c r="B116" s="3152" t="s">
        <v>2307</v>
      </c>
      <c r="C116" s="3152" t="s">
        <v>2308</v>
      </c>
      <c r="D116" s="3168" t="s">
        <v>2309</v>
      </c>
      <c r="E116" s="3169"/>
      <c r="F116" s="3160" t="s">
        <v>2310</v>
      </c>
      <c r="G116" s="3160"/>
      <c r="H116" s="3057" t="s">
        <v>2311</v>
      </c>
      <c r="I116" s="3057"/>
    </row>
    <row r="117" spans="1:11" ht="18.75" customHeight="1">
      <c r="A117" s="3057"/>
      <c r="B117" s="3153"/>
      <c r="C117" s="3153"/>
      <c r="D117" s="1786" t="s">
        <v>2312</v>
      </c>
      <c r="E117" s="1786" t="s">
        <v>2313</v>
      </c>
      <c r="F117" s="1786" t="s">
        <v>2312</v>
      </c>
      <c r="G117" s="1786" t="s">
        <v>2314</v>
      </c>
      <c r="H117" s="1786" t="s">
        <v>2312</v>
      </c>
      <c r="I117" s="1786" t="s">
        <v>2314</v>
      </c>
    </row>
    <row r="118" spans="1:11" ht="24.75" customHeight="1">
      <c r="A118" s="2517" t="str">
        <f>项目基本情况!S2</f>
        <v>房地产</v>
      </c>
      <c r="B118" s="1786">
        <f>M18</f>
        <v>0</v>
      </c>
      <c r="C118" s="1786">
        <f>M19</f>
        <v>0</v>
      </c>
      <c r="D118" s="1786" t="e">
        <f ca="1">ROUND(IF(D32="总价",C34,E118*B118/10000),0)</f>
        <v>#REF!</v>
      </c>
      <c r="E118" s="1786" t="e">
        <f ca="1">ROUND(IF(C33="自定义",IF(D32="楼面单价",C34,D118*10000/B118),I118-G118),0)</f>
        <v>#DIV/0!</v>
      </c>
      <c r="F118" s="1786" t="e">
        <f ca="1">ROUND(IF(D32="总价",C35,G118*B118/10000),0)</f>
        <v>#REF!</v>
      </c>
      <c r="G118" s="1786" t="e">
        <f ca="1">ROUND(IF(D32="楼面单价",C35,F118*10000/B118),0)</f>
        <v>#REF!</v>
      </c>
      <c r="H118" s="1786">
        <f ca="1">ROUND(IF(D32="总价",C32,I118*B118/10000),0)</f>
        <v>46521</v>
      </c>
      <c r="I118" s="1786" t="e">
        <f ca="1">ROUND(IF(D32="楼面单价",C32,H118*10000/B118),0)</f>
        <v>#DIV/0!</v>
      </c>
    </row>
    <row r="119" spans="1:11" ht="18.75" customHeight="1">
      <c r="A119" s="3057" t="s">
        <v>2315</v>
      </c>
      <c r="B119" s="3057"/>
      <c r="C119" s="3057"/>
      <c r="D119" s="3157" t="e">
        <f ca="1">NUMBERSTRING(INT(D118*10000),2)&amp;"元整"</f>
        <v>#REF!</v>
      </c>
      <c r="E119" s="3159"/>
      <c r="F119" s="3157" t="e">
        <f ca="1">NUMBERSTRING(INT(F118*10000),2)&amp;"元整"</f>
        <v>#REF!</v>
      </c>
      <c r="G119" s="3159"/>
      <c r="H119" s="3157" t="str">
        <f ca="1">NUMBERSTRING(INT(H118*10000),2)&amp;"元整"</f>
        <v>肆亿陆仟伍佰贰拾壹万元整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4" t="str">
        <f>IF(D120=0,"故，本次评估不存在"&amp;A120,"故，本次评估"&amp;A120&amp;"为人民币"&amp;D120&amp;"万元整。")</f>
        <v>故，本次评估不存在估价师知悉的法定优先受偿款</v>
      </c>
    </row>
    <row r="121" spans="1:11" ht="18.75" customHeight="1">
      <c r="A121" s="3161" t="s">
        <v>2315</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46521</v>
      </c>
      <c r="E122" s="3186"/>
      <c r="F122" s="3186"/>
      <c r="G122" s="3186"/>
      <c r="H122" s="3186"/>
      <c r="I122" s="3187"/>
    </row>
    <row r="123" spans="1:11" ht="18.75" customHeight="1">
      <c r="A123" s="3057" t="s">
        <v>2315</v>
      </c>
      <c r="B123" s="3057"/>
      <c r="C123" s="3057"/>
      <c r="D123" s="3157" t="str">
        <f ca="1">NUMBERSTRING(INT(D122*10000),2)&amp;"元整"</f>
        <v>肆亿陆仟伍佰贰拾壹万元整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57" t="s">
        <v>2315</v>
      </c>
      <c r="B125" s="3057"/>
      <c r="C125" s="3057"/>
      <c r="D125" s="3157" t="e">
        <f>NUMBERSTRING(INT(D124*10000),2)&amp;"元整"</f>
        <v>#VALUE!</v>
      </c>
      <c r="E125" s="3158"/>
      <c r="F125" s="3158"/>
      <c r="G125" s="3158"/>
      <c r="H125" s="3158"/>
      <c r="I125" s="3159"/>
    </row>
    <row r="126" spans="1:11" ht="18.75" customHeight="1">
      <c r="A126" s="3148" t="str">
        <f>IF(项目基本情况!B9="房地产市场价值","",MID(E111,3,LEN(E111)-2))</f>
        <v/>
      </c>
      <c r="B126" s="3148"/>
      <c r="C126" s="3148"/>
      <c r="D126" s="3185" t="str">
        <f>H111</f>
        <v>——</v>
      </c>
      <c r="E126" s="3186"/>
      <c r="F126" s="3186"/>
      <c r="G126" s="3186"/>
      <c r="H126" s="3186"/>
      <c r="I126" s="3187"/>
    </row>
    <row r="127" spans="1:11" ht="18.75" customHeight="1">
      <c r="A127" s="3057" t="s">
        <v>2315</v>
      </c>
      <c r="B127" s="3057"/>
      <c r="C127" s="3057"/>
      <c r="D127" s="3157" t="e">
        <f>NUMBERSTRING(INT(D126*10000),2)&amp;"元整"</f>
        <v>#VALUE!</v>
      </c>
      <c r="E127" s="3158"/>
      <c r="F127" s="3158"/>
      <c r="G127" s="3158"/>
      <c r="H127" s="3158"/>
      <c r="I127" s="3159"/>
    </row>
    <row r="128" spans="1:11" ht="21.75" customHeight="1">
      <c r="A128" s="3167" t="s">
        <v>2316</v>
      </c>
      <c r="B128" s="3167"/>
      <c r="C128" s="3167"/>
      <c r="D128" s="3167"/>
      <c r="E128" s="3167"/>
      <c r="F128" s="3167"/>
      <c r="G128" s="3167"/>
      <c r="H128" s="3167"/>
      <c r="I128" s="3167"/>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2319</v>
      </c>
      <c r="G135" s="2535"/>
      <c r="H135" s="2535"/>
      <c r="I135" s="2536" t="s">
        <v>2320</v>
      </c>
    </row>
    <row r="136" spans="1:35" ht="21.75" customHeight="1">
      <c r="A136" s="795"/>
      <c r="B136" s="253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2322</v>
      </c>
    </row>
    <row r="139" spans="1:35" ht="21.75" customHeight="1">
      <c r="A139" s="795"/>
      <c r="B139" s="2537" t="s">
        <v>2323</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2322</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2324</v>
      </c>
      <c r="B1" s="1927"/>
      <c r="C1" s="242"/>
      <c r="D1" s="242"/>
      <c r="E1" s="242"/>
      <c r="F1" s="242"/>
      <c r="G1" s="1379">
        <f>MATCH(B1,'数据-取费表'!A6:A16,0)+5</f>
        <v>8</v>
      </c>
    </row>
    <row r="2" spans="1:9" s="244" customFormat="1" ht="18" customHeight="1">
      <c r="A2" s="245" t="s">
        <v>2325</v>
      </c>
      <c r="B2" s="246">
        <f ca="1">IF(D2="——",C52,C52-E2)</f>
        <v>55341</v>
      </c>
      <c r="C2" s="243" t="s">
        <v>2326</v>
      </c>
      <c r="D2" s="2540" t="s">
        <v>70</v>
      </c>
      <c r="E2" s="1440" t="e">
        <f ca="1">SUMIF(INDIRECT("'"&amp;G2&amp;"'"&amp;"!A:A"),"承租人权益价值",INDIRECT("'"&amp;G2&amp;"'"&amp;"!c:c"))</f>
        <v>#REF!</v>
      </c>
      <c r="F2" s="2541" t="s">
        <v>2326</v>
      </c>
      <c r="G2" s="2542"/>
    </row>
    <row r="3" spans="1:9" s="244" customFormat="1" ht="18" customHeight="1" thickBot="1">
      <c r="A3" s="247" t="s">
        <v>2327</v>
      </c>
      <c r="B3" s="248">
        <f ca="1">ROUND(B2*10000/(IF(B1="",'数据-汇总表'!E3,INDIRECT("'数据-取费表'!k"&amp;$G$1))),0)</f>
        <v>7528</v>
      </c>
      <c r="C3" s="243" t="s">
        <v>2328</v>
      </c>
      <c r="D3" s="243"/>
      <c r="E3" s="243"/>
      <c r="F3" s="243"/>
      <c r="G3" s="243"/>
    </row>
    <row r="4" spans="1:9" s="252" customFormat="1" ht="16.2">
      <c r="A4" s="249" t="s">
        <v>2329</v>
      </c>
      <c r="B4" s="250"/>
      <c r="C4" s="250"/>
      <c r="D4" s="250"/>
      <c r="E4" s="250"/>
      <c r="F4" s="250"/>
      <c r="G4" s="251"/>
    </row>
    <row r="5" spans="1:9" s="258" customFormat="1" ht="13.5" customHeight="1">
      <c r="A5" s="299" t="s">
        <v>2330</v>
      </c>
      <c r="B5" s="254" t="s">
        <v>2331</v>
      </c>
      <c r="C5" s="255">
        <f ca="1">C6+C7+C8</f>
        <v>17194</v>
      </c>
      <c r="D5" s="255" t="s">
        <v>2332</v>
      </c>
      <c r="E5" s="256" t="s">
        <v>2333</v>
      </c>
      <c r="F5" s="256" t="s">
        <v>2334</v>
      </c>
      <c r="G5" s="257"/>
    </row>
    <row r="6" spans="1:9" s="258" customFormat="1" ht="13.5" customHeight="1">
      <c r="A6" s="949" t="s">
        <v>2335</v>
      </c>
      <c r="B6" s="259" t="s">
        <v>2336</v>
      </c>
      <c r="C6" s="260">
        <f>'土地比较法-住宅、综合'!F56</f>
        <v>15936</v>
      </c>
      <c r="D6" s="261"/>
      <c r="E6" s="262"/>
      <c r="F6" s="262"/>
      <c r="G6" s="263"/>
    </row>
    <row r="7" spans="1:9" s="258" customFormat="1" ht="13.5" customHeight="1">
      <c r="A7" s="949" t="s">
        <v>2337</v>
      </c>
      <c r="B7" s="259" t="s">
        <v>2338</v>
      </c>
      <c r="C7" s="264">
        <f>ROUND(C6*F7,0)</f>
        <v>486</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772</v>
      </c>
      <c r="D8" s="266"/>
      <c r="E8" s="264"/>
      <c r="F8" s="265"/>
      <c r="G8" s="2543" t="s">
        <v>3650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105</v>
      </c>
      <c r="F9" s="265"/>
      <c r="G9" s="2544" t="s">
        <v>3652</v>
      </c>
      <c r="H9" s="1390"/>
      <c r="I9" s="2545" t="s">
        <v>2342</v>
      </c>
    </row>
    <row r="10" spans="1:9" s="258" customFormat="1" ht="13.5" customHeight="1">
      <c r="A10" s="950" t="s">
        <v>801</v>
      </c>
      <c r="B10" s="268" t="s">
        <v>2343</v>
      </c>
      <c r="C10" s="269">
        <f ca="1">ROUND(D10*E10/10000,0)</f>
        <v>772</v>
      </c>
      <c r="D10" s="1032">
        <f ca="1">IF(B1="",'数据-汇总表'!E6,IF(INDIRECT("'数据-取费表'!c"&amp;$G$1)="住宅",INDIRECT("'数据-取费表'!s"&amp;$G$1),INDIRECT("'数据-取费表'!k"&amp;$G$1)+INDIRECT("'数据-取费表'!s"&amp;$G$1)))</f>
        <v>73514.720000000016</v>
      </c>
      <c r="E10" s="269">
        <f>'数据-取费表'!B28</f>
        <v>105</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73514.720000000016</v>
      </c>
      <c r="E19" s="255">
        <f>'数据-取费表'!B31</f>
        <v>200</v>
      </c>
      <c r="F19" s="275"/>
      <c r="G19" s="2543" t="s">
        <v>3651</v>
      </c>
    </row>
    <row r="20" spans="1:7" s="258" customFormat="1" ht="13.5" customHeight="1">
      <c r="A20" s="299" t="s">
        <v>2356</v>
      </c>
      <c r="B20" s="254" t="s">
        <v>2357</v>
      </c>
      <c r="C20" s="276">
        <f ca="1">ROUND((C5+C19)*F20,0)</f>
        <v>344</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1688</v>
      </c>
      <c r="D22" s="279">
        <f ca="1">C26</f>
        <v>1.4E-3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1672</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16</v>
      </c>
      <c r="D25" s="282"/>
      <c r="E25" s="285"/>
      <c r="F25" s="283"/>
      <c r="G25" s="286" t="s">
        <v>2373</v>
      </c>
    </row>
    <row r="26" spans="1:7" s="258" customFormat="1">
      <c r="A26" s="951" t="s">
        <v>795</v>
      </c>
      <c r="B26" s="259" t="s">
        <v>2374</v>
      </c>
      <c r="C26" s="282">
        <f ca="1">ROUND(IF('数据-取费表'!B22&lt;=1,F21*F22*'数据-取费表'!B23/2,F21*(POWER((1+F22),'数据-取费表'!B23/2)-1)),4)</f>
        <v>1.4E-3</v>
      </c>
      <c r="D26" s="282"/>
      <c r="E26" s="285"/>
      <c r="F26" s="283"/>
      <c r="G26" s="287"/>
    </row>
    <row r="27" spans="1:7" s="258" customFormat="1" ht="26.4">
      <c r="A27" s="299" t="s">
        <v>2375</v>
      </c>
      <c r="B27" s="288" t="s">
        <v>2376</v>
      </c>
      <c r="C27" s="289">
        <f ca="1">C28</f>
        <v>2280</v>
      </c>
      <c r="D27" s="279">
        <f ca="1">C29</f>
        <v>3.8999999999999998E-3</v>
      </c>
      <c r="E27" s="280" t="s">
        <v>2377</v>
      </c>
      <c r="F27" s="290">
        <f ca="1">IF(B1="",'数据-取费表'!Q16,INDIRECT("'数据-取费表'!q"&amp;$G$1))</f>
        <v>0.13</v>
      </c>
      <c r="G27" s="291" t="s">
        <v>2378</v>
      </c>
    </row>
    <row r="28" spans="1:7" s="258" customFormat="1" ht="13.5" customHeight="1">
      <c r="A28" s="951" t="s">
        <v>791</v>
      </c>
      <c r="B28" s="292" t="s">
        <v>2379</v>
      </c>
      <c r="C28" s="293">
        <f ca="1">ROUND((C5+C19+C20)*F27*'数据-取费表'!B21/'数据-取费表'!B20,0)</f>
        <v>2280</v>
      </c>
      <c r="D28" s="279"/>
      <c r="E28" s="280"/>
      <c r="F28" s="290"/>
      <c r="G28" s="291"/>
    </row>
    <row r="29" spans="1:7" s="258" customFormat="1" ht="13.5" customHeight="1">
      <c r="A29" s="951" t="s">
        <v>792</v>
      </c>
      <c r="B29" s="292" t="s">
        <v>2380</v>
      </c>
      <c r="C29" s="282">
        <f ca="1">ROUND(C21*F27*'数据-取费表'!B21/'数据-取费表'!B20,4)</f>
        <v>3.8999999999999998E-3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23597</v>
      </c>
      <c r="D31" s="274"/>
      <c r="E31" s="255"/>
      <c r="F31" s="294"/>
      <c r="G31" s="278" t="s">
        <v>2385</v>
      </c>
    </row>
    <row r="32" spans="1:7" s="252" customFormat="1" ht="16.2">
      <c r="A32" s="296" t="s">
        <v>2386</v>
      </c>
      <c r="B32" s="297"/>
      <c r="C32" s="297"/>
      <c r="D32" s="297"/>
      <c r="E32" s="297"/>
      <c r="F32" s="297"/>
      <c r="G32" s="298"/>
    </row>
    <row r="33" spans="1:7" s="258" customFormat="1" ht="13.5" customHeight="1">
      <c r="A33" s="299" t="s">
        <v>782</v>
      </c>
      <c r="B33" s="254" t="s">
        <v>2387</v>
      </c>
      <c r="C33" s="300">
        <f ca="1">SUM(C34:C38)</f>
        <v>26766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24207</v>
      </c>
      <c r="D34" s="261"/>
      <c r="E34" s="264"/>
      <c r="F34" s="301">
        <f ca="1">IF('数据-取费表'!B24=0,1,IF(B1="",'数据-取费表'!N16,INDIRECT("'数据-取费表'!n"&amp;$G$1)))</f>
        <v>1</v>
      </c>
      <c r="G34" s="263" t="s">
        <v>2389</v>
      </c>
    </row>
    <row r="35" spans="1:7" ht="13.5" customHeight="1">
      <c r="A35" s="951" t="s">
        <v>796</v>
      </c>
      <c r="B35" s="259" t="s">
        <v>2390</v>
      </c>
      <c r="C35" s="264">
        <f ca="1">ROUND(C34*F35,0)</f>
        <v>726</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1" t="s">
        <v>798</v>
      </c>
      <c r="B37" s="259" t="s">
        <v>2394</v>
      </c>
      <c r="C37" s="293">
        <f ca="1">ROUND(E37*D37*F34/10000,0)</f>
        <v>1470</v>
      </c>
      <c r="D37" s="261">
        <f ca="1">D19</f>
        <v>73514.720000000016</v>
      </c>
      <c r="E37" s="293">
        <f>'数据-取费表'!B35</f>
        <v>200</v>
      </c>
      <c r="F37" s="303"/>
      <c r="G37" s="305" t="s">
        <v>2395</v>
      </c>
    </row>
    <row r="38" spans="1:7" ht="13.5" customHeight="1">
      <c r="A38" s="951" t="s">
        <v>799</v>
      </c>
      <c r="B38" s="259" t="s">
        <v>2396</v>
      </c>
      <c r="C38" s="264">
        <f ca="1">ROUND(C34*F38,0)</f>
        <v>363</v>
      </c>
      <c r="D38" s="264"/>
      <c r="E38" s="264"/>
      <c r="F38" s="303">
        <f>'数据-取费表'!B36</f>
        <v>1.4999999999999999E-2</v>
      </c>
      <c r="G38" s="263" t="s">
        <v>2391</v>
      </c>
    </row>
    <row r="39" spans="1:7" s="258" customFormat="1" ht="13.5" customHeight="1">
      <c r="A39" s="299" t="s">
        <v>2397</v>
      </c>
      <c r="B39" s="254" t="s">
        <v>2398</v>
      </c>
      <c r="C39" s="276">
        <f ca="1">ROUND(C33*F20,0)</f>
        <v>535</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1296</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1271</v>
      </c>
      <c r="D42" s="282"/>
      <c r="E42" s="282"/>
      <c r="F42" s="283"/>
      <c r="G42" s="3201" t="s">
        <v>2407</v>
      </c>
    </row>
    <row r="43" spans="1:7" ht="13.5" customHeight="1">
      <c r="A43" s="951" t="s">
        <v>792</v>
      </c>
      <c r="B43" s="259" t="s">
        <v>2408</v>
      </c>
      <c r="C43" s="282">
        <f ca="1">ROUND(IF('数据-取费表'!B22&lt;=1,C39*F22*'数据-取费表'!B21/2,C39*(POWER((1+F22),'数据-取费表'!B21/2)-1)),0)</f>
        <v>25</v>
      </c>
      <c r="D43" s="282"/>
      <c r="E43" s="282"/>
      <c r="F43" s="283"/>
      <c r="G43" s="3202"/>
    </row>
    <row r="44" spans="1:7" ht="13.5" customHeight="1">
      <c r="A44" s="951" t="s">
        <v>793</v>
      </c>
      <c r="B44" s="259" t="s">
        <v>2409</v>
      </c>
      <c r="C44" s="282">
        <f ca="1">ROUND(IF('数据-取费表'!B22&lt;=1,C40*F22*'数据-取费表'!B21/2,C40*(POWER((1+F22),'数据-取费表'!B21/2)-1)),4)</f>
        <v>1.4E-3</v>
      </c>
      <c r="D44" s="282"/>
      <c r="E44" s="282"/>
      <c r="F44" s="283"/>
      <c r="G44" s="3203"/>
    </row>
    <row r="45" spans="1:7" s="258" customFormat="1" ht="13.5" customHeight="1">
      <c r="A45" s="299" t="s">
        <v>2410</v>
      </c>
      <c r="B45" s="288" t="s">
        <v>2376</v>
      </c>
      <c r="C45" s="289">
        <f ca="1">C46</f>
        <v>3549</v>
      </c>
      <c r="D45" s="279">
        <f ca="1">C47</f>
        <v>3.8999999999999998E-3</v>
      </c>
      <c r="E45" s="280" t="s">
        <v>2402</v>
      </c>
      <c r="F45" s="290"/>
      <c r="G45" s="291" t="s">
        <v>2411</v>
      </c>
    </row>
    <row r="46" spans="1:7" s="258" customFormat="1" ht="13.5" customHeight="1">
      <c r="A46" s="951" t="s">
        <v>791</v>
      </c>
      <c r="B46" s="292" t="s">
        <v>2412</v>
      </c>
      <c r="C46" s="293">
        <f ca="1">ROUND((C33+C39)*F27,0)</f>
        <v>3549</v>
      </c>
      <c r="D46" s="307"/>
      <c r="E46" s="280"/>
      <c r="F46" s="290"/>
      <c r="G46" s="291"/>
    </row>
    <row r="47" spans="1:7" s="258" customFormat="1" ht="13.5" customHeight="1">
      <c r="A47" s="951" t="s">
        <v>792</v>
      </c>
      <c r="B47" s="292" t="s">
        <v>2413</v>
      </c>
      <c r="C47" s="282">
        <f ca="1">ROUND(C40*F27,4)</f>
        <v>3.8999999999999998E-3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35271</v>
      </c>
      <c r="D49" s="276"/>
      <c r="E49" s="276"/>
      <c r="F49" s="308"/>
      <c r="G49" s="278" t="s">
        <v>2417</v>
      </c>
    </row>
    <row r="50" spans="1:7" s="302" customFormat="1" ht="24">
      <c r="A50" s="299" t="s">
        <v>2418</v>
      </c>
      <c r="B50" s="254" t="s">
        <v>2419</v>
      </c>
      <c r="C50" s="276"/>
      <c r="D50" s="276"/>
      <c r="E50" s="276"/>
      <c r="F50" s="308">
        <f>IF('数据-取费表'!B24=0,'数据-取费表'!N16,1)</f>
        <v>0.9</v>
      </c>
      <c r="G50" s="291" t="s">
        <v>2420</v>
      </c>
    </row>
    <row r="51" spans="1:7" ht="16.5" customHeight="1">
      <c r="A51" s="299" t="s">
        <v>2421</v>
      </c>
      <c r="B51" s="254" t="s">
        <v>2422</v>
      </c>
      <c r="C51" s="276">
        <f ca="1">ROUND(C49*F50,0)</f>
        <v>31744</v>
      </c>
      <c r="D51" s="276"/>
      <c r="E51" s="276"/>
      <c r="F51" s="308"/>
      <c r="G51" s="278" t="s">
        <v>2423</v>
      </c>
    </row>
    <row r="52" spans="1:7" s="252" customFormat="1" ht="16.8" thickBot="1">
      <c r="A52" s="309" t="s">
        <v>2424</v>
      </c>
      <c r="B52" s="310"/>
      <c r="C52" s="311">
        <f ca="1">C31+C51</f>
        <v>55341</v>
      </c>
      <c r="D52" s="310"/>
      <c r="E52" s="310"/>
      <c r="F52" s="310"/>
      <c r="G52" s="312"/>
    </row>
    <row r="55" spans="1:7" ht="15">
      <c r="B55" s="314" t="s">
        <v>2425</v>
      </c>
      <c r="C55" s="315"/>
    </row>
    <row r="56" spans="1:7">
      <c r="B56" s="317" t="s">
        <v>1507</v>
      </c>
      <c r="C56" s="319">
        <f ca="1">1-C57</f>
        <v>0.42600000000000005</v>
      </c>
    </row>
    <row r="57" spans="1:7">
      <c r="B57" s="317" t="s">
        <v>1508</v>
      </c>
      <c r="C57" s="318">
        <f ca="1">ROUND(C51/C52,3)</f>
        <v>0.57399999999999995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3013" t="str">
        <f>项目基本情况!B1</f>
        <v>房地产抵押价值预评估</v>
      </c>
      <c r="C37" s="3013"/>
      <c r="D37" s="3013"/>
      <c r="E37" s="3013"/>
      <c r="F37" s="3013"/>
      <c r="G37" s="3013"/>
      <c r="H37" s="3013"/>
      <c r="I37" s="3013"/>
    </row>
    <row r="38" spans="1:9">
      <c r="A38" s="1016"/>
      <c r="B38" s="1016"/>
    </row>
    <row r="39" spans="1:9">
      <c r="A39" s="1014" t="s">
        <v>818</v>
      </c>
      <c r="B39" s="1014" t="s">
        <v>820</v>
      </c>
    </row>
    <row r="40" spans="1:9">
      <c r="A40" s="1014"/>
      <c r="B40" s="1932">
        <f>项目基本情况!B5</f>
        <v>0</v>
      </c>
    </row>
    <row r="41" spans="1:9">
      <c r="A41" s="1014"/>
      <c r="B41" s="1014"/>
    </row>
    <row r="42" spans="1:9">
      <c r="A42" s="1014" t="s">
        <v>818</v>
      </c>
      <c r="B42" s="1014" t="s">
        <v>821</v>
      </c>
    </row>
    <row r="43" spans="1:9">
      <c r="A43" s="1014"/>
      <c r="B43" s="1932" t="s">
        <v>822</v>
      </c>
    </row>
    <row r="44" spans="1:9">
      <c r="A44" s="1014"/>
      <c r="B44" s="1014"/>
    </row>
    <row r="45" spans="1:9">
      <c r="A45" s="1014" t="s">
        <v>818</v>
      </c>
      <c r="B45" s="1014" t="s">
        <v>823</v>
      </c>
    </row>
    <row r="46" spans="1:9" s="1014" customFormat="1">
      <c r="B46" s="1932" t="str">
        <f>项目基本情况!K4</f>
        <v>（注册号：0)、（注册号：0)</v>
      </c>
    </row>
    <row r="47" spans="1:9">
      <c r="A47" s="1014"/>
      <c r="B47" s="1014" t="str">
        <f>项目基本情况!K5</f>
        <v/>
      </c>
    </row>
    <row r="48" spans="1:9">
      <c r="A48" s="1014" t="s">
        <v>818</v>
      </c>
      <c r="B48" s="1014"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L21" sqref="L21"/>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15936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2168</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9" t="s">
        <v>2646</v>
      </c>
      <c r="AC4" s="3218" t="s">
        <v>2647</v>
      </c>
    </row>
    <row r="5" spans="1:30">
      <c r="A5" s="404"/>
      <c r="B5" s="405"/>
      <c r="C5" s="3238" t="s">
        <v>2540</v>
      </c>
      <c r="D5" s="3239"/>
      <c r="E5" s="3245" t="str">
        <f>土地案例!A5</f>
        <v>南山路以南,檀山路以西地块</v>
      </c>
      <c r="F5" s="3246"/>
      <c r="G5" s="3238" t="str">
        <f>土地案例!A6</f>
        <v>展馆路以南,九华山路以西地块</v>
      </c>
      <c r="H5" s="3239"/>
      <c r="I5" s="3238" t="str">
        <f>土地案例!A7</f>
        <v>2019-1-3(R1903)</v>
      </c>
      <c r="J5" s="3239"/>
      <c r="K5" s="610"/>
      <c r="L5" s="1130"/>
      <c r="M5" s="1131"/>
      <c r="N5" s="1131"/>
      <c r="O5" s="1131"/>
      <c r="P5" s="3226"/>
      <c r="Q5" s="3227"/>
      <c r="R5" s="3232"/>
      <c r="S5" s="3233"/>
      <c r="T5" s="3232"/>
      <c r="U5" s="3233"/>
      <c r="V5" s="3217"/>
      <c r="W5" s="3217"/>
      <c r="X5" s="1804"/>
      <c r="Y5" s="3232"/>
      <c r="Z5" s="3233"/>
      <c r="AA5" s="3219"/>
      <c r="AB5" s="3219"/>
      <c r="AC5" s="3219"/>
    </row>
    <row r="6" spans="1:30" ht="15" thickBot="1">
      <c r="A6" s="406"/>
      <c r="B6" s="407"/>
      <c r="C6" s="3236" t="s">
        <v>2544</v>
      </c>
      <c r="D6" s="3237"/>
      <c r="E6" s="3243" t="s">
        <v>2544</v>
      </c>
      <c r="F6" s="3244"/>
      <c r="G6" s="3236" t="s">
        <v>2544</v>
      </c>
      <c r="H6" s="3237"/>
      <c r="I6" s="3236" t="s">
        <v>2544</v>
      </c>
      <c r="J6" s="3237"/>
      <c r="K6" s="610" t="s">
        <v>2545</v>
      </c>
      <c r="L6" s="1130"/>
      <c r="M6" s="1131"/>
      <c r="N6" s="1131"/>
      <c r="O6" s="1131"/>
      <c r="P6" s="3228"/>
      <c r="Q6" s="3229"/>
      <c r="R6" s="3232"/>
      <c r="S6" s="3233"/>
      <c r="T6" s="3234"/>
      <c r="U6" s="3235"/>
      <c r="V6" s="3217"/>
      <c r="W6" s="3217"/>
      <c r="X6" s="1804"/>
      <c r="Y6" s="3234"/>
      <c r="Z6" s="3235"/>
      <c r="AA6" s="3220"/>
      <c r="AB6" s="3220"/>
      <c r="AC6" s="3220"/>
    </row>
    <row r="7" spans="1:30" s="117" customFormat="1" ht="15" thickBot="1">
      <c r="A7" s="408" t="s">
        <v>2546</v>
      </c>
      <c r="B7" s="409"/>
      <c r="C7" s="410">
        <f>'数据-取费表'!B2</f>
        <v>43980</v>
      </c>
      <c r="D7" s="411">
        <v>100</v>
      </c>
      <c r="E7" s="412">
        <f>土地案例!J5</f>
        <v>43704</v>
      </c>
      <c r="F7" s="413">
        <f>SUMIF(70:70,YEAR(E7)&amp;"-"&amp;INT((MONTH(E7)+2)/3),71:71)</f>
        <v>98.5</v>
      </c>
      <c r="G7" s="2689">
        <f>土地案例!J6</f>
        <v>43704</v>
      </c>
      <c r="H7" s="411">
        <f>SUMIF(70:70,YEAR(G7)&amp;"-"&amp;INT((MONTH(G7)+2)/3),71:71)</f>
        <v>98.5</v>
      </c>
      <c r="I7" s="2689">
        <f>土地案例!J7</f>
        <v>43528</v>
      </c>
      <c r="J7" s="411">
        <f>SUMIF(70:70,YEAR(I7)&amp;"-"&amp;INT((MONTH(I7)+2)/3),71:71)</f>
        <v>97.5</v>
      </c>
      <c r="K7" s="611"/>
      <c r="L7" s="1132"/>
      <c r="M7" s="1133"/>
      <c r="N7" s="1133"/>
      <c r="O7" s="1133"/>
      <c r="P7" s="3240" t="s">
        <v>2547</v>
      </c>
      <c r="Q7" s="3242"/>
      <c r="R7" s="770" t="s">
        <v>17</v>
      </c>
      <c r="S7" s="771">
        <f t="shared" ref="S7:S15" si="0">F7</f>
        <v>98.5</v>
      </c>
      <c r="T7" s="770" t="s">
        <v>17</v>
      </c>
      <c r="U7" s="771">
        <f t="shared" ref="U7:U15" si="1">H7</f>
        <v>98.5</v>
      </c>
      <c r="V7" s="770" t="s">
        <v>17</v>
      </c>
      <c r="W7" s="771">
        <f t="shared" ref="W7:W15" si="2">J7</f>
        <v>97.5</v>
      </c>
      <c r="X7" s="772"/>
      <c r="Y7" s="3240" t="s">
        <v>2547</v>
      </c>
      <c r="Z7" s="3241"/>
      <c r="AA7" s="773">
        <f>D7/F7</f>
        <v>1.015228426395939</v>
      </c>
      <c r="AB7" s="773">
        <f>D7/H7</f>
        <v>1.015228426395939</v>
      </c>
      <c r="AC7" s="773">
        <f>D7/J7</f>
        <v>1.0256410256410255</v>
      </c>
    </row>
    <row r="8" spans="1:30" s="117" customFormat="1" ht="1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2"/>
      <c r="M8" s="1133"/>
      <c r="N8" s="1133"/>
      <c r="O8" s="1133"/>
      <c r="P8" s="3240" t="s">
        <v>2550</v>
      </c>
      <c r="Q8" s="3241"/>
      <c r="R8" s="770" t="s">
        <v>17</v>
      </c>
      <c r="S8" s="771">
        <f t="shared" si="0"/>
        <v>100</v>
      </c>
      <c r="T8" s="770" t="s">
        <v>17</v>
      </c>
      <c r="U8" s="771">
        <f t="shared" si="1"/>
        <v>100</v>
      </c>
      <c r="V8" s="770" t="s">
        <v>17</v>
      </c>
      <c r="W8" s="771">
        <f t="shared" si="2"/>
        <v>100</v>
      </c>
      <c r="X8" s="772"/>
      <c r="Y8" s="3240" t="s">
        <v>2550</v>
      </c>
      <c r="Z8" s="3241"/>
      <c r="AA8" s="773">
        <f t="shared" ref="AA8:AA45" si="3">D8/F8</f>
        <v>1</v>
      </c>
      <c r="AB8" s="773">
        <f t="shared" ref="AB8:AB45" si="4">D8/H8</f>
        <v>1</v>
      </c>
      <c r="AC8" s="773">
        <f t="shared" ref="AC8:AC45" si="5">D8/J8</f>
        <v>1</v>
      </c>
    </row>
    <row r="9" spans="1:30" s="117" customFormat="1" ht="14.4">
      <c r="A9" s="415" t="s">
        <v>2551</v>
      </c>
      <c r="B9" s="71" t="s">
        <v>2552</v>
      </c>
      <c r="C9" s="2997" t="s">
        <v>3354</v>
      </c>
      <c r="D9" s="135">
        <v>100</v>
      </c>
      <c r="E9" s="2997" t="s">
        <v>3354</v>
      </c>
      <c r="F9" s="135">
        <f>SUMIF(75:75,E9,76:76)-SUMIF(75:75,C9,76:76)+100</f>
        <v>100</v>
      </c>
      <c r="G9" s="2997" t="s">
        <v>3354</v>
      </c>
      <c r="H9" s="135">
        <f>SUMIF(75:75,G9,76:76)-SUMIF(75:75,C9,76:76)+100</f>
        <v>100</v>
      </c>
      <c r="I9" s="2997" t="s">
        <v>3354</v>
      </c>
      <c r="J9" s="135">
        <f>SUMIF(75:75,I9,76:76)-SUMIF(75:75,C9,76:76)+100</f>
        <v>100</v>
      </c>
      <c r="K9" s="611"/>
      <c r="L9" s="1132"/>
      <c r="M9" s="1133"/>
      <c r="N9" s="1133"/>
      <c r="O9" s="1134"/>
      <c r="P9" s="3211"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11"/>
      <c r="Q10" s="1786" t="str">
        <f t="shared" si="6"/>
        <v>土地使用年限（年）</v>
      </c>
      <c r="R10" s="770" t="s">
        <v>17</v>
      </c>
      <c r="S10" s="771">
        <f t="shared" si="0"/>
        <v>112</v>
      </c>
      <c r="T10" s="770" t="s">
        <v>17</v>
      </c>
      <c r="U10" s="771">
        <f t="shared" si="1"/>
        <v>112</v>
      </c>
      <c r="V10" s="770" t="s">
        <v>17</v>
      </c>
      <c r="W10" s="771">
        <f t="shared" si="2"/>
        <v>112</v>
      </c>
      <c r="X10" s="772"/>
      <c r="Y10" s="3057"/>
      <c r="Z10" s="55" t="str">
        <f t="shared" si="7"/>
        <v>土地使用年限（年）</v>
      </c>
      <c r="AA10" s="773">
        <f t="shared" si="3"/>
        <v>0.8928571428571429</v>
      </c>
      <c r="AB10" s="773">
        <f t="shared" si="4"/>
        <v>0.8928571428571429</v>
      </c>
      <c r="AC10" s="773">
        <f t="shared" si="5"/>
        <v>0.8928571428571429</v>
      </c>
    </row>
    <row r="11" spans="1:30" ht="15" hidden="1">
      <c r="A11" s="428"/>
      <c r="B11" s="422" t="s">
        <v>2556</v>
      </c>
      <c r="C11" s="429"/>
      <c r="D11" s="136">
        <v>100</v>
      </c>
      <c r="E11" s="429">
        <v>1.21</v>
      </c>
      <c r="F11" s="136">
        <f>LOOKUP(E11,80:80,81:81)-LOOKUP(C11,80:80,81:81)+100</f>
        <v>100</v>
      </c>
      <c r="G11" s="430">
        <v>1.66</v>
      </c>
      <c r="H11" s="136">
        <f>LOOKUP(G11,80:80,81:81)-LOOKUP(C11,80:80,81:81)+100</f>
        <v>100</v>
      </c>
      <c r="I11" s="429">
        <v>0.83</v>
      </c>
      <c r="J11" s="136">
        <f>LOOKUP(I11,80:80,81:81)-LOOKUP(C11,80:80,81:81)+100</f>
        <v>100</v>
      </c>
      <c r="K11" s="673"/>
      <c r="L11" s="1138"/>
      <c r="M11" s="1131"/>
      <c r="N11" s="1131"/>
      <c r="O11" s="1139"/>
      <c r="P11" s="3211"/>
      <c r="Q11" s="1786" t="str">
        <f t="shared" si="6"/>
        <v>容积率</v>
      </c>
      <c r="R11" s="770" t="s">
        <v>17</v>
      </c>
      <c r="S11" s="771">
        <f t="shared" si="0"/>
        <v>100</v>
      </c>
      <c r="T11" s="770" t="s">
        <v>17</v>
      </c>
      <c r="U11" s="771">
        <f t="shared" si="1"/>
        <v>100</v>
      </c>
      <c r="V11" s="770" t="s">
        <v>17</v>
      </c>
      <c r="W11" s="771">
        <f t="shared" si="2"/>
        <v>100</v>
      </c>
      <c r="X11" s="772"/>
      <c r="Y11" s="3057"/>
      <c r="Z11" s="55" t="str">
        <f t="shared" si="7"/>
        <v>容积率</v>
      </c>
      <c r="AA11" s="773">
        <f t="shared" si="3"/>
        <v>1</v>
      </c>
      <c r="AB11" s="773">
        <f t="shared" si="4"/>
        <v>1</v>
      </c>
      <c r="AC11" s="773">
        <f t="shared" si="5"/>
        <v>1</v>
      </c>
    </row>
    <row r="12" spans="1:30" s="117" customFormat="1" ht="15" hidden="1">
      <c r="A12" s="431"/>
      <c r="B12" s="2593"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1"/>
      <c r="Q12" s="1786" t="str">
        <f t="shared" si="6"/>
        <v>配建</v>
      </c>
      <c r="R12" s="770" t="s">
        <v>17</v>
      </c>
      <c r="S12" s="771">
        <f t="shared" si="0"/>
        <v>100</v>
      </c>
      <c r="T12" s="770" t="s">
        <v>17</v>
      </c>
      <c r="U12" s="771">
        <f t="shared" si="1"/>
        <v>100</v>
      </c>
      <c r="V12" s="770" t="s">
        <v>17</v>
      </c>
      <c r="W12" s="771">
        <f t="shared" si="2"/>
        <v>100</v>
      </c>
      <c r="X12" s="772"/>
      <c r="Y12" s="3057"/>
      <c r="Z12" s="55" t="str">
        <f t="shared" si="7"/>
        <v>配建</v>
      </c>
      <c r="AA12" s="773">
        <f>D12/F12</f>
        <v>1</v>
      </c>
      <c r="AB12" s="773">
        <f>D12/H12</f>
        <v>1</v>
      </c>
      <c r="AC12" s="773">
        <f>D12/J12</f>
        <v>1</v>
      </c>
    </row>
    <row r="13" spans="1:30" ht="15" hidden="1">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786">
        <f t="shared" si="6"/>
        <v>111</v>
      </c>
      <c r="R13" s="770" t="s">
        <v>17</v>
      </c>
      <c r="S13" s="771">
        <f t="shared" si="0"/>
        <v>100</v>
      </c>
      <c r="T13" s="770" t="s">
        <v>17</v>
      </c>
      <c r="U13" s="771">
        <f t="shared" si="1"/>
        <v>100</v>
      </c>
      <c r="V13" s="770" t="s">
        <v>17</v>
      </c>
      <c r="W13" s="771">
        <f t="shared" si="2"/>
        <v>100</v>
      </c>
      <c r="X13" s="772"/>
      <c r="Y13" s="3057"/>
      <c r="Z13" s="55">
        <f t="shared" si="7"/>
        <v>111</v>
      </c>
      <c r="AA13" s="773">
        <f>D13/F13</f>
        <v>1</v>
      </c>
      <c r="AB13" s="773">
        <f>D13/H13</f>
        <v>1</v>
      </c>
      <c r="AC13" s="773">
        <f>D13/J13</f>
        <v>1</v>
      </c>
    </row>
    <row r="14" spans="1:30" ht="15.6" hidden="1"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786">
        <f t="shared" si="6"/>
        <v>111</v>
      </c>
      <c r="R14" s="770" t="s">
        <v>17</v>
      </c>
      <c r="S14" s="771">
        <f t="shared" si="0"/>
        <v>100</v>
      </c>
      <c r="T14" s="770" t="s">
        <v>17</v>
      </c>
      <c r="U14" s="771">
        <f t="shared" si="1"/>
        <v>100</v>
      </c>
      <c r="V14" s="770" t="s">
        <v>17</v>
      </c>
      <c r="W14" s="771">
        <f t="shared" si="2"/>
        <v>100</v>
      </c>
      <c r="X14" s="772"/>
      <c r="Y14" s="3057"/>
      <c r="Z14" s="55">
        <f t="shared" si="7"/>
        <v>111</v>
      </c>
      <c r="AA14" s="773">
        <f>D14/F14</f>
        <v>1</v>
      </c>
      <c r="AB14" s="773">
        <f>D14/H14</f>
        <v>1</v>
      </c>
      <c r="AC14" s="773">
        <f>D14/J14</f>
        <v>1</v>
      </c>
    </row>
    <row r="15" spans="1:30" ht="96.6" hidden="1">
      <c r="A15" s="440" t="s">
        <v>2557</v>
      </c>
      <c r="B15" s="69" t="s">
        <v>2082</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13" t="s">
        <v>2558</v>
      </c>
      <c r="Q15" s="1801" t="str">
        <f t="shared" si="6"/>
        <v>居住社区成熟度</v>
      </c>
      <c r="R15" s="774" t="s">
        <v>17</v>
      </c>
      <c r="S15" s="775">
        <f t="shared" si="0"/>
        <v>100</v>
      </c>
      <c r="T15" s="774" t="s">
        <v>17</v>
      </c>
      <c r="U15" s="775">
        <f t="shared" si="1"/>
        <v>100</v>
      </c>
      <c r="V15" s="774" t="s">
        <v>17</v>
      </c>
      <c r="W15" s="775">
        <f t="shared" si="2"/>
        <v>100</v>
      </c>
      <c r="X15" s="1804"/>
      <c r="Y15" s="3213" t="s">
        <v>2558</v>
      </c>
      <c r="Z15" s="1805" t="str">
        <f t="shared" si="7"/>
        <v>居住社区成熟度</v>
      </c>
      <c r="AA15" s="1802">
        <f t="shared" si="3"/>
        <v>1</v>
      </c>
      <c r="AB15" s="1802">
        <f t="shared" si="4"/>
        <v>1</v>
      </c>
      <c r="AC15" s="1802">
        <f t="shared" si="5"/>
        <v>1</v>
      </c>
    </row>
    <row r="16" spans="1:30" ht="15" hidden="1">
      <c r="A16" s="428"/>
      <c r="B16" s="446"/>
      <c r="C16" s="447"/>
      <c r="D16" s="448"/>
      <c r="E16" s="2598"/>
      <c r="F16" s="448"/>
      <c r="G16" s="2598"/>
      <c r="H16" s="450"/>
      <c r="I16" s="2597"/>
      <c r="J16" s="448"/>
      <c r="K16" s="672"/>
      <c r="L16" s="1140"/>
      <c r="M16" s="1131"/>
      <c r="N16" s="1131"/>
      <c r="O16" s="1139"/>
      <c r="P16" s="3214"/>
      <c r="Q16" s="1801"/>
      <c r="R16" s="774"/>
      <c r="S16" s="775"/>
      <c r="T16" s="774"/>
      <c r="U16" s="775"/>
      <c r="V16" s="774"/>
      <c r="W16" s="775"/>
      <c r="X16" s="1804"/>
      <c r="Y16" s="3214"/>
      <c r="Z16" s="1805"/>
      <c r="AA16" s="1802">
        <v>1</v>
      </c>
      <c r="AB16" s="1802">
        <v>1</v>
      </c>
      <c r="AC16" s="1802">
        <v>1</v>
      </c>
    </row>
    <row r="17" spans="1:29" ht="82.8" hidden="1">
      <c r="A17" s="428"/>
      <c r="B17" s="451" t="s">
        <v>2651</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1</v>
      </c>
      <c r="L17" s="1140"/>
      <c r="M17" s="1131"/>
      <c r="N17" s="1131"/>
      <c r="O17" s="1139"/>
      <c r="P17" s="3214"/>
      <c r="Q17" s="1801" t="str">
        <f>B17</f>
        <v>商业繁华度</v>
      </c>
      <c r="R17" s="774" t="s">
        <v>17</v>
      </c>
      <c r="S17" s="775">
        <f>F17</f>
        <v>100</v>
      </c>
      <c r="T17" s="774" t="s">
        <v>17</v>
      </c>
      <c r="U17" s="775">
        <f>H17</f>
        <v>100</v>
      </c>
      <c r="V17" s="774" t="s">
        <v>17</v>
      </c>
      <c r="W17" s="775">
        <f>J17</f>
        <v>100</v>
      </c>
      <c r="X17" s="1804"/>
      <c r="Y17" s="3214"/>
      <c r="Z17" s="1805" t="str">
        <f>Q17</f>
        <v>商业繁华度</v>
      </c>
      <c r="AA17" s="1802">
        <f t="shared" si="3"/>
        <v>1</v>
      </c>
      <c r="AB17" s="1802">
        <f t="shared" si="4"/>
        <v>1</v>
      </c>
      <c r="AC17" s="1802">
        <f t="shared" si="5"/>
        <v>1</v>
      </c>
    </row>
    <row r="18" spans="1:29" ht="15" hidden="1">
      <c r="A18" s="428"/>
      <c r="B18" s="456"/>
      <c r="C18" s="2601" t="s">
        <v>3198</v>
      </c>
      <c r="D18" s="450"/>
      <c r="E18" s="2601" t="s">
        <v>3198</v>
      </c>
      <c r="F18" s="450"/>
      <c r="G18" s="2601" t="s">
        <v>3198</v>
      </c>
      <c r="H18" s="448"/>
      <c r="I18" s="2601" t="s">
        <v>3198</v>
      </c>
      <c r="J18" s="448"/>
      <c r="K18" s="672"/>
      <c r="L18" s="1140"/>
      <c r="M18" s="1131"/>
      <c r="N18" s="1131"/>
      <c r="O18" s="1139"/>
      <c r="P18" s="3214"/>
      <c r="Q18" s="1801"/>
      <c r="R18" s="774"/>
      <c r="S18" s="775"/>
      <c r="T18" s="774"/>
      <c r="U18" s="775"/>
      <c r="V18" s="774"/>
      <c r="W18" s="775"/>
      <c r="X18" s="1804"/>
      <c r="Y18" s="3214"/>
      <c r="Z18" s="1805"/>
      <c r="AA18" s="1802">
        <v>1</v>
      </c>
      <c r="AB18" s="1802">
        <v>1</v>
      </c>
      <c r="AC18" s="1802">
        <v>1</v>
      </c>
    </row>
    <row r="19" spans="1:29" ht="82.8">
      <c r="A19" s="428"/>
      <c r="B19" s="451" t="s">
        <v>2685</v>
      </c>
      <c r="C19" s="2657"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100</v>
      </c>
      <c r="K19" s="673">
        <v>2</v>
      </c>
      <c r="L19" s="1140"/>
      <c r="M19" s="1131"/>
      <c r="N19" s="1131"/>
      <c r="O19" s="1139"/>
      <c r="P19" s="3214"/>
      <c r="Q19" s="1801" t="str">
        <f>B19</f>
        <v>办公集聚程度</v>
      </c>
      <c r="R19" s="774" t="s">
        <v>17</v>
      </c>
      <c r="S19" s="775">
        <f>F19</f>
        <v>102</v>
      </c>
      <c r="T19" s="774" t="s">
        <v>17</v>
      </c>
      <c r="U19" s="775">
        <f>H19</f>
        <v>102</v>
      </c>
      <c r="V19" s="774" t="s">
        <v>17</v>
      </c>
      <c r="W19" s="775">
        <f>J19</f>
        <v>100</v>
      </c>
      <c r="X19" s="1804"/>
      <c r="Y19" s="3214"/>
      <c r="Z19" s="1805" t="str">
        <f>Q19</f>
        <v>办公集聚程度</v>
      </c>
      <c r="AA19" s="1802">
        <f t="shared" si="3"/>
        <v>0.98039215686274506</v>
      </c>
      <c r="AB19" s="1802">
        <f t="shared" si="4"/>
        <v>0.98039215686274506</v>
      </c>
      <c r="AC19" s="1802">
        <f t="shared" si="5"/>
        <v>1</v>
      </c>
    </row>
    <row r="20" spans="1:29" ht="15">
      <c r="A20" s="428"/>
      <c r="B20" s="456"/>
      <c r="C20" s="447" t="s">
        <v>3198</v>
      </c>
      <c r="D20" s="448"/>
      <c r="E20" s="447" t="s">
        <v>3197</v>
      </c>
      <c r="F20" s="448"/>
      <c r="G20" s="447" t="s">
        <v>3197</v>
      </c>
      <c r="H20" s="448"/>
      <c r="I20" s="447" t="s">
        <v>3198</v>
      </c>
      <c r="J20" s="448"/>
      <c r="K20" s="672"/>
      <c r="L20" s="1140"/>
      <c r="M20" s="1131"/>
      <c r="N20" s="1131"/>
      <c r="O20" s="1139"/>
      <c r="P20" s="3214"/>
      <c r="Q20" s="1801"/>
      <c r="R20" s="774"/>
      <c r="S20" s="775"/>
      <c r="T20" s="774"/>
      <c r="U20" s="775"/>
      <c r="V20" s="774"/>
      <c r="W20" s="775"/>
      <c r="X20" s="1804"/>
      <c r="Y20" s="3214"/>
      <c r="Z20" s="1805"/>
      <c r="AA20" s="1802">
        <v>1</v>
      </c>
      <c r="AB20" s="1802">
        <v>1</v>
      </c>
      <c r="AC20" s="1802">
        <v>1</v>
      </c>
    </row>
    <row r="21" spans="1:29" ht="96.6">
      <c r="A21" s="428"/>
      <c r="B21" s="451" t="s">
        <v>2707</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14"/>
      <c r="Q21" s="1801" t="str">
        <f>B21</f>
        <v>交通便捷度</v>
      </c>
      <c r="R21" s="774" t="s">
        <v>17</v>
      </c>
      <c r="S21" s="775">
        <f>F21</f>
        <v>100</v>
      </c>
      <c r="T21" s="774" t="s">
        <v>17</v>
      </c>
      <c r="U21" s="775">
        <f>H21</f>
        <v>100</v>
      </c>
      <c r="V21" s="774" t="s">
        <v>17</v>
      </c>
      <c r="W21" s="775">
        <f>J21</f>
        <v>100</v>
      </c>
      <c r="X21" s="1804"/>
      <c r="Y21" s="3214"/>
      <c r="Z21" s="1805" t="str">
        <f>Q21</f>
        <v>交通便捷度</v>
      </c>
      <c r="AA21" s="1802">
        <f t="shared" si="3"/>
        <v>1</v>
      </c>
      <c r="AB21" s="1802">
        <f t="shared" si="4"/>
        <v>1</v>
      </c>
      <c r="AC21" s="1802">
        <f t="shared" si="5"/>
        <v>1</v>
      </c>
    </row>
    <row r="22" spans="1:29" ht="15">
      <c r="A22" s="428"/>
      <c r="B22" s="1384"/>
      <c r="C22" s="447" t="s">
        <v>3198</v>
      </c>
      <c r="D22" s="450"/>
      <c r="E22" s="447" t="s">
        <v>3198</v>
      </c>
      <c r="F22" s="448"/>
      <c r="G22" s="447" t="s">
        <v>3198</v>
      </c>
      <c r="H22" s="448"/>
      <c r="I22" s="447" t="s">
        <v>3198</v>
      </c>
      <c r="J22" s="448"/>
      <c r="K22" s="672"/>
      <c r="L22" s="1140"/>
      <c r="M22" s="1131"/>
      <c r="N22" s="1131"/>
      <c r="O22" s="1139"/>
      <c r="P22" s="3214"/>
      <c r="Q22" s="1801"/>
      <c r="R22" s="774"/>
      <c r="S22" s="775"/>
      <c r="T22" s="774"/>
      <c r="U22" s="775"/>
      <c r="V22" s="774"/>
      <c r="W22" s="775"/>
      <c r="X22" s="1804"/>
      <c r="Y22" s="3214"/>
      <c r="Z22" s="1805"/>
      <c r="AA22" s="1802">
        <v>1</v>
      </c>
      <c r="AB22" s="1802">
        <v>1</v>
      </c>
      <c r="AC22" s="1802">
        <v>1</v>
      </c>
    </row>
    <row r="23" spans="1:29" ht="28.8">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4"/>
      <c r="Q23" s="1801" t="str">
        <f t="shared" ref="Q23:Q37" si="8">B23</f>
        <v>区域土地利用方向</v>
      </c>
      <c r="R23" s="774" t="s">
        <v>17</v>
      </c>
      <c r="S23" s="775">
        <f>F23</f>
        <v>100</v>
      </c>
      <c r="T23" s="774" t="s">
        <v>17</v>
      </c>
      <c r="U23" s="775">
        <f>H23</f>
        <v>100</v>
      </c>
      <c r="V23" s="774" t="s">
        <v>17</v>
      </c>
      <c r="W23" s="775">
        <f>J23</f>
        <v>100</v>
      </c>
      <c r="X23" s="1804"/>
      <c r="Y23" s="3214"/>
      <c r="Z23" s="1805" t="str">
        <f>Q23</f>
        <v>区域土地利用方向</v>
      </c>
      <c r="AA23" s="1802">
        <f t="shared" si="3"/>
        <v>1</v>
      </c>
      <c r="AB23" s="1802">
        <f t="shared" si="4"/>
        <v>1</v>
      </c>
      <c r="AC23" s="1802">
        <f t="shared" si="5"/>
        <v>1</v>
      </c>
    </row>
    <row r="24" spans="1:29" ht="15">
      <c r="A24" s="404"/>
      <c r="B24" s="456"/>
      <c r="C24" s="616" t="s">
        <v>3197</v>
      </c>
      <c r="D24" s="448"/>
      <c r="E24" s="616" t="s">
        <v>3197</v>
      </c>
      <c r="F24" s="448"/>
      <c r="G24" s="616" t="s">
        <v>3197</v>
      </c>
      <c r="H24" s="448"/>
      <c r="I24" s="616" t="s">
        <v>3197</v>
      </c>
      <c r="J24" s="448"/>
      <c r="K24" s="812"/>
      <c r="L24" s="1140"/>
      <c r="M24" s="1131"/>
      <c r="N24" s="1131"/>
      <c r="O24" s="1139"/>
      <c r="P24" s="3214"/>
      <c r="Q24" s="1801"/>
      <c r="R24" s="774"/>
      <c r="S24" s="775"/>
      <c r="T24" s="774"/>
      <c r="U24" s="775"/>
      <c r="V24" s="774"/>
      <c r="W24" s="775"/>
      <c r="X24" s="1804"/>
      <c r="Y24" s="3214"/>
      <c r="Z24" s="1805"/>
      <c r="AA24" s="1802"/>
      <c r="AB24" s="1802"/>
      <c r="AC24" s="1802"/>
    </row>
    <row r="25" spans="1:29" ht="55.2">
      <c r="A25" s="404"/>
      <c r="B25" s="1384" t="s">
        <v>2747</v>
      </c>
      <c r="C25" s="2657"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14"/>
      <c r="Q25" s="1801" t="str">
        <f t="shared" si="8"/>
        <v>自然及人文环境状况</v>
      </c>
      <c r="R25" s="774" t="s">
        <v>17</v>
      </c>
      <c r="S25" s="775">
        <f>F25</f>
        <v>102</v>
      </c>
      <c r="T25" s="774" t="s">
        <v>17</v>
      </c>
      <c r="U25" s="775">
        <f>H25</f>
        <v>102</v>
      </c>
      <c r="V25" s="774" t="s">
        <v>17</v>
      </c>
      <c r="W25" s="775">
        <f>J25</f>
        <v>102</v>
      </c>
      <c r="X25" s="1804"/>
      <c r="Y25" s="3214"/>
      <c r="Z25" s="1805" t="str">
        <f>Q25</f>
        <v>自然及人文环境状况</v>
      </c>
      <c r="AA25" s="1802">
        <f t="shared" si="3"/>
        <v>0.98039215686274506</v>
      </c>
      <c r="AB25" s="1802">
        <f t="shared" si="4"/>
        <v>0.98039215686274506</v>
      </c>
      <c r="AC25" s="1802">
        <f t="shared" si="5"/>
        <v>0.98039215686274506</v>
      </c>
    </row>
    <row r="26" spans="1:29" ht="15">
      <c r="A26" s="404"/>
      <c r="B26" s="456"/>
      <c r="C26" s="447" t="s">
        <v>3198</v>
      </c>
      <c r="D26" s="448"/>
      <c r="E26" s="2604" t="s">
        <v>3197</v>
      </c>
      <c r="F26" s="448"/>
      <c r="G26" s="2604" t="s">
        <v>3197</v>
      </c>
      <c r="H26" s="448"/>
      <c r="I26" s="2604" t="s">
        <v>3197</v>
      </c>
      <c r="J26" s="448"/>
      <c r="K26" s="672"/>
      <c r="L26" s="1140"/>
      <c r="M26" s="1131"/>
      <c r="N26" s="1131"/>
      <c r="O26" s="1139"/>
      <c r="P26" s="3214"/>
      <c r="Q26" s="1801"/>
      <c r="R26" s="774"/>
      <c r="S26" s="775"/>
      <c r="T26" s="774"/>
      <c r="U26" s="775"/>
      <c r="V26" s="774"/>
      <c r="W26" s="775"/>
      <c r="X26" s="1804"/>
      <c r="Y26" s="3214"/>
      <c r="Z26" s="1805"/>
      <c r="AA26" s="1802">
        <v>1</v>
      </c>
      <c r="AB26" s="1802">
        <v>1</v>
      </c>
      <c r="AC26" s="1802">
        <v>1</v>
      </c>
    </row>
    <row r="27" spans="1:29" s="117" customFormat="1" ht="41.4">
      <c r="A27" s="649"/>
      <c r="B27" s="1384" t="s">
        <v>2652</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14"/>
      <c r="Q27" s="1786" t="str">
        <f t="shared" si="8"/>
        <v>公共配套设施</v>
      </c>
      <c r="R27" s="770" t="s">
        <v>17</v>
      </c>
      <c r="S27" s="771">
        <f>F27</f>
        <v>100</v>
      </c>
      <c r="T27" s="770" t="s">
        <v>17</v>
      </c>
      <c r="U27" s="771">
        <f>H27</f>
        <v>100</v>
      </c>
      <c r="V27" s="770" t="s">
        <v>17</v>
      </c>
      <c r="W27" s="771">
        <f>J27</f>
        <v>100</v>
      </c>
      <c r="X27" s="772"/>
      <c r="Y27" s="3214"/>
      <c r="Z27" s="55" t="str">
        <f>Q27</f>
        <v>公共配套设施</v>
      </c>
      <c r="AA27" s="1802">
        <f>D27/F27</f>
        <v>1</v>
      </c>
      <c r="AB27" s="1802">
        <f>D27/H27</f>
        <v>1</v>
      </c>
      <c r="AC27" s="1802">
        <f>D27/J27</f>
        <v>1</v>
      </c>
    </row>
    <row r="28" spans="1:29" s="117" customFormat="1" ht="15">
      <c r="A28" s="649"/>
      <c r="B28" s="456"/>
      <c r="C28" s="2693" t="s">
        <v>3198</v>
      </c>
      <c r="D28" s="448"/>
      <c r="E28" s="2693" t="s">
        <v>3198</v>
      </c>
      <c r="F28" s="448"/>
      <c r="G28" s="2693" t="s">
        <v>3198</v>
      </c>
      <c r="H28" s="448"/>
      <c r="I28" s="2693" t="s">
        <v>3198</v>
      </c>
      <c r="J28" s="448"/>
      <c r="K28" s="672"/>
      <c r="L28" s="1132"/>
      <c r="M28" s="1133"/>
      <c r="N28" s="1133"/>
      <c r="O28" s="1134"/>
      <c r="P28" s="3214"/>
      <c r="Q28" s="1786"/>
      <c r="R28" s="770"/>
      <c r="S28" s="771"/>
      <c r="T28" s="770"/>
      <c r="U28" s="771"/>
      <c r="V28" s="770"/>
      <c r="W28" s="771"/>
      <c r="X28" s="772"/>
      <c r="Y28" s="3214"/>
      <c r="Z28" s="55"/>
      <c r="AA28" s="1802">
        <v>1</v>
      </c>
      <c r="AB28" s="1802">
        <v>1</v>
      </c>
      <c r="AC28" s="1802">
        <v>1</v>
      </c>
    </row>
    <row r="29" spans="1:29" s="117" customFormat="1" ht="41.4">
      <c r="A29" s="649"/>
      <c r="B29" s="1384" t="s">
        <v>2653</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4"/>
      <c r="Q29" s="1786" t="str">
        <f t="shared" ref="Q29" si="9">B29</f>
        <v>基础设施水平</v>
      </c>
      <c r="R29" s="770" t="s">
        <v>17</v>
      </c>
      <c r="S29" s="771">
        <f>F29</f>
        <v>100</v>
      </c>
      <c r="T29" s="770" t="s">
        <v>17</v>
      </c>
      <c r="U29" s="771">
        <f>H29</f>
        <v>100</v>
      </c>
      <c r="V29" s="770" t="s">
        <v>17</v>
      </c>
      <c r="W29" s="771">
        <f>J29</f>
        <v>100</v>
      </c>
      <c r="X29" s="772"/>
      <c r="Y29" s="3214"/>
      <c r="Z29" s="55" t="str">
        <f>Q29</f>
        <v>基础设施水平</v>
      </c>
      <c r="AA29" s="1802">
        <f>D29/F29</f>
        <v>1</v>
      </c>
      <c r="AB29" s="1802">
        <f>D29/H29</f>
        <v>1</v>
      </c>
      <c r="AC29" s="1802">
        <f>D29/J29</f>
        <v>1</v>
      </c>
    </row>
    <row r="30" spans="1:29" s="117" customFormat="1" ht="15.6" thickBot="1">
      <c r="A30" s="649"/>
      <c r="B30" s="456"/>
      <c r="C30" s="2693" t="s">
        <v>3162</v>
      </c>
      <c r="D30" s="448"/>
      <c r="E30" s="2693" t="s">
        <v>3162</v>
      </c>
      <c r="F30" s="448"/>
      <c r="G30" s="2693" t="s">
        <v>3162</v>
      </c>
      <c r="H30" s="448"/>
      <c r="I30" s="2693" t="s">
        <v>3162</v>
      </c>
      <c r="J30" s="448"/>
      <c r="K30" s="672"/>
      <c r="L30" s="1132"/>
      <c r="M30" s="1133"/>
      <c r="N30" s="1133"/>
      <c r="O30" s="1134"/>
      <c r="P30" s="3214"/>
      <c r="Q30" s="1786"/>
      <c r="R30" s="770"/>
      <c r="S30" s="771"/>
      <c r="T30" s="770"/>
      <c r="U30" s="771"/>
      <c r="V30" s="770"/>
      <c r="W30" s="771"/>
      <c r="X30" s="772"/>
      <c r="Y30" s="3214"/>
      <c r="Z30" s="55"/>
      <c r="AA30" s="1802">
        <v>1</v>
      </c>
      <c r="AB30" s="1802">
        <v>1</v>
      </c>
      <c r="AC30" s="1802">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4"/>
      <c r="Q31" s="1801" t="str">
        <f t="shared" si="8"/>
        <v>临街状况</v>
      </c>
      <c r="R31" s="774" t="s">
        <v>17</v>
      </c>
      <c r="S31" s="775">
        <f t="shared" ref="S31:S45" si="10">F31</f>
        <v>100</v>
      </c>
      <c r="T31" s="774" t="s">
        <v>17</v>
      </c>
      <c r="U31" s="775">
        <f t="shared" ref="U31:U45" si="11">H31</f>
        <v>100</v>
      </c>
      <c r="V31" s="774" t="s">
        <v>17</v>
      </c>
      <c r="W31" s="775">
        <f t="shared" ref="W31:W45" si="12">J31</f>
        <v>100</v>
      </c>
      <c r="X31" s="1804"/>
      <c r="Y31" s="3214"/>
      <c r="Z31" s="1805" t="str">
        <f t="shared" ref="Z31:Z45" si="13">Q31</f>
        <v>临街状况</v>
      </c>
      <c r="AA31" s="1802">
        <f t="shared" si="3"/>
        <v>1</v>
      </c>
      <c r="AB31" s="1802">
        <f t="shared" si="4"/>
        <v>1</v>
      </c>
      <c r="AC31" s="1802">
        <f t="shared" si="5"/>
        <v>1</v>
      </c>
    </row>
    <row r="32" spans="1:29" ht="28.8"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4"/>
      <c r="Q32" s="1801" t="str">
        <f t="shared" si="8"/>
        <v>毗邻道路的类型与等级</v>
      </c>
      <c r="R32" s="774" t="s">
        <v>17</v>
      </c>
      <c r="S32" s="775">
        <f t="shared" si="10"/>
        <v>100</v>
      </c>
      <c r="T32" s="774" t="s">
        <v>17</v>
      </c>
      <c r="U32" s="775">
        <f t="shared" si="11"/>
        <v>100</v>
      </c>
      <c r="V32" s="774" t="s">
        <v>17</v>
      </c>
      <c r="W32" s="775">
        <f t="shared" si="12"/>
        <v>100</v>
      </c>
      <c r="X32" s="1804"/>
      <c r="Y32" s="3214"/>
      <c r="Z32" s="1805" t="str">
        <f t="shared" si="13"/>
        <v>毗邻道路的类型与等级</v>
      </c>
      <c r="AA32" s="1802">
        <f t="shared" si="3"/>
        <v>1</v>
      </c>
      <c r="AB32" s="1802">
        <f t="shared" si="4"/>
        <v>1</v>
      </c>
      <c r="AC32" s="1802">
        <f t="shared" si="5"/>
        <v>1</v>
      </c>
    </row>
    <row r="33" spans="1:29" ht="15" hidden="1">
      <c r="A33" s="428"/>
      <c r="B33" s="456"/>
      <c r="C33" s="447"/>
      <c r="D33" s="448"/>
      <c r="E33" s="2604"/>
      <c r="F33" s="448"/>
      <c r="G33" s="2604"/>
      <c r="H33" s="448"/>
      <c r="I33" s="447"/>
      <c r="J33" s="448"/>
      <c r="K33" s="613"/>
      <c r="L33" s="1140"/>
      <c r="M33" s="1131"/>
      <c r="N33" s="1131"/>
      <c r="O33" s="1139"/>
      <c r="P33" s="3214"/>
      <c r="Q33" s="1801"/>
      <c r="R33" s="774"/>
      <c r="S33" s="775"/>
      <c r="T33" s="774"/>
      <c r="U33" s="775"/>
      <c r="V33" s="774"/>
      <c r="W33" s="775"/>
      <c r="X33" s="1804"/>
      <c r="Y33" s="3214"/>
      <c r="Z33" s="1805"/>
      <c r="AA33" s="1802">
        <v>1</v>
      </c>
      <c r="AB33" s="1802">
        <v>1</v>
      </c>
      <c r="AC33" s="1802">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801" t="str">
        <f t="shared" si="8"/>
        <v>土地级别</v>
      </c>
      <c r="R34" s="774" t="s">
        <v>17</v>
      </c>
      <c r="S34" s="775">
        <f t="shared" si="10"/>
        <v>100</v>
      </c>
      <c r="T34" s="774" t="s">
        <v>17</v>
      </c>
      <c r="U34" s="775">
        <f t="shared" si="11"/>
        <v>100</v>
      </c>
      <c r="V34" s="774" t="s">
        <v>17</v>
      </c>
      <c r="W34" s="775">
        <f t="shared" si="12"/>
        <v>100</v>
      </c>
      <c r="X34" s="1804"/>
      <c r="Y34" s="3214"/>
      <c r="Z34" s="1805" t="str">
        <f t="shared" si="13"/>
        <v>土地级别</v>
      </c>
      <c r="AA34" s="1802">
        <f t="shared" si="3"/>
        <v>1</v>
      </c>
      <c r="AB34" s="1802">
        <f t="shared" si="4"/>
        <v>1</v>
      </c>
      <c r="AC34" s="1802">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01">
        <f t="shared" si="8"/>
        <v>111</v>
      </c>
      <c r="R35" s="774" t="s">
        <v>17</v>
      </c>
      <c r="S35" s="775">
        <f t="shared" si="10"/>
        <v>100</v>
      </c>
      <c r="T35" s="774" t="s">
        <v>17</v>
      </c>
      <c r="U35" s="775">
        <f t="shared" si="11"/>
        <v>100</v>
      </c>
      <c r="V35" s="774" t="s">
        <v>17</v>
      </c>
      <c r="W35" s="775">
        <f t="shared" si="12"/>
        <v>100</v>
      </c>
      <c r="X35" s="1804"/>
      <c r="Y35" s="3214"/>
      <c r="Z35" s="1805">
        <f t="shared" si="13"/>
        <v>111</v>
      </c>
      <c r="AA35" s="1802">
        <f t="shared" si="3"/>
        <v>1</v>
      </c>
      <c r="AB35" s="1802">
        <f t="shared" si="4"/>
        <v>1</v>
      </c>
      <c r="AC35" s="1802">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5" t="s">
        <v>2563</v>
      </c>
      <c r="Q36" s="1801">
        <f t="shared" si="8"/>
        <v>111</v>
      </c>
      <c r="R36" s="774" t="s">
        <v>17</v>
      </c>
      <c r="S36" s="775">
        <f t="shared" si="10"/>
        <v>100</v>
      </c>
      <c r="T36" s="774" t="s">
        <v>17</v>
      </c>
      <c r="U36" s="775">
        <f t="shared" si="11"/>
        <v>100</v>
      </c>
      <c r="V36" s="774" t="s">
        <v>17</v>
      </c>
      <c r="W36" s="775">
        <f t="shared" si="12"/>
        <v>100</v>
      </c>
      <c r="X36" s="1804"/>
      <c r="Y36" s="3216" t="s">
        <v>2563</v>
      </c>
      <c r="Z36" s="1805">
        <f t="shared" si="13"/>
        <v>111</v>
      </c>
      <c r="AA36" s="1802">
        <f t="shared" si="3"/>
        <v>1</v>
      </c>
      <c r="AB36" s="1802">
        <f t="shared" si="4"/>
        <v>1</v>
      </c>
      <c r="AC36" s="1802">
        <f t="shared" si="5"/>
        <v>1</v>
      </c>
    </row>
    <row r="37" spans="1:29" s="471" customFormat="1" ht="15.6"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01">
        <f t="shared" si="8"/>
        <v>111</v>
      </c>
      <c r="R37" s="777" t="s">
        <v>17</v>
      </c>
      <c r="S37" s="778">
        <f t="shared" si="10"/>
        <v>100</v>
      </c>
      <c r="T37" s="777" t="s">
        <v>17</v>
      </c>
      <c r="U37" s="778">
        <f t="shared" si="11"/>
        <v>100</v>
      </c>
      <c r="V37" s="777" t="s">
        <v>17</v>
      </c>
      <c r="W37" s="778">
        <f t="shared" si="12"/>
        <v>100</v>
      </c>
      <c r="X37" s="779"/>
      <c r="Y37" s="3216"/>
      <c r="Z37" s="780">
        <f t="shared" si="13"/>
        <v>111</v>
      </c>
      <c r="AA37" s="1802">
        <f t="shared" si="3"/>
        <v>1</v>
      </c>
      <c r="AB37" s="1802">
        <f t="shared" si="4"/>
        <v>1</v>
      </c>
      <c r="AC37" s="1802">
        <f t="shared" si="5"/>
        <v>1</v>
      </c>
    </row>
    <row r="38" spans="1:29" ht="15.6">
      <c r="A38" s="472" t="s">
        <v>2561</v>
      </c>
      <c r="B38" s="456" t="s">
        <v>2749</v>
      </c>
      <c r="C38" s="679">
        <v>10609</v>
      </c>
      <c r="D38" s="467">
        <v>100</v>
      </c>
      <c r="E38" s="679">
        <f>土地案例!G5</f>
        <v>3900</v>
      </c>
      <c r="F38" s="467">
        <f>LOOKUP(E38,117:117,118:118)-LOOKUP(C38,117:117,118:118)+100</f>
        <v>99</v>
      </c>
      <c r="G38" s="679">
        <f>土地案例!G6</f>
        <v>6500</v>
      </c>
      <c r="H38" s="467">
        <f>LOOKUP(G38,117:117,118:118)-LOOKUP(C38,117:117,118:118)+100</f>
        <v>99</v>
      </c>
      <c r="I38" s="530">
        <f>土地案例!G7</f>
        <v>4865</v>
      </c>
      <c r="J38" s="467">
        <f>LOOKUP(I38,117:117,118:118)-LOOKUP(C38,117:117,118:118)+100</f>
        <v>99</v>
      </c>
      <c r="K38" s="613"/>
      <c r="L38" s="1140"/>
      <c r="M38" s="1131"/>
      <c r="N38" s="1131"/>
      <c r="O38" s="1139"/>
      <c r="P38" s="3216"/>
      <c r="Q38" s="1801" t="str">
        <f>B38</f>
        <v>宗地面积</v>
      </c>
      <c r="R38" s="774" t="s">
        <v>17</v>
      </c>
      <c r="S38" s="775">
        <f t="shared" si="10"/>
        <v>99</v>
      </c>
      <c r="T38" s="774" t="s">
        <v>17</v>
      </c>
      <c r="U38" s="775">
        <f t="shared" si="11"/>
        <v>99</v>
      </c>
      <c r="V38" s="774" t="s">
        <v>17</v>
      </c>
      <c r="W38" s="775">
        <f t="shared" si="12"/>
        <v>99</v>
      </c>
      <c r="X38" s="1804"/>
      <c r="Y38" s="3216"/>
      <c r="Z38" s="1805" t="str">
        <f t="shared" si="13"/>
        <v>宗地面积</v>
      </c>
      <c r="AA38" s="1802">
        <f t="shared" si="3"/>
        <v>1.0101010101010102</v>
      </c>
      <c r="AB38" s="1802">
        <f t="shared" si="4"/>
        <v>1.0101010101010102</v>
      </c>
      <c r="AC38" s="1802">
        <f t="shared" si="5"/>
        <v>1.0101010101010102</v>
      </c>
    </row>
    <row r="39" spans="1:29" ht="15">
      <c r="A39" s="472"/>
      <c r="B39" s="422" t="s">
        <v>2750</v>
      </c>
      <c r="C39" s="2606" t="s">
        <v>3655</v>
      </c>
      <c r="D39" s="435">
        <v>100</v>
      </c>
      <c r="E39" s="2606" t="s">
        <v>3655</v>
      </c>
      <c r="F39" s="435">
        <f>SUMIF(119:119,E39,120:120)-SUMIF(119:119,C39,120:120)+100</f>
        <v>100</v>
      </c>
      <c r="G39" s="2606" t="s">
        <v>3655</v>
      </c>
      <c r="H39" s="435">
        <f>SUMIF(119:119,G39,120:120)-SUMIF(119:119,C39,120:120)+100</f>
        <v>100</v>
      </c>
      <c r="I39" s="2606" t="s">
        <v>3655</v>
      </c>
      <c r="J39" s="435">
        <f>SUMIF(119:119,I39,120:120)-SUMIF(119:119,C39,120:120)+100</f>
        <v>100</v>
      </c>
      <c r="K39" s="612">
        <v>2</v>
      </c>
      <c r="L39" s="1140"/>
      <c r="M39" s="1131"/>
      <c r="N39" s="1131"/>
      <c r="O39" s="1139"/>
      <c r="P39" s="3216"/>
      <c r="Q39" s="1801" t="str">
        <f t="shared" ref="Q39:Q45" si="14">B39</f>
        <v>宗地形状</v>
      </c>
      <c r="R39" s="774" t="s">
        <v>17</v>
      </c>
      <c r="S39" s="775">
        <f t="shared" si="10"/>
        <v>100</v>
      </c>
      <c r="T39" s="774" t="s">
        <v>17</v>
      </c>
      <c r="U39" s="775">
        <f t="shared" si="11"/>
        <v>100</v>
      </c>
      <c r="V39" s="774" t="s">
        <v>17</v>
      </c>
      <c r="W39" s="775">
        <f t="shared" si="12"/>
        <v>100</v>
      </c>
      <c r="X39" s="1804"/>
      <c r="Y39" s="3216"/>
      <c r="Z39" s="1805" t="str">
        <f t="shared" si="13"/>
        <v>宗地形状</v>
      </c>
      <c r="AA39" s="1802">
        <f t="shared" si="3"/>
        <v>1</v>
      </c>
      <c r="AB39" s="1802">
        <f t="shared" si="4"/>
        <v>1</v>
      </c>
      <c r="AC39" s="1802">
        <f t="shared" si="5"/>
        <v>1</v>
      </c>
    </row>
    <row r="40" spans="1:29" ht="15">
      <c r="A40" s="472"/>
      <c r="B40" s="422" t="s">
        <v>2751</v>
      </c>
      <c r="C40" s="2606" t="s">
        <v>3168</v>
      </c>
      <c r="D40" s="435">
        <v>100</v>
      </c>
      <c r="E40" s="2606" t="s">
        <v>3168</v>
      </c>
      <c r="F40" s="435">
        <f>SUMIF(121:121,E40,122:122)-SUMIF(121:121,C40,122:122)+100</f>
        <v>100</v>
      </c>
      <c r="G40" s="2606" t="s">
        <v>3168</v>
      </c>
      <c r="H40" s="435">
        <f>SUMIF(121:121,G40,122:122)-SUMIF(121:121,C40,122:122)+100</f>
        <v>100</v>
      </c>
      <c r="I40" s="2606" t="s">
        <v>3168</v>
      </c>
      <c r="J40" s="435">
        <f>SUMIF(121:121,I40,122:122)-SUMIF(121:121,C40,122:122)+100</f>
        <v>100</v>
      </c>
      <c r="K40" s="612">
        <v>2</v>
      </c>
      <c r="L40" s="1140"/>
      <c r="M40" s="1131"/>
      <c r="N40" s="1131"/>
      <c r="O40" s="1139"/>
      <c r="P40" s="3216"/>
      <c r="Q40" s="1801" t="str">
        <f t="shared" si="14"/>
        <v>临街宽度及深度</v>
      </c>
      <c r="R40" s="774" t="s">
        <v>17</v>
      </c>
      <c r="S40" s="775">
        <f t="shared" si="10"/>
        <v>100</v>
      </c>
      <c r="T40" s="774" t="s">
        <v>17</v>
      </c>
      <c r="U40" s="775">
        <f t="shared" si="11"/>
        <v>100</v>
      </c>
      <c r="V40" s="774" t="s">
        <v>17</v>
      </c>
      <c r="W40" s="775">
        <f t="shared" si="12"/>
        <v>100</v>
      </c>
      <c r="X40" s="1804"/>
      <c r="Y40" s="3216"/>
      <c r="Z40" s="1805" t="str">
        <f t="shared" si="13"/>
        <v>临街宽度及深度</v>
      </c>
      <c r="AA40" s="1802">
        <f t="shared" si="3"/>
        <v>1</v>
      </c>
      <c r="AB40" s="1802">
        <f t="shared" si="4"/>
        <v>1</v>
      </c>
      <c r="AC40" s="1802">
        <f t="shared" si="5"/>
        <v>1</v>
      </c>
    </row>
    <row r="41" spans="1:29" s="117" customFormat="1" ht="15">
      <c r="A41" s="473"/>
      <c r="B41" s="422" t="s">
        <v>2752</v>
      </c>
      <c r="C41" s="2695" t="s">
        <v>3162</v>
      </c>
      <c r="D41" s="136">
        <v>100</v>
      </c>
      <c r="E41" s="2695" t="s">
        <v>3162</v>
      </c>
      <c r="F41" s="435">
        <f>SUMIF(123:123,E41,124:124)-SUMIF(123:123,C41,124:124)+100</f>
        <v>100</v>
      </c>
      <c r="G41" s="2695" t="s">
        <v>3162</v>
      </c>
      <c r="H41" s="435">
        <f>SUMIF(123:123,G41,124:124)-SUMIF(123:123,C41,124:124)+100</f>
        <v>100</v>
      </c>
      <c r="I41" s="2695" t="s">
        <v>3162</v>
      </c>
      <c r="J41" s="435">
        <f>SUMIF(123:123,I41,124:124)-SUMIF(123:123,C41,124:124)+100</f>
        <v>100</v>
      </c>
      <c r="K41" s="612">
        <v>2</v>
      </c>
      <c r="L41" s="1132"/>
      <c r="M41" s="1133"/>
      <c r="N41" s="1133"/>
      <c r="O41" s="1134"/>
      <c r="P41" s="3216"/>
      <c r="Q41" s="1801"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6" thickBot="1">
      <c r="A42" s="472"/>
      <c r="B42" s="422" t="s">
        <v>2753</v>
      </c>
      <c r="C42" s="2606" t="s">
        <v>3197</v>
      </c>
      <c r="D42" s="435">
        <v>100</v>
      </c>
      <c r="E42" s="2606" t="s">
        <v>3197</v>
      </c>
      <c r="F42" s="435">
        <f>SUMIF(125:125,E42,126:126)-SUMIF(125:125,C42,126:126)+100</f>
        <v>100</v>
      </c>
      <c r="G42" s="2606" t="s">
        <v>3197</v>
      </c>
      <c r="H42" s="435">
        <f>SUMIF(125:125,G42,126:126)-SUMIF(125:125,C42,126:126)+100</f>
        <v>100</v>
      </c>
      <c r="I42" s="2606" t="s">
        <v>3197</v>
      </c>
      <c r="J42" s="435">
        <f>SUMIF(125:125,I42,126:126)-SUMIF(125:125,C42,126:126)+100</f>
        <v>100</v>
      </c>
      <c r="K42" s="612">
        <v>2</v>
      </c>
      <c r="L42" s="1140"/>
      <c r="M42" s="1131"/>
      <c r="N42" s="1131"/>
      <c r="O42" s="1139"/>
      <c r="P42" s="3216" t="s">
        <v>2563</v>
      </c>
      <c r="Q42" s="1801" t="str">
        <f t="shared" si="14"/>
        <v>工程地质条件</v>
      </c>
      <c r="R42" s="774" t="s">
        <v>17</v>
      </c>
      <c r="S42" s="775">
        <f t="shared" si="10"/>
        <v>100</v>
      </c>
      <c r="T42" s="774" t="s">
        <v>17</v>
      </c>
      <c r="U42" s="775">
        <f t="shared" si="11"/>
        <v>100</v>
      </c>
      <c r="V42" s="774" t="s">
        <v>17</v>
      </c>
      <c r="W42" s="775">
        <f t="shared" si="12"/>
        <v>100</v>
      </c>
      <c r="X42" s="1804"/>
      <c r="Y42" s="3216" t="s">
        <v>2563</v>
      </c>
      <c r="Z42" s="1805" t="str">
        <f t="shared" si="13"/>
        <v>工程地质条件</v>
      </c>
      <c r="AA42" s="1802">
        <f t="shared" si="3"/>
        <v>1</v>
      </c>
      <c r="AB42" s="1802">
        <f t="shared" si="4"/>
        <v>1</v>
      </c>
      <c r="AC42" s="1802">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01">
        <f t="shared" si="14"/>
        <v>111</v>
      </c>
      <c r="R43" s="774" t="s">
        <v>17</v>
      </c>
      <c r="S43" s="775">
        <f t="shared" si="10"/>
        <v>100</v>
      </c>
      <c r="T43" s="774" t="s">
        <v>17</v>
      </c>
      <c r="U43" s="775">
        <f t="shared" si="11"/>
        <v>100</v>
      </c>
      <c r="V43" s="774" t="s">
        <v>17</v>
      </c>
      <c r="W43" s="775">
        <f t="shared" si="12"/>
        <v>100</v>
      </c>
      <c r="X43" s="1804"/>
      <c r="Y43" s="3216"/>
      <c r="Z43" s="1805">
        <f t="shared" si="13"/>
        <v>111</v>
      </c>
      <c r="AA43" s="1802">
        <f t="shared" si="3"/>
        <v>1</v>
      </c>
      <c r="AB43" s="1802">
        <f t="shared" si="4"/>
        <v>1</v>
      </c>
      <c r="AC43" s="1802">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01">
        <f t="shared" si="14"/>
        <v>111</v>
      </c>
      <c r="R44" s="774" t="s">
        <v>17</v>
      </c>
      <c r="S44" s="775">
        <f t="shared" si="10"/>
        <v>100</v>
      </c>
      <c r="T44" s="774" t="s">
        <v>17</v>
      </c>
      <c r="U44" s="775">
        <f t="shared" si="11"/>
        <v>100</v>
      </c>
      <c r="V44" s="774" t="s">
        <v>17</v>
      </c>
      <c r="W44" s="775">
        <f t="shared" si="12"/>
        <v>100</v>
      </c>
      <c r="X44" s="1804"/>
      <c r="Y44" s="3216"/>
      <c r="Z44" s="1805">
        <f t="shared" si="13"/>
        <v>111</v>
      </c>
      <c r="AA44" s="1802">
        <f t="shared" si="3"/>
        <v>1</v>
      </c>
      <c r="AB44" s="1802">
        <f t="shared" si="4"/>
        <v>1</v>
      </c>
      <c r="AC44" s="1802">
        <f t="shared" si="5"/>
        <v>1</v>
      </c>
    </row>
    <row r="45" spans="1:29" s="471" customFormat="1" ht="15.6" hidden="1"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01">
        <f t="shared" si="14"/>
        <v>111</v>
      </c>
      <c r="R45" s="777" t="s">
        <v>17</v>
      </c>
      <c r="S45" s="778">
        <f t="shared" si="10"/>
        <v>100</v>
      </c>
      <c r="T45" s="777" t="s">
        <v>17</v>
      </c>
      <c r="U45" s="778">
        <f t="shared" si="11"/>
        <v>100</v>
      </c>
      <c r="V45" s="777" t="s">
        <v>17</v>
      </c>
      <c r="W45" s="778">
        <f t="shared" si="12"/>
        <v>100</v>
      </c>
      <c r="X45" s="779"/>
      <c r="Y45" s="3216"/>
      <c r="Z45" s="780">
        <f t="shared" si="13"/>
        <v>111</v>
      </c>
      <c r="AA45" s="1802">
        <f t="shared" si="3"/>
        <v>1</v>
      </c>
      <c r="AB45" s="1802">
        <f t="shared" si="4"/>
        <v>1</v>
      </c>
      <c r="AC45" s="1802">
        <f t="shared" si="5"/>
        <v>1</v>
      </c>
    </row>
    <row r="46" spans="1:29" ht="14.4">
      <c r="A46" s="479" t="s">
        <v>2718</v>
      </c>
      <c r="B46" s="2697" t="s">
        <v>2754</v>
      </c>
      <c r="C46" s="682" t="s">
        <v>1</v>
      </c>
      <c r="D46" s="481"/>
      <c r="E46" s="482">
        <v>3266</v>
      </c>
      <c r="F46" s="483"/>
      <c r="G46" s="484">
        <v>2752</v>
      </c>
      <c r="H46" s="485"/>
      <c r="I46" s="482">
        <v>3203</v>
      </c>
      <c r="J46" s="485"/>
      <c r="K46" s="783"/>
      <c r="L46" s="1143"/>
      <c r="M46" s="1144"/>
      <c r="N46" s="1131"/>
      <c r="O46" s="1144"/>
      <c r="P46" s="3211" t="str">
        <f>A46</f>
        <v>成交单价</v>
      </c>
      <c r="Q46" s="3211"/>
      <c r="R46" s="3217">
        <f>E46</f>
        <v>3266</v>
      </c>
      <c r="S46" s="3217"/>
      <c r="T46" s="3217">
        <f>G46</f>
        <v>2752</v>
      </c>
      <c r="U46" s="3217"/>
      <c r="V46" s="3217">
        <f>I46</f>
        <v>3203</v>
      </c>
      <c r="W46" s="3217"/>
      <c r="X46" s="759"/>
      <c r="Y46" s="781"/>
      <c r="Z46" s="759"/>
      <c r="AA46" s="759"/>
      <c r="AB46" s="759"/>
      <c r="AC46" s="759"/>
    </row>
    <row r="47" spans="1:29" ht="15" thickBot="1">
      <c r="A47" s="486" t="s">
        <v>2667</v>
      </c>
      <c r="B47" s="683"/>
      <c r="C47" s="490">
        <f>R48</f>
        <v>2734</v>
      </c>
      <c r="D47" s="489"/>
      <c r="E47" s="490">
        <f>R47</f>
        <v>2874</v>
      </c>
      <c r="F47" s="491"/>
      <c r="G47" s="488">
        <f>T47</f>
        <v>2422</v>
      </c>
      <c r="H47" s="489"/>
      <c r="I47" s="490">
        <f>V47</f>
        <v>2905</v>
      </c>
      <c r="J47" s="489"/>
      <c r="K47" s="784"/>
      <c r="L47" s="1143"/>
      <c r="M47" s="1144"/>
      <c r="N47" s="1144"/>
      <c r="O47" s="1144"/>
      <c r="P47" s="3211" t="str">
        <f>A47</f>
        <v>比较价值（元/平方米）</v>
      </c>
      <c r="Q47" s="3211"/>
      <c r="R47" s="3204">
        <f>ROUND(PRODUCT(R46,AA7:AA45),0)</f>
        <v>2874</v>
      </c>
      <c r="S47" s="3204"/>
      <c r="T47" s="3204">
        <f>ROUND(PRODUCT(T46,AB7:AB45),0)</f>
        <v>2422</v>
      </c>
      <c r="U47" s="3204"/>
      <c r="V47" s="3204">
        <f>ROUND(PRODUCT(V46,AC7:AC45),0)</f>
        <v>2905</v>
      </c>
      <c r="W47" s="3204"/>
      <c r="X47" s="759"/>
      <c r="Y47" s="759"/>
      <c r="Z47" s="759"/>
      <c r="AA47" s="759"/>
      <c r="AB47" s="759"/>
      <c r="AC47" s="759"/>
    </row>
    <row r="48" spans="1:29" ht="15" thickBot="1">
      <c r="A48" s="492" t="s">
        <v>2755</v>
      </c>
      <c r="B48" s="493"/>
      <c r="C48" s="494">
        <f>R48</f>
        <v>2734</v>
      </c>
      <c r="D48" s="494"/>
      <c r="E48" s="494"/>
      <c r="F48" s="494"/>
      <c r="G48" s="494"/>
      <c r="H48" s="494"/>
      <c r="I48" s="494"/>
      <c r="J48" s="494"/>
      <c r="K48" s="785"/>
      <c r="L48" s="1143"/>
      <c r="M48" s="1144"/>
      <c r="N48" s="1144"/>
      <c r="O48" s="1144"/>
      <c r="P48" s="3205" t="str">
        <f>A48</f>
        <v>估价对象XX用房的比较价值（楼面单价，元/平方米）</v>
      </c>
      <c r="Q48" s="3206"/>
      <c r="R48" s="3207">
        <f>ROUND(AVERAGE(R47:V47),0)</f>
        <v>2734</v>
      </c>
      <c r="S48" s="3207"/>
      <c r="T48" s="3207"/>
      <c r="U48" s="3207"/>
      <c r="V48" s="3207"/>
      <c r="W48" s="320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0.13639526791927636</v>
      </c>
      <c r="F51" s="500" t="str">
        <f>IF(OR(E51&gt;=0.3,E51&lt;=-0.3),"超过30%","")</f>
        <v/>
      </c>
      <c r="G51" s="499">
        <f>IF(G46&lt;G47,G47/G46-1,G46/G47-1)</f>
        <v>0.1362510322047894</v>
      </c>
      <c r="H51" s="500" t="str">
        <f>IF(OR(G51&gt;=0.3,G51&lt;=-0.3),"超过30%","")</f>
        <v/>
      </c>
      <c r="I51" s="499">
        <f>IF(I46&lt;I47,I47/I46-1,I46/I47-1)</f>
        <v>0.10258175559380378</v>
      </c>
      <c r="J51" s="500" t="str">
        <f>IF(OR(I51&gt;=0.3,I51&lt;=-0.3),"超过30%","")</f>
        <v/>
      </c>
      <c r="K51" s="1105"/>
      <c r="L51" s="1106"/>
      <c r="M51" s="1144"/>
      <c r="N51" s="1144"/>
      <c r="O51" s="1144"/>
    </row>
    <row r="52" spans="1:15" ht="13.5" customHeight="1">
      <c r="A52" s="1144"/>
      <c r="B52" s="1144"/>
      <c r="C52" s="497" t="s">
        <v>2670</v>
      </c>
      <c r="D52" s="501"/>
      <c r="E52" s="499">
        <f>IF(E47&lt;G47,G47/E47-1,E47/G47-1)</f>
        <v>0.18662262592898426</v>
      </c>
      <c r="F52" s="500" t="str">
        <f>IF(OR(E52&gt;=0.2,E52&lt;=-0.2),"超过20%","")</f>
        <v/>
      </c>
      <c r="G52" s="499">
        <f>IF(G47&lt;I47,I47/G47-1,G47/I47-1)</f>
        <v>0.199421965317919</v>
      </c>
      <c r="H52" s="500" t="str">
        <f>IF(OR(G52&gt;=0.2,G52&lt;=-0.2),"超过20%","")</f>
        <v/>
      </c>
      <c r="I52" s="499">
        <f>IF(I47&lt;E47,E47/I47-1,I47/E47-1)</f>
        <v>1.0786360473208134E-2</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0.18677325581395343</v>
      </c>
      <c r="F53" s="500" t="str">
        <f>IF(OR(E53&gt;=0.3,E53&lt;=-0.3),"超过30%","")</f>
        <v/>
      </c>
      <c r="G53" s="499">
        <f>IF(G46&lt;I46,I46/G46-1,G46/I46-1)</f>
        <v>0.16388081395348841</v>
      </c>
      <c r="H53" s="500" t="str">
        <f>IF(OR(G53&gt;=0.3,G53&lt;=-0.3),"超过30%","")</f>
        <v/>
      </c>
      <c r="I53" s="499">
        <f>IF(I46&lt;E46,E46/I46-1,I46/E46-1)</f>
        <v>1.9669060256009896E-2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698" t="s">
        <v>2758</v>
      </c>
      <c r="D55" s="2699" t="s">
        <v>2759</v>
      </c>
      <c r="E55" s="686" t="s">
        <v>2760</v>
      </c>
      <c r="F55" s="1107" t="s">
        <v>2761</v>
      </c>
      <c r="G55" s="3208" t="s">
        <v>2762</v>
      </c>
      <c r="H55" s="3209"/>
      <c r="I55" s="144" t="s">
        <v>2763</v>
      </c>
      <c r="J55" s="2700">
        <f>项目基本情况!F35</f>
        <v>0</v>
      </c>
      <c r="K55" s="2701" t="s">
        <v>2764</v>
      </c>
      <c r="L55" s="1106"/>
      <c r="M55" s="1144"/>
      <c r="N55" s="1144"/>
      <c r="O55" s="1144"/>
    </row>
    <row r="56" spans="1:15" s="692" customFormat="1">
      <c r="A56" s="688" t="s">
        <v>2765</v>
      </c>
      <c r="B56" s="689">
        <f>C48</f>
        <v>2734</v>
      </c>
      <c r="C56" s="690">
        <v>1</v>
      </c>
      <c r="D56" s="1163">
        <v>1</v>
      </c>
      <c r="E56" s="690">
        <f>'数据-汇总表'!E8+'数据-汇总表'!E9</f>
        <v>58289.510000000017</v>
      </c>
      <c r="F56" s="1103">
        <f t="shared" ref="F56:F65" si="15">ROUND(B56*E56/10000,0)</f>
        <v>15936</v>
      </c>
      <c r="G56" s="3210"/>
      <c r="H56" s="3211"/>
      <c r="I56" s="1108">
        <v>1</v>
      </c>
      <c r="J56" s="1111">
        <v>1</v>
      </c>
      <c r="K56" s="1145"/>
      <c r="L56" s="941"/>
      <c r="M56" s="941"/>
      <c r="N56" s="941"/>
      <c r="O56" s="941"/>
    </row>
    <row r="57" spans="1:15" s="692" customFormat="1">
      <c r="A57" s="693" t="s">
        <v>2766</v>
      </c>
      <c r="B57" s="262">
        <f>ROUND($C$48*C57*D57,0)</f>
        <v>0</v>
      </c>
      <c r="C57" s="200">
        <f t="shared" ref="C57:C65" si="16">IF($C$55="北京市系数",I57,J57)</f>
        <v>0</v>
      </c>
      <c r="D57" s="1164">
        <v>0.25</v>
      </c>
      <c r="E57" s="694"/>
      <c r="F57" s="1103">
        <f t="shared" si="15"/>
        <v>0</v>
      </c>
      <c r="G57" s="3212" t="s">
        <v>2767</v>
      </c>
      <c r="H57" s="1104">
        <f>项目基本情况!B37</f>
        <v>0</v>
      </c>
      <c r="I57" s="1108">
        <f>SUMIF(修正!A45:A56,H57,修正!B45:B56)</f>
        <v>0</v>
      </c>
      <c r="J57" s="1112"/>
      <c r="K57" s="1144"/>
      <c r="L57" s="941"/>
      <c r="M57" s="941"/>
      <c r="N57" s="941"/>
      <c r="O57" s="941"/>
    </row>
    <row r="58" spans="1:15" s="692" customFormat="1">
      <c r="A58" s="693" t="s">
        <v>2768</v>
      </c>
      <c r="B58" s="262">
        <f t="shared" ref="B58:B65" si="17">ROUND($C$48*C58*D58,0)</f>
        <v>0</v>
      </c>
      <c r="C58" s="200">
        <f t="shared" si="16"/>
        <v>0</v>
      </c>
      <c r="D58" s="1164">
        <v>0.25</v>
      </c>
      <c r="E58" s="694"/>
      <c r="F58" s="1103">
        <f t="shared" si="15"/>
        <v>0</v>
      </c>
      <c r="G58" s="3212"/>
      <c r="H58" s="1104">
        <f>项目基本情况!B37</f>
        <v>0</v>
      </c>
      <c r="I58" s="1108">
        <f>SUMIF(修正!A45:A56,H58,修正!C45:C56)</f>
        <v>0</v>
      </c>
      <c r="J58" s="1112"/>
      <c r="K58" s="1145"/>
      <c r="L58" s="941"/>
      <c r="M58" s="941"/>
      <c r="N58" s="941"/>
      <c r="O58" s="941"/>
    </row>
    <row r="59" spans="1:15" s="692" customFormat="1">
      <c r="A59" s="693" t="s">
        <v>2769</v>
      </c>
      <c r="B59" s="262">
        <f t="shared" si="17"/>
        <v>0</v>
      </c>
      <c r="C59" s="200">
        <f t="shared" si="16"/>
        <v>0</v>
      </c>
      <c r="D59" s="1164">
        <v>0.25</v>
      </c>
      <c r="E59" s="694"/>
      <c r="F59" s="1103">
        <f t="shared" si="15"/>
        <v>0</v>
      </c>
      <c r="G59" s="3212"/>
      <c r="H59" s="1104">
        <f>项目基本情况!B37</f>
        <v>0</v>
      </c>
      <c r="I59" s="1108">
        <f>SUMIF(修正!A45:A56,H59,修正!D45:D56)</f>
        <v>0</v>
      </c>
      <c r="J59" s="1112"/>
      <c r="K59" s="1144"/>
      <c r="L59" s="941"/>
      <c r="M59" s="941"/>
      <c r="N59" s="941"/>
      <c r="O59" s="941"/>
    </row>
    <row r="60" spans="1:15" s="692" customFormat="1">
      <c r="A60" s="693" t="s">
        <v>2770</v>
      </c>
      <c r="B60" s="262">
        <f t="shared" si="17"/>
        <v>0</v>
      </c>
      <c r="C60" s="200">
        <f t="shared" si="16"/>
        <v>0</v>
      </c>
      <c r="D60" s="1164">
        <v>0.25</v>
      </c>
      <c r="E60" s="694"/>
      <c r="F60" s="1103">
        <f t="shared" si="15"/>
        <v>0</v>
      </c>
      <c r="G60" s="3212"/>
      <c r="H60" s="1104">
        <f>项目基本情况!B37</f>
        <v>0</v>
      </c>
      <c r="I60" s="1108">
        <f>SUMIF(修正!A45:A56,H60,修正!E45:E56)</f>
        <v>0</v>
      </c>
      <c r="J60" s="1112"/>
      <c r="K60" s="1145"/>
      <c r="L60" s="941"/>
      <c r="M60" s="941"/>
      <c r="N60" s="941"/>
      <c r="O60" s="941"/>
    </row>
    <row r="61" spans="1:15" s="692" customFormat="1">
      <c r="A61" s="693" t="s">
        <v>2771</v>
      </c>
      <c r="B61" s="262">
        <f t="shared" si="17"/>
        <v>0</v>
      </c>
      <c r="C61" s="200">
        <f t="shared" si="16"/>
        <v>0</v>
      </c>
      <c r="D61" s="1164">
        <v>0.25</v>
      </c>
      <c r="E61" s="261">
        <f>'数据-汇总表'!E11</f>
        <v>0</v>
      </c>
      <c r="F61" s="1103">
        <f t="shared" si="15"/>
        <v>0</v>
      </c>
      <c r="G61" s="2702" t="s">
        <v>2772</v>
      </c>
      <c r="H61" s="1104">
        <f>项目基本情况!C37</f>
        <v>0</v>
      </c>
      <c r="I61" s="1108">
        <f>SUMIF(修正!A45:A56,H61,修正!F45:F56)</f>
        <v>0</v>
      </c>
      <c r="J61" s="1112"/>
      <c r="K61" s="1144"/>
      <c r="L61" s="941"/>
      <c r="M61" s="941"/>
      <c r="N61" s="941"/>
      <c r="O61" s="941"/>
    </row>
    <row r="62" spans="1:15" s="692" customFormat="1">
      <c r="A62" s="693" t="s">
        <v>2773</v>
      </c>
      <c r="B62" s="262">
        <f t="shared" si="17"/>
        <v>0</v>
      </c>
      <c r="C62" s="200">
        <f t="shared" si="16"/>
        <v>0</v>
      </c>
      <c r="D62" s="1164">
        <v>0.25</v>
      </c>
      <c r="E62" s="261">
        <f>'数据-汇总表'!E12</f>
        <v>0</v>
      </c>
      <c r="F62" s="1103">
        <f t="shared" si="15"/>
        <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0</v>
      </c>
      <c r="C64" s="200">
        <f t="shared" si="16"/>
        <v>0</v>
      </c>
      <c r="D64" s="1164">
        <v>0.25</v>
      </c>
      <c r="E64" s="261">
        <f>'数据-汇总表'!E14</f>
        <v>0</v>
      </c>
      <c r="F64" s="1103">
        <f t="shared" si="15"/>
        <v>0</v>
      </c>
      <c r="G64" s="2702" t="s">
        <v>2767</v>
      </c>
      <c r="H64" s="1104">
        <f>项目基本情况!B37</f>
        <v>0</v>
      </c>
      <c r="I64" s="1108">
        <f>SUMIF(修正!A45:A56,H64,修正!H45:H56)</f>
        <v>0</v>
      </c>
      <c r="J64" s="1112"/>
      <c r="K64" s="1145"/>
      <c r="L64" s="941"/>
      <c r="M64" s="941"/>
      <c r="N64" s="941"/>
      <c r="O64" s="941"/>
    </row>
    <row r="65" spans="1:17" s="692" customFormat="1" ht="14.4" thickBot="1">
      <c r="A65" s="693" t="s">
        <v>2778</v>
      </c>
      <c r="B65" s="262">
        <f t="shared" si="17"/>
        <v>0</v>
      </c>
      <c r="C65" s="200">
        <f t="shared" si="16"/>
        <v>0</v>
      </c>
      <c r="D65" s="1164">
        <v>0.25</v>
      </c>
      <c r="E65" s="261">
        <f>'数据-汇总表'!E15</f>
        <v>15225.21</v>
      </c>
      <c r="F65" s="1103">
        <f t="shared" si="15"/>
        <v>0</v>
      </c>
      <c r="G65" s="2703" t="s">
        <v>2772</v>
      </c>
      <c r="H65" s="1114">
        <f>项目基本情况!C37</f>
        <v>0</v>
      </c>
      <c r="I65" s="1110">
        <f>SUMIF(修正!A45:A56,H65,修正!H45:H56)</f>
        <v>0</v>
      </c>
      <c r="J65" s="1113"/>
      <c r="K65" s="1144"/>
      <c r="L65" s="941"/>
      <c r="M65" s="941"/>
      <c r="N65" s="941"/>
      <c r="O65" s="941"/>
    </row>
    <row r="66" spans="1:17" s="692" customFormat="1" thickBot="1">
      <c r="A66" s="695" t="s">
        <v>2779</v>
      </c>
      <c r="B66" s="696" t="s">
        <v>28</v>
      </c>
      <c r="C66" s="696" t="s">
        <v>29</v>
      </c>
      <c r="D66" s="696" t="s">
        <v>1025</v>
      </c>
      <c r="E66" s="696">
        <f>IF(B46="楼面地价",SUM(E56:E65),'数据-汇总表'!D3)</f>
        <v>73514.720000000016</v>
      </c>
      <c r="F66" s="697">
        <f>IF(B46="楼面地价",SUM(F56:F65),ROUND(C48*E66/10000,0))</f>
        <v>15936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2.2" thickBot="1">
      <c r="A69" s="763" t="s">
        <v>2672</v>
      </c>
      <c r="B69" s="759"/>
      <c r="C69" s="764"/>
      <c r="D69" s="764"/>
      <c r="E69" s="764"/>
      <c r="F69" s="765"/>
      <c r="G69" s="765"/>
      <c r="H69" s="764"/>
      <c r="I69" s="764"/>
      <c r="J69" s="1159"/>
      <c r="K69" s="1160"/>
      <c r="L69" s="1161"/>
      <c r="M69" s="1159"/>
      <c r="N69" s="1159"/>
      <c r="O69" s="1159"/>
      <c r="P69" s="503"/>
      <c r="Q69" s="504"/>
    </row>
    <row r="70" spans="1:17" s="508" customFormat="1" ht="14.4">
      <c r="A70" s="2704" t="s">
        <v>2780</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2781</v>
      </c>
      <c r="B71" s="332" t="str">
        <f>"北京市平均增长率"&amp;TEXT(SUMIF(基准地价修正!N21:N25,A71,基准地价修正!P21:P25),"0.00%")</f>
        <v>北京市平均增长率2.03%</v>
      </c>
      <c r="C71" s="603">
        <v>100</v>
      </c>
      <c r="D71" s="595">
        <v>99.5</v>
      </c>
      <c r="E71" s="595">
        <f>D71-0.5</f>
        <v>99</v>
      </c>
      <c r="F71" s="595">
        <f t="shared" ref="F71:N71" si="20">E71-0.5</f>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4.4">
      <c r="A73" s="521" t="s">
        <v>2548</v>
      </c>
      <c r="B73" s="510"/>
      <c r="C73" s="522" t="s">
        <v>2650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2586</v>
      </c>
      <c r="B75" s="528" t="s">
        <v>2552</v>
      </c>
      <c r="C75" s="2998" t="s">
        <v>3354</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2555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2556</v>
      </c>
      <c r="C79" s="547" t="str">
        <f>C80&amp;"（含）"&amp;"-"&amp;D80</f>
        <v>0（含）-1</v>
      </c>
      <c r="D79" s="547" t="str">
        <f t="shared" ref="D79:L79" si="21">D80&amp;"（含）"&amp;"-"&amp;E80</f>
        <v>1（含）-</v>
      </c>
      <c r="E79" s="547" t="str">
        <f t="shared" si="21"/>
        <v>（含）-</v>
      </c>
      <c r="F79" s="547" t="str">
        <f t="shared" si="21"/>
        <v>（含）-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c r="A80" s="534"/>
      <c r="B80" s="548"/>
      <c r="C80" s="549">
        <v>0</v>
      </c>
      <c r="D80" s="549">
        <v>1</v>
      </c>
      <c r="E80" s="549"/>
      <c r="F80" s="549"/>
      <c r="G80" s="549"/>
      <c r="H80" s="549"/>
      <c r="I80" s="549"/>
      <c r="J80" s="549"/>
      <c r="K80" s="550"/>
      <c r="L80" s="551"/>
      <c r="M80" s="552"/>
      <c r="N80" s="1152"/>
      <c r="O80" s="1152"/>
      <c r="P80" s="45"/>
      <c r="Q80" s="504"/>
    </row>
    <row r="81" spans="1:17" ht="14.4" thickBot="1">
      <c r="A81" s="534"/>
      <c r="B81" s="535"/>
      <c r="C81" s="544">
        <v>100</v>
      </c>
      <c r="D81" s="544">
        <f t="shared" ref="D81:M81" si="22">IF($B$46="单位面积地价",C81+$K11,C81-$K11)</f>
        <v>100</v>
      </c>
      <c r="E81" s="544">
        <f t="shared" si="22"/>
        <v>100</v>
      </c>
      <c r="F81" s="544">
        <f t="shared" si="22"/>
        <v>100</v>
      </c>
      <c r="G81" s="544">
        <f t="shared" si="22"/>
        <v>100</v>
      </c>
      <c r="H81" s="544">
        <f t="shared" si="22"/>
        <v>100</v>
      </c>
      <c r="I81" s="544">
        <f t="shared" si="22"/>
        <v>100</v>
      </c>
      <c r="J81" s="544">
        <f t="shared" si="22"/>
        <v>100</v>
      </c>
      <c r="K81" s="544">
        <f t="shared" si="22"/>
        <v>100</v>
      </c>
      <c r="L81" s="544">
        <f t="shared" si="22"/>
        <v>100</v>
      </c>
      <c r="M81" s="544">
        <f t="shared" si="22"/>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4.4"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4.4"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29.4"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9.4"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4.4"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4.4"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4.4"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9.4" thickTop="1">
      <c r="A106" s="534"/>
      <c r="B106" s="538" t="s">
        <v>2689</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 thickTop="1">
      <c r="A108" s="534"/>
      <c r="B108" s="538" t="s">
        <v>2748</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2561</v>
      </c>
      <c r="B116" s="528" t="s">
        <v>2789</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4.4"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2968" t="s">
        <v>3355</v>
      </c>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3"/>
      <c r="O120" s="1153"/>
      <c r="P120" s="45"/>
      <c r="Q120" s="504"/>
    </row>
    <row r="121" spans="1:17" ht="15" thickTop="1">
      <c r="A121" s="599"/>
      <c r="B121" s="538" t="s">
        <v>2791</v>
      </c>
      <c r="C121" s="2966" t="s">
        <v>3356</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3"/>
      <c r="O122" s="1153"/>
      <c r="P122" s="45"/>
      <c r="Q122" s="504"/>
    </row>
    <row r="123" spans="1:17" s="471" customFormat="1" ht="15" thickTop="1">
      <c r="A123" s="593"/>
      <c r="B123" s="538" t="s">
        <v>2792</v>
      </c>
      <c r="C123" s="2966" t="s">
        <v>3357</v>
      </c>
      <c r="D123" s="2966" t="s">
        <v>3358</v>
      </c>
      <c r="E123" s="2966" t="s">
        <v>3359</v>
      </c>
      <c r="F123" s="2966" t="s">
        <v>3360</v>
      </c>
      <c r="G123" s="2966" t="s">
        <v>3361</v>
      </c>
      <c r="H123" s="583"/>
      <c r="I123" s="583"/>
      <c r="J123" s="583"/>
      <c r="K123" s="584"/>
      <c r="L123" s="585"/>
      <c r="M123" s="586"/>
      <c r="N123" s="1154"/>
      <c r="O123" s="1154"/>
      <c r="P123" s="558"/>
      <c r="Q123" s="559"/>
    </row>
    <row r="124" spans="1:17" s="471" customFormat="1" ht="14.4"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4"/>
      <c r="O124" s="1154"/>
      <c r="P124" s="558"/>
      <c r="Q124" s="559"/>
    </row>
    <row r="125" spans="1:17" ht="15" thickTop="1">
      <c r="A125" s="599"/>
      <c r="B125" s="538" t="s">
        <v>2793</v>
      </c>
      <c r="C125" s="2966" t="s">
        <v>3362</v>
      </c>
      <c r="D125" s="2966" t="s">
        <v>3363</v>
      </c>
      <c r="E125" s="2968" t="s">
        <v>3364</v>
      </c>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K33" sqref="K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75" t="s">
        <v>2640</v>
      </c>
      <c r="C1" s="1634" t="s">
        <v>2528</v>
      </c>
      <c r="D1" s="1621" t="s">
        <v>1372</v>
      </c>
      <c r="E1" s="2650"/>
      <c r="F1" s="2577" t="s">
        <v>3142</v>
      </c>
      <c r="G1" s="1631" t="s">
        <v>2641</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2325</v>
      </c>
      <c r="B2" s="1418">
        <f>IF(C2="——",ROUND(C49*D3/10000,0),ROUND(C49*D3/10000,0)-D2)</f>
        <v>0</v>
      </c>
      <c r="C2" s="2579" t="s">
        <v>70</v>
      </c>
      <c r="D2" s="1365" t="e">
        <f ca="1">SUMIF(INDIRECT("'"&amp;F2&amp;"'"&amp;"!A:A"),"承租人权益价值",INDIRECT("'"&amp;F2&amp;"'"&amp;"!c:c"))</f>
        <v>#REF!</v>
      </c>
      <c r="E2" s="2580" t="s">
        <v>2326</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2327</v>
      </c>
      <c r="B3" s="609">
        <f>IF(C2="——",C49,ROUND(B2*10000/D3,0))</f>
        <v>17966</v>
      </c>
      <c r="C3" s="400" t="s">
        <v>2642</v>
      </c>
      <c r="D3" s="399">
        <f>IF(D1="",'数据-汇总表'!E3,SUMIF('数据-汇总表'!$C19:$C33,D1,'数据-汇总表'!$E19:$E33))</f>
        <v>0</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7" t="s">
        <v>2646</v>
      </c>
      <c r="AC4" s="3218" t="s">
        <v>2647</v>
      </c>
    </row>
    <row r="5" spans="1:29">
      <c r="A5" s="404"/>
      <c r="B5" s="405"/>
      <c r="C5" s="3238" t="s">
        <v>2540</v>
      </c>
      <c r="D5" s="3239"/>
      <c r="E5" s="3257" t="s">
        <v>3171</v>
      </c>
      <c r="F5" s="3246"/>
      <c r="G5" s="3255" t="s">
        <v>3194</v>
      </c>
      <c r="H5" s="3239"/>
      <c r="I5" s="3255" t="s">
        <v>3195</v>
      </c>
      <c r="J5" s="3239"/>
      <c r="K5" s="610"/>
      <c r="L5" s="1130"/>
      <c r="M5" s="1131"/>
      <c r="N5" s="1131"/>
      <c r="O5" s="1131"/>
      <c r="P5" s="3226"/>
      <c r="Q5" s="3227"/>
      <c r="R5" s="3232"/>
      <c r="S5" s="3233"/>
      <c r="T5" s="3232"/>
      <c r="U5" s="3233"/>
      <c r="V5" s="3217"/>
      <c r="W5" s="3217"/>
      <c r="X5" s="1804"/>
      <c r="Y5" s="3232"/>
      <c r="Z5" s="3233"/>
      <c r="AA5" s="3219"/>
      <c r="AB5" s="3217"/>
      <c r="AC5" s="3219"/>
    </row>
    <row r="6" spans="1:29" ht="15" thickBot="1">
      <c r="A6" s="406"/>
      <c r="B6" s="407"/>
      <c r="C6" s="3236" t="s">
        <v>2544</v>
      </c>
      <c r="D6" s="3237"/>
      <c r="E6" s="3256" t="s">
        <v>3170</v>
      </c>
      <c r="F6" s="3244"/>
      <c r="G6" s="3236" t="s">
        <v>2544</v>
      </c>
      <c r="H6" s="3237"/>
      <c r="I6" s="3236" t="s">
        <v>2544</v>
      </c>
      <c r="J6" s="3237"/>
      <c r="K6" s="610" t="s">
        <v>2545</v>
      </c>
      <c r="L6" s="1130"/>
      <c r="M6" s="1131"/>
      <c r="N6" s="1131"/>
      <c r="O6" s="1131"/>
      <c r="P6" s="3228"/>
      <c r="Q6" s="3229"/>
      <c r="R6" s="3232"/>
      <c r="S6" s="3233"/>
      <c r="T6" s="3234"/>
      <c r="U6" s="3235"/>
      <c r="V6" s="3217"/>
      <c r="W6" s="3217"/>
      <c r="X6" s="1804"/>
      <c r="Y6" s="3234"/>
      <c r="Z6" s="3235"/>
      <c r="AA6" s="3220"/>
      <c r="AB6" s="3217"/>
      <c r="AC6" s="3220"/>
    </row>
    <row r="7" spans="1:29" s="117" customFormat="1" ht="15" thickBot="1">
      <c r="A7" s="408" t="s">
        <v>2546</v>
      </c>
      <c r="B7" s="409"/>
      <c r="C7" s="410">
        <f>'数据-取费表'!B2</f>
        <v>43980</v>
      </c>
      <c r="D7" s="411">
        <v>100</v>
      </c>
      <c r="E7" s="412">
        <f>C7</f>
        <v>43980</v>
      </c>
      <c r="F7" s="413">
        <f>SUMIF(58:58,YEAR(E7)&amp;"-"&amp;MONTH(E7),59:59)</f>
        <v>100</v>
      </c>
      <c r="G7" s="412">
        <f>C7</f>
        <v>43980</v>
      </c>
      <c r="H7" s="411">
        <f>SUMIF(58:58,YEAR(G7)&amp;"-"&amp;MONTH(G7),59:59)</f>
        <v>100</v>
      </c>
      <c r="I7" s="412">
        <f>C7</f>
        <v>43980</v>
      </c>
      <c r="J7" s="411">
        <f>SUMIF(58:58,YEAR(I7)&amp;"-"&amp;MONTH(I7),59:59)</f>
        <v>100</v>
      </c>
      <c r="K7" s="611"/>
      <c r="L7" s="1132"/>
      <c r="M7" s="1133"/>
      <c r="N7" s="1133"/>
      <c r="O7" s="1133"/>
      <c r="P7" s="3240" t="s">
        <v>2547</v>
      </c>
      <c r="Q7" s="3242"/>
      <c r="R7" s="770" t="s">
        <v>17</v>
      </c>
      <c r="S7" s="771">
        <f t="shared" ref="S7:S15" si="0">F7</f>
        <v>100</v>
      </c>
      <c r="T7" s="770" t="s">
        <v>17</v>
      </c>
      <c r="U7" s="771">
        <f t="shared" ref="U7:U15" si="1">H7</f>
        <v>100</v>
      </c>
      <c r="V7" s="770" t="s">
        <v>17</v>
      </c>
      <c r="W7" s="771">
        <f t="shared" ref="W7:W15" si="2">J7</f>
        <v>100</v>
      </c>
      <c r="X7" s="772"/>
      <c r="Y7" s="3240" t="s">
        <v>2547</v>
      </c>
      <c r="Z7" s="3241"/>
      <c r="AA7" s="773">
        <f>D7/F7</f>
        <v>1</v>
      </c>
      <c r="AB7" s="773">
        <f>D7/H7</f>
        <v>1</v>
      </c>
      <c r="AC7" s="773">
        <f>D7/J7</f>
        <v>1</v>
      </c>
    </row>
    <row r="8" spans="1:29" s="117" customFormat="1" ht="15" thickBot="1">
      <c r="A8" s="408" t="s">
        <v>2548</v>
      </c>
      <c r="B8" s="409"/>
      <c r="C8" s="414" t="s">
        <v>2650</v>
      </c>
      <c r="D8" s="411">
        <v>100</v>
      </c>
      <c r="E8" s="414" t="s">
        <v>3141</v>
      </c>
      <c r="F8" s="413">
        <f>SUMIF(61:61,E8,62:62)-SUMIF(61:61,C8,62:62)+100</f>
        <v>100</v>
      </c>
      <c r="G8" s="414" t="s">
        <v>3141</v>
      </c>
      <c r="H8" s="411">
        <f>SUMIF(61:61,G8,62:62)-SUMIF(61:61,C8,62:62)+100</f>
        <v>100</v>
      </c>
      <c r="I8" s="414" t="s">
        <v>3141</v>
      </c>
      <c r="J8" s="411">
        <f>SUMIF(61:61,I8,62:62)-SUMIF(61:61,C8,62:62)+100</f>
        <v>100</v>
      </c>
      <c r="K8" s="611"/>
      <c r="L8" s="1132"/>
      <c r="M8" s="1133"/>
      <c r="N8" s="1133"/>
      <c r="O8" s="1133"/>
      <c r="P8" s="3240" t="s">
        <v>2550</v>
      </c>
      <c r="Q8" s="3241"/>
      <c r="R8" s="770" t="s">
        <v>17</v>
      </c>
      <c r="S8" s="771">
        <f t="shared" si="0"/>
        <v>100</v>
      </c>
      <c r="T8" s="770" t="s">
        <v>17</v>
      </c>
      <c r="U8" s="771">
        <f t="shared" si="1"/>
        <v>100</v>
      </c>
      <c r="V8" s="770" t="s">
        <v>17</v>
      </c>
      <c r="W8" s="771">
        <f t="shared" si="2"/>
        <v>100</v>
      </c>
      <c r="X8" s="772"/>
      <c r="Y8" s="3240" t="s">
        <v>2550</v>
      </c>
      <c r="Z8" s="3241"/>
      <c r="AA8" s="773">
        <f t="shared" ref="AA8:AA46" si="3">D8/F8</f>
        <v>1</v>
      </c>
      <c r="AB8" s="773">
        <f t="shared" ref="AB8:AB46" si="4">D8/H8</f>
        <v>1</v>
      </c>
      <c r="AC8" s="773">
        <f t="shared" ref="AC8:AC46" si="5">D8/J8</f>
        <v>1</v>
      </c>
    </row>
    <row r="9" spans="1:29" s="117" customFormat="1" ht="14.4">
      <c r="A9" s="415" t="s">
        <v>2551</v>
      </c>
      <c r="B9" s="71" t="s">
        <v>2552</v>
      </c>
      <c r="C9" s="2965" t="s">
        <v>3139</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10"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8.8">
      <c r="A10" s="421"/>
      <c r="B10" s="422" t="s">
        <v>2555</v>
      </c>
      <c r="C10" s="423" t="s">
        <v>3140</v>
      </c>
      <c r="D10" s="136">
        <v>100</v>
      </c>
      <c r="E10" s="424" t="s">
        <v>3140</v>
      </c>
      <c r="F10" s="425">
        <f>SUMIF(65:65,E10,66:66)-SUMIF(65:65,C10,66:66)+100</f>
        <v>100</v>
      </c>
      <c r="G10" s="424" t="s">
        <v>3140</v>
      </c>
      <c r="H10" s="136">
        <f>SUMIF(65:65,G10,66:66)-SUMIF(65:65,C10,66:66)+100</f>
        <v>100</v>
      </c>
      <c r="I10" s="424" t="s">
        <v>3140</v>
      </c>
      <c r="J10" s="136">
        <f>SUMIF(65:65,I10,66:66)-SUMIF(65:65,C10,66:66)+100</f>
        <v>100</v>
      </c>
      <c r="K10" s="612">
        <v>2</v>
      </c>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10"/>
      <c r="Q11" s="1786" t="str">
        <f t="shared" si="6"/>
        <v>容积率</v>
      </c>
      <c r="R11" s="770" t="s">
        <v>17</v>
      </c>
      <c r="S11" s="771">
        <f t="shared" si="0"/>
        <v>100</v>
      </c>
      <c r="T11" s="770" t="s">
        <v>17</v>
      </c>
      <c r="U11" s="771">
        <f t="shared" si="1"/>
        <v>100</v>
      </c>
      <c r="V11" s="770" t="s">
        <v>17</v>
      </c>
      <c r="W11" s="771">
        <f t="shared" si="2"/>
        <v>100</v>
      </c>
      <c r="X11" s="772"/>
      <c r="Y11" s="3057"/>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0"/>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0"/>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6"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0"/>
      <c r="Q14" s="1786">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69">
      <c r="A15" s="440" t="s">
        <v>2557</v>
      </c>
      <c r="B15" s="69" t="s">
        <v>2651</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102</v>
      </c>
      <c r="K15" s="614">
        <v>2</v>
      </c>
      <c r="L15" s="1140"/>
      <c r="M15" s="1131"/>
      <c r="N15" s="1131"/>
      <c r="O15" s="1131"/>
      <c r="P15" s="3249" t="s">
        <v>2558</v>
      </c>
      <c r="Q15" s="1801" t="str">
        <f t="shared" si="6"/>
        <v>商业繁华度</v>
      </c>
      <c r="R15" s="774" t="s">
        <v>17</v>
      </c>
      <c r="S15" s="775">
        <f t="shared" si="0"/>
        <v>100</v>
      </c>
      <c r="T15" s="774" t="s">
        <v>17</v>
      </c>
      <c r="U15" s="775">
        <f t="shared" si="1"/>
        <v>100</v>
      </c>
      <c r="V15" s="774" t="s">
        <v>17</v>
      </c>
      <c r="W15" s="775">
        <f t="shared" si="2"/>
        <v>102</v>
      </c>
      <c r="X15" s="1804"/>
      <c r="Y15" s="3213" t="s">
        <v>2558</v>
      </c>
      <c r="Z15" s="1805" t="str">
        <f t="shared" si="7"/>
        <v>商业繁华度</v>
      </c>
      <c r="AA15" s="1802">
        <f t="shared" si="3"/>
        <v>1</v>
      </c>
      <c r="AB15" s="1802">
        <f t="shared" si="4"/>
        <v>1</v>
      </c>
      <c r="AC15" s="1802">
        <f t="shared" si="5"/>
        <v>0.98039215686274506</v>
      </c>
    </row>
    <row r="16" spans="1:29" ht="15">
      <c r="A16" s="428"/>
      <c r="B16" s="446"/>
      <c r="C16" s="447" t="s">
        <v>3198</v>
      </c>
      <c r="D16" s="448"/>
      <c r="E16" s="447" t="s">
        <v>3198</v>
      </c>
      <c r="F16" s="449"/>
      <c r="G16" s="447" t="s">
        <v>3198</v>
      </c>
      <c r="H16" s="450"/>
      <c r="I16" s="447" t="s">
        <v>3197</v>
      </c>
      <c r="J16" s="448"/>
      <c r="K16" s="615"/>
      <c r="L16" s="1140"/>
      <c r="M16" s="1131"/>
      <c r="N16" s="1131"/>
      <c r="O16" s="1131"/>
      <c r="P16" s="3250"/>
      <c r="Q16" s="1801"/>
      <c r="R16" s="774"/>
      <c r="S16" s="775"/>
      <c r="T16" s="774"/>
      <c r="U16" s="775"/>
      <c r="V16" s="774"/>
      <c r="W16" s="775"/>
      <c r="X16" s="1804"/>
      <c r="Y16" s="3214"/>
      <c r="Z16" s="1805"/>
      <c r="AA16" s="1802">
        <v>1</v>
      </c>
      <c r="AB16" s="1802">
        <v>1</v>
      </c>
      <c r="AC16" s="1802">
        <v>1</v>
      </c>
    </row>
    <row r="17" spans="1:29" ht="82.8">
      <c r="A17" s="428"/>
      <c r="B17" s="451" t="s">
        <v>2094</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102</v>
      </c>
      <c r="K17" s="614">
        <v>2</v>
      </c>
      <c r="L17" s="1140"/>
      <c r="M17" s="1131"/>
      <c r="N17" s="1131"/>
      <c r="O17" s="1131"/>
      <c r="P17" s="3250"/>
      <c r="Q17" s="1801" t="str">
        <f>B17</f>
        <v>交通便捷度</v>
      </c>
      <c r="R17" s="774" t="s">
        <v>17</v>
      </c>
      <c r="S17" s="775">
        <f>F17</f>
        <v>100</v>
      </c>
      <c r="T17" s="774" t="s">
        <v>17</v>
      </c>
      <c r="U17" s="775">
        <f>H17</f>
        <v>100</v>
      </c>
      <c r="V17" s="774" t="s">
        <v>17</v>
      </c>
      <c r="W17" s="775">
        <f>J17</f>
        <v>102</v>
      </c>
      <c r="X17" s="1804"/>
      <c r="Y17" s="3214"/>
      <c r="Z17" s="1805" t="str">
        <f>Q17</f>
        <v>交通便捷度</v>
      </c>
      <c r="AA17" s="1802">
        <f t="shared" si="3"/>
        <v>1</v>
      </c>
      <c r="AB17" s="1802">
        <f t="shared" si="4"/>
        <v>1</v>
      </c>
      <c r="AC17" s="1802">
        <f t="shared" si="5"/>
        <v>0.98039215686274506</v>
      </c>
    </row>
    <row r="18" spans="1:29" ht="15">
      <c r="A18" s="428"/>
      <c r="B18" s="456"/>
      <c r="C18" s="2601" t="s">
        <v>3198</v>
      </c>
      <c r="D18" s="450"/>
      <c r="E18" s="2603" t="s">
        <v>3198</v>
      </c>
      <c r="F18" s="453"/>
      <c r="G18" s="2602" t="s">
        <v>3198</v>
      </c>
      <c r="H18" s="448"/>
      <c r="I18" s="2603" t="s">
        <v>3197</v>
      </c>
      <c r="J18" s="448"/>
      <c r="K18" s="615"/>
      <c r="L18" s="1140"/>
      <c r="M18" s="1131"/>
      <c r="N18" s="1131"/>
      <c r="O18" s="1131"/>
      <c r="P18" s="3250"/>
      <c r="Q18" s="1801"/>
      <c r="R18" s="774"/>
      <c r="S18" s="775"/>
      <c r="T18" s="774"/>
      <c r="U18" s="775"/>
      <c r="V18" s="774"/>
      <c r="W18" s="775"/>
      <c r="X18" s="1804"/>
      <c r="Y18" s="3214"/>
      <c r="Z18" s="1805"/>
      <c r="AA18" s="1802">
        <v>1</v>
      </c>
      <c r="AB18" s="1802">
        <v>1</v>
      </c>
      <c r="AC18" s="1802">
        <v>1</v>
      </c>
    </row>
    <row r="19" spans="1:29" ht="41.4">
      <c r="A19" s="428"/>
      <c r="B19" s="451" t="s">
        <v>2652</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102</v>
      </c>
      <c r="K19" s="614">
        <v>2</v>
      </c>
      <c r="L19" s="1140"/>
      <c r="M19" s="1131"/>
      <c r="N19" s="1131"/>
      <c r="O19" s="1131"/>
      <c r="P19" s="3250"/>
      <c r="Q19" s="1801" t="str">
        <f>B19</f>
        <v>公共配套设施</v>
      </c>
      <c r="R19" s="774" t="s">
        <v>17</v>
      </c>
      <c r="S19" s="775">
        <f>F19</f>
        <v>100</v>
      </c>
      <c r="T19" s="774" t="s">
        <v>17</v>
      </c>
      <c r="U19" s="775">
        <f>H19</f>
        <v>100</v>
      </c>
      <c r="V19" s="774" t="s">
        <v>17</v>
      </c>
      <c r="W19" s="775">
        <f>J19</f>
        <v>102</v>
      </c>
      <c r="X19" s="1804"/>
      <c r="Y19" s="3214"/>
      <c r="Z19" s="1805" t="str">
        <f>Q19</f>
        <v>公共配套设施</v>
      </c>
      <c r="AA19" s="1802">
        <f t="shared" si="3"/>
        <v>1</v>
      </c>
      <c r="AB19" s="1802">
        <f t="shared" si="4"/>
        <v>1</v>
      </c>
      <c r="AC19" s="1802">
        <f t="shared" si="5"/>
        <v>0.98039215686274506</v>
      </c>
    </row>
    <row r="20" spans="1:29" ht="15">
      <c r="A20" s="428"/>
      <c r="B20" s="456"/>
      <c r="C20" s="447" t="s">
        <v>3198</v>
      </c>
      <c r="D20" s="448"/>
      <c r="E20" s="2598" t="s">
        <v>3198</v>
      </c>
      <c r="F20" s="449"/>
      <c r="G20" s="2597" t="s">
        <v>3198</v>
      </c>
      <c r="H20" s="448"/>
      <c r="I20" s="2598" t="s">
        <v>3197</v>
      </c>
      <c r="J20" s="448"/>
      <c r="K20" s="615"/>
      <c r="L20" s="1140"/>
      <c r="M20" s="1131"/>
      <c r="N20" s="1131"/>
      <c r="O20" s="1131"/>
      <c r="P20" s="3250"/>
      <c r="Q20" s="1801"/>
      <c r="R20" s="774"/>
      <c r="S20" s="775"/>
      <c r="T20" s="774"/>
      <c r="U20" s="775"/>
      <c r="V20" s="774"/>
      <c r="W20" s="775"/>
      <c r="X20" s="1804"/>
      <c r="Y20" s="3214"/>
      <c r="Z20" s="1805"/>
      <c r="AA20" s="1802">
        <v>1</v>
      </c>
      <c r="AB20" s="1802">
        <v>1</v>
      </c>
      <c r="AC20" s="1802">
        <v>1</v>
      </c>
    </row>
    <row r="21" spans="1:29" ht="27.6">
      <c r="A21" s="428"/>
      <c r="B21" s="1384" t="s">
        <v>2653</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50"/>
      <c r="Q21" s="1801" t="str">
        <f>B21</f>
        <v>基础设施水平</v>
      </c>
      <c r="R21" s="774" t="s">
        <v>17</v>
      </c>
      <c r="S21" s="775">
        <f>F21</f>
        <v>100</v>
      </c>
      <c r="T21" s="774" t="s">
        <v>17</v>
      </c>
      <c r="U21" s="775">
        <f>H21</f>
        <v>100</v>
      </c>
      <c r="V21" s="774" t="s">
        <v>17</v>
      </c>
      <c r="W21" s="775">
        <f>J21</f>
        <v>100</v>
      </c>
      <c r="X21" s="1804"/>
      <c r="Y21" s="3214"/>
      <c r="Z21" s="1805" t="str">
        <f>Q21</f>
        <v>基础设施水平</v>
      </c>
      <c r="AA21" s="1802">
        <f t="shared" ref="AA21" si="8">D21/F21</f>
        <v>1</v>
      </c>
      <c r="AB21" s="1802">
        <f t="shared" ref="AB21" si="9">D21/H21</f>
        <v>1</v>
      </c>
      <c r="AC21" s="1802">
        <f t="shared" ref="AC21" si="10">D21/J21</f>
        <v>1</v>
      </c>
    </row>
    <row r="22" spans="1:29" ht="15">
      <c r="A22" s="428"/>
      <c r="B22" s="1384"/>
      <c r="C22" s="2601" t="s">
        <v>3162</v>
      </c>
      <c r="D22" s="448"/>
      <c r="E22" s="2601" t="s">
        <v>3162</v>
      </c>
      <c r="F22" s="449"/>
      <c r="G22" s="2601" t="s">
        <v>3162</v>
      </c>
      <c r="H22" s="448"/>
      <c r="I22" s="2601" t="s">
        <v>3162</v>
      </c>
      <c r="J22" s="448"/>
      <c r="K22" s="1383"/>
      <c r="L22" s="1140"/>
      <c r="M22" s="1131"/>
      <c r="N22" s="1131"/>
      <c r="O22" s="1131"/>
      <c r="P22" s="3250"/>
      <c r="Q22" s="1801"/>
      <c r="R22" s="774"/>
      <c r="S22" s="775"/>
      <c r="T22" s="774"/>
      <c r="U22" s="775"/>
      <c r="V22" s="774"/>
      <c r="W22" s="775"/>
      <c r="X22" s="1804"/>
      <c r="Y22" s="3214"/>
      <c r="Z22" s="1805"/>
      <c r="AA22" s="1802">
        <v>1</v>
      </c>
      <c r="AB22" s="1802">
        <v>1</v>
      </c>
      <c r="AC22" s="1802">
        <v>1</v>
      </c>
    </row>
    <row r="23" spans="1:29" ht="55.2">
      <c r="A23" s="428"/>
      <c r="B23" s="451" t="s">
        <v>2099</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50"/>
      <c r="Q23" s="1801" t="str">
        <f>B23</f>
        <v>自然及人文环境</v>
      </c>
      <c r="R23" s="774" t="s">
        <v>17</v>
      </c>
      <c r="S23" s="775">
        <f>F23</f>
        <v>100</v>
      </c>
      <c r="T23" s="774" t="s">
        <v>17</v>
      </c>
      <c r="U23" s="775">
        <f>H23</f>
        <v>100</v>
      </c>
      <c r="V23" s="774" t="s">
        <v>17</v>
      </c>
      <c r="W23" s="775">
        <f>J23</f>
        <v>100</v>
      </c>
      <c r="X23" s="1804"/>
      <c r="Y23" s="3214"/>
      <c r="Z23" s="1805" t="str">
        <f>Q23</f>
        <v>自然及人文环境</v>
      </c>
      <c r="AA23" s="1802">
        <f t="shared" si="3"/>
        <v>1</v>
      </c>
      <c r="AB23" s="1802">
        <f t="shared" si="4"/>
        <v>1</v>
      </c>
      <c r="AC23" s="1802">
        <f t="shared" si="5"/>
        <v>1</v>
      </c>
    </row>
    <row r="24" spans="1:29" ht="15">
      <c r="A24" s="428"/>
      <c r="B24" s="456"/>
      <c r="C24" s="447" t="s">
        <v>3198</v>
      </c>
      <c r="D24" s="448"/>
      <c r="E24" s="447" t="s">
        <v>3198</v>
      </c>
      <c r="F24" s="449"/>
      <c r="G24" s="447" t="s">
        <v>3198</v>
      </c>
      <c r="H24" s="448"/>
      <c r="I24" s="447" t="s">
        <v>3198</v>
      </c>
      <c r="J24" s="448"/>
      <c r="K24" s="615"/>
      <c r="L24" s="1140"/>
      <c r="M24" s="1131"/>
      <c r="N24" s="1131"/>
      <c r="O24" s="1131"/>
      <c r="P24" s="3250"/>
      <c r="Q24" s="1801"/>
      <c r="R24" s="774"/>
      <c r="S24" s="775"/>
      <c r="T24" s="774"/>
      <c r="U24" s="775"/>
      <c r="V24" s="774"/>
      <c r="W24" s="775"/>
      <c r="X24" s="1804"/>
      <c r="Y24" s="3214"/>
      <c r="Z24" s="1805"/>
      <c r="AA24" s="1802">
        <v>1</v>
      </c>
      <c r="AB24" s="1802">
        <v>1</v>
      </c>
      <c r="AC24" s="1802">
        <v>1</v>
      </c>
    </row>
    <row r="25" spans="1:29" ht="15">
      <c r="A25" s="428"/>
      <c r="B25" s="422" t="s">
        <v>2654</v>
      </c>
      <c r="C25" s="616" t="s">
        <v>3146</v>
      </c>
      <c r="D25" s="435">
        <v>100</v>
      </c>
      <c r="E25" s="616" t="s">
        <v>3144</v>
      </c>
      <c r="F25" s="461">
        <f>SUMIF(86:86,E25,87:87)-SUMIF(86:86,C25,87:87)+100</f>
        <v>102</v>
      </c>
      <c r="G25" s="616" t="s">
        <v>3144</v>
      </c>
      <c r="H25" s="435">
        <f>SUMIF(86:86,G25,87:87)-SUMIF(86:86,C25,87:87)+100</f>
        <v>102</v>
      </c>
      <c r="I25" s="616" t="s">
        <v>3146</v>
      </c>
      <c r="J25" s="435">
        <f>SUMIF(86:86,I25,87:87)-SUMIF(86:86,C25,87:87)+100</f>
        <v>100</v>
      </c>
      <c r="K25" s="612">
        <v>2</v>
      </c>
      <c r="L25" s="1140"/>
      <c r="M25" s="1131"/>
      <c r="N25" s="1131"/>
      <c r="O25" s="1131"/>
      <c r="P25" s="3250"/>
      <c r="Q25" s="1801" t="str">
        <f t="shared" ref="Q25:Q46" si="11">B25</f>
        <v>临街状况</v>
      </c>
      <c r="R25" s="774" t="s">
        <v>17</v>
      </c>
      <c r="S25" s="775">
        <f>F25</f>
        <v>102</v>
      </c>
      <c r="T25" s="774" t="s">
        <v>17</v>
      </c>
      <c r="U25" s="775">
        <f>H25</f>
        <v>102</v>
      </c>
      <c r="V25" s="774" t="s">
        <v>17</v>
      </c>
      <c r="W25" s="775">
        <f>J25</f>
        <v>100</v>
      </c>
      <c r="X25" s="1804"/>
      <c r="Y25" s="3214"/>
      <c r="Z25" s="1805" t="str">
        <f>Q25</f>
        <v>临街状况</v>
      </c>
      <c r="AA25" s="1802">
        <f t="shared" si="3"/>
        <v>0.98039215686274506</v>
      </c>
      <c r="AB25" s="1802">
        <f t="shared" si="4"/>
        <v>0.98039215686274506</v>
      </c>
      <c r="AC25" s="1802">
        <f t="shared" si="5"/>
        <v>1</v>
      </c>
    </row>
    <row r="26" spans="1:29" ht="15">
      <c r="A26" s="428"/>
      <c r="B26" s="1386" t="s">
        <v>2655</v>
      </c>
      <c r="C26" s="2970" t="s">
        <v>3199</v>
      </c>
      <c r="D26" s="435">
        <v>100</v>
      </c>
      <c r="E26" s="2970" t="s">
        <v>3200</v>
      </c>
      <c r="F26" s="461">
        <f>SUMIF(88:88,E26,89:89)-SUMIF(88:88,C26,89:89)+100</f>
        <v>102</v>
      </c>
      <c r="G26" s="2970" t="s">
        <v>3200</v>
      </c>
      <c r="H26" s="435">
        <f>SUMIF(88:88,G26,89:89)-SUMIF(88:88,C26,89:89)+100</f>
        <v>102</v>
      </c>
      <c r="I26" s="2970" t="s">
        <v>3199</v>
      </c>
      <c r="J26" s="435">
        <f>SUMIF(88:88,I26,89:89)-SUMIF(88:88,C26,89:89)+100</f>
        <v>100</v>
      </c>
      <c r="K26" s="613"/>
      <c r="L26" s="1140"/>
      <c r="M26" s="1131"/>
      <c r="N26" s="1131"/>
      <c r="O26" s="1131"/>
      <c r="P26" s="3250"/>
      <c r="Q26" s="1801" t="str">
        <f t="shared" si="11"/>
        <v>平面位置/可视性</v>
      </c>
      <c r="R26" s="774" t="s">
        <v>17</v>
      </c>
      <c r="S26" s="775">
        <f>F26</f>
        <v>102</v>
      </c>
      <c r="T26" s="774" t="s">
        <v>17</v>
      </c>
      <c r="U26" s="775">
        <f>H26</f>
        <v>102</v>
      </c>
      <c r="V26" s="774" t="s">
        <v>17</v>
      </c>
      <c r="W26" s="775">
        <f>J26</f>
        <v>100</v>
      </c>
      <c r="X26" s="1804"/>
      <c r="Y26" s="3214"/>
      <c r="Z26" s="1805" t="str">
        <f>Q26</f>
        <v>平面位置/可视性</v>
      </c>
      <c r="AA26" s="1802">
        <f t="shared" si="3"/>
        <v>0.98039215686274506</v>
      </c>
      <c r="AB26" s="1802">
        <f t="shared" si="4"/>
        <v>0.98039215686274506</v>
      </c>
      <c r="AC26" s="1802">
        <f t="shared" si="5"/>
        <v>1</v>
      </c>
    </row>
    <row r="27" spans="1:29" s="117" customFormat="1" ht="15">
      <c r="A27" s="431"/>
      <c r="B27" s="451" t="s">
        <v>2656</v>
      </c>
      <c r="C27" s="2658" t="s">
        <v>3198</v>
      </c>
      <c r="D27" s="462">
        <v>100</v>
      </c>
      <c r="E27" s="2658" t="s">
        <v>3198</v>
      </c>
      <c r="F27" s="464">
        <f>SUMIF(90:90,E27,91:91)-SUMIF(90:90,C27,91:91)+100</f>
        <v>100</v>
      </c>
      <c r="G27" s="2658" t="s">
        <v>3198</v>
      </c>
      <c r="H27" s="462">
        <f>SUMIF(90:90,G27,91:91)-SUMIF(90:90,C27,91:91)+100</f>
        <v>100</v>
      </c>
      <c r="I27" s="2658" t="s">
        <v>3149</v>
      </c>
      <c r="J27" s="462">
        <f>SUMIF(90:90,I27,91:91)-SUMIF(90:90,C27,91:91)+100</f>
        <v>102</v>
      </c>
      <c r="K27" s="612">
        <v>2</v>
      </c>
      <c r="L27" s="1132"/>
      <c r="M27" s="1133"/>
      <c r="N27" s="1133"/>
      <c r="O27" s="1133"/>
      <c r="P27" s="3250"/>
      <c r="Q27" s="1786" t="str">
        <f t="shared" si="11"/>
        <v>人流量</v>
      </c>
      <c r="R27" s="770" t="s">
        <v>17</v>
      </c>
      <c r="S27" s="771">
        <f>F27</f>
        <v>100</v>
      </c>
      <c r="T27" s="770" t="s">
        <v>17</v>
      </c>
      <c r="U27" s="771">
        <f>H27</f>
        <v>100</v>
      </c>
      <c r="V27" s="770" t="s">
        <v>17</v>
      </c>
      <c r="W27" s="771">
        <f>J27</f>
        <v>102</v>
      </c>
      <c r="X27" s="772"/>
      <c r="Y27" s="3214"/>
      <c r="Z27" s="55" t="str">
        <f>Q27</f>
        <v>人流量</v>
      </c>
      <c r="AA27" s="1802">
        <f>D27/F27</f>
        <v>1</v>
      </c>
      <c r="AB27" s="1802">
        <f>D27/H27</f>
        <v>1</v>
      </c>
      <c r="AC27" s="1802">
        <f>D27/J27</f>
        <v>0.98039215686274506</v>
      </c>
    </row>
    <row r="28" spans="1:29" ht="15">
      <c r="A28" s="428"/>
      <c r="B28" s="422" t="s">
        <v>2657</v>
      </c>
      <c r="C28" s="616" t="s">
        <v>3118</v>
      </c>
      <c r="D28" s="435">
        <v>100</v>
      </c>
      <c r="E28" s="616" t="s">
        <v>3118</v>
      </c>
      <c r="F28" s="461">
        <f>SUMIF(92:92,E28,93:93)-SUMIF(92:92,C28,93:93)+100</f>
        <v>100</v>
      </c>
      <c r="G28" s="616" t="s">
        <v>3118</v>
      </c>
      <c r="H28" s="435">
        <f>SUMIF(92:92,G28,93:93)-SUMIF(92:92,C28,93:93)+100</f>
        <v>100</v>
      </c>
      <c r="I28" s="616" t="s">
        <v>3118</v>
      </c>
      <c r="J28" s="435">
        <f>SUMIF(92:92,I28,93:93)-SUMIF(92:92,C28,93:93)+100</f>
        <v>100</v>
      </c>
      <c r="K28" s="613"/>
      <c r="L28" s="1140"/>
      <c r="M28" s="1131"/>
      <c r="N28" s="1131"/>
      <c r="O28" s="1131"/>
      <c r="P28" s="3250"/>
      <c r="Q28" s="1801" t="str">
        <f t="shared" si="11"/>
        <v>楼层</v>
      </c>
      <c r="R28" s="774" t="s">
        <v>17</v>
      </c>
      <c r="S28" s="775">
        <f t="shared" ref="S28:S46" si="12">F28</f>
        <v>100</v>
      </c>
      <c r="T28" s="774" t="s">
        <v>17</v>
      </c>
      <c r="U28" s="775">
        <f t="shared" ref="U28:U46" si="13">H28</f>
        <v>100</v>
      </c>
      <c r="V28" s="774" t="s">
        <v>17</v>
      </c>
      <c r="W28" s="775">
        <f t="shared" ref="W28:W46" si="14">J28</f>
        <v>100</v>
      </c>
      <c r="X28" s="1804"/>
      <c r="Y28" s="3214"/>
      <c r="Z28" s="1805" t="str">
        <f t="shared" ref="Z28:Z46" si="15">Q28</f>
        <v>楼层</v>
      </c>
      <c r="AA28" s="1802">
        <f t="shared" si="3"/>
        <v>1</v>
      </c>
      <c r="AB28" s="1802">
        <f t="shared" si="4"/>
        <v>1</v>
      </c>
      <c r="AC28" s="1802">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0"/>
      <c r="Q29" s="1801">
        <f t="shared" si="11"/>
        <v>111</v>
      </c>
      <c r="R29" s="774" t="s">
        <v>17</v>
      </c>
      <c r="S29" s="775">
        <f t="shared" si="12"/>
        <v>100</v>
      </c>
      <c r="T29" s="774" t="s">
        <v>17</v>
      </c>
      <c r="U29" s="775">
        <f t="shared" si="13"/>
        <v>100</v>
      </c>
      <c r="V29" s="774" t="s">
        <v>17</v>
      </c>
      <c r="W29" s="775">
        <f t="shared" si="14"/>
        <v>100</v>
      </c>
      <c r="X29" s="1804"/>
      <c r="Y29" s="3214"/>
      <c r="Z29" s="1805">
        <f t="shared" si="15"/>
        <v>111</v>
      </c>
      <c r="AA29" s="1802">
        <f t="shared" si="3"/>
        <v>1</v>
      </c>
      <c r="AB29" s="1802">
        <f t="shared" si="4"/>
        <v>1</v>
      </c>
      <c r="AC29" s="1802">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0"/>
      <c r="Q30" s="1801">
        <f t="shared" si="11"/>
        <v>111</v>
      </c>
      <c r="R30" s="774" t="s">
        <v>17</v>
      </c>
      <c r="S30" s="775">
        <f t="shared" si="12"/>
        <v>100</v>
      </c>
      <c r="T30" s="774" t="s">
        <v>17</v>
      </c>
      <c r="U30" s="775">
        <f t="shared" si="13"/>
        <v>100</v>
      </c>
      <c r="V30" s="774" t="s">
        <v>17</v>
      </c>
      <c r="W30" s="775">
        <f t="shared" si="14"/>
        <v>100</v>
      </c>
      <c r="X30" s="1804"/>
      <c r="Y30" s="3214"/>
      <c r="Z30" s="1805">
        <f t="shared" si="15"/>
        <v>111</v>
      </c>
      <c r="AA30" s="1802">
        <f t="shared" si="3"/>
        <v>1</v>
      </c>
      <c r="AB30" s="1802">
        <f t="shared" si="4"/>
        <v>1</v>
      </c>
      <c r="AC30" s="1802">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0"/>
      <c r="Q31" s="1801">
        <f t="shared" si="11"/>
        <v>111</v>
      </c>
      <c r="R31" s="774" t="s">
        <v>17</v>
      </c>
      <c r="S31" s="775">
        <f t="shared" si="12"/>
        <v>100</v>
      </c>
      <c r="T31" s="774" t="s">
        <v>17</v>
      </c>
      <c r="U31" s="775">
        <f t="shared" si="13"/>
        <v>100</v>
      </c>
      <c r="V31" s="774" t="s">
        <v>17</v>
      </c>
      <c r="W31" s="775">
        <f t="shared" si="14"/>
        <v>100</v>
      </c>
      <c r="X31" s="1804"/>
      <c r="Y31" s="3214"/>
      <c r="Z31" s="1805">
        <f t="shared" si="15"/>
        <v>111</v>
      </c>
      <c r="AA31" s="1802">
        <f t="shared" si="3"/>
        <v>1</v>
      </c>
      <c r="AB31" s="1802">
        <f t="shared" si="4"/>
        <v>1</v>
      </c>
      <c r="AC31" s="1802">
        <f t="shared" si="5"/>
        <v>1</v>
      </c>
    </row>
    <row r="32" spans="1:29" ht="15">
      <c r="A32" s="440" t="s">
        <v>2561</v>
      </c>
      <c r="B32" s="71" t="s">
        <v>2658</v>
      </c>
      <c r="C32" s="2610" t="s">
        <v>3157</v>
      </c>
      <c r="D32" s="467">
        <v>100</v>
      </c>
      <c r="E32" s="2610" t="s">
        <v>3159</v>
      </c>
      <c r="F32" s="461">
        <f>SUMIF(100:100,E32,101:101)-SUMIF(100:100,C32,101:101)+100</f>
        <v>94</v>
      </c>
      <c r="G32" s="2610" t="s">
        <v>3159</v>
      </c>
      <c r="H32" s="435">
        <f>SUMIF(100:100,G32,101:101)-SUMIF(100:100,C32,101:101)+100</f>
        <v>94</v>
      </c>
      <c r="I32" s="2610" t="s">
        <v>3159</v>
      </c>
      <c r="J32" s="467">
        <f>SUMIF(100:100,I32,101:101)-SUMIF(100:100,C32,101:101)+100</f>
        <v>94</v>
      </c>
      <c r="K32" s="612">
        <v>3</v>
      </c>
      <c r="L32" s="1140"/>
      <c r="M32" s="1131"/>
      <c r="N32" s="1131"/>
      <c r="O32" s="1131"/>
      <c r="P32" s="3251" t="s">
        <v>2563</v>
      </c>
      <c r="Q32" s="1801" t="str">
        <f t="shared" si="11"/>
        <v>商业类型</v>
      </c>
      <c r="R32" s="774" t="s">
        <v>17</v>
      </c>
      <c r="S32" s="775">
        <f t="shared" si="12"/>
        <v>94</v>
      </c>
      <c r="T32" s="774" t="s">
        <v>17</v>
      </c>
      <c r="U32" s="775">
        <f t="shared" si="13"/>
        <v>94</v>
      </c>
      <c r="V32" s="774" t="s">
        <v>17</v>
      </c>
      <c r="W32" s="775">
        <f t="shared" si="14"/>
        <v>94</v>
      </c>
      <c r="X32" s="1804"/>
      <c r="Y32" s="3216" t="s">
        <v>2563</v>
      </c>
      <c r="Z32" s="1805" t="str">
        <f t="shared" si="15"/>
        <v>商业类型</v>
      </c>
      <c r="AA32" s="1802">
        <f t="shared" si="3"/>
        <v>1.0638297872340425</v>
      </c>
      <c r="AB32" s="1802">
        <f t="shared" si="4"/>
        <v>1.0638297872340425</v>
      </c>
      <c r="AC32" s="1802">
        <f t="shared" si="5"/>
        <v>1.0638297872340425</v>
      </c>
    </row>
    <row r="33" spans="1:29" s="471" customFormat="1" ht="15">
      <c r="A33" s="468"/>
      <c r="B33" s="422" t="s">
        <v>2564</v>
      </c>
      <c r="C33" s="469">
        <f>'数据-汇总表'!F19</f>
        <v>58289.510000000017</v>
      </c>
      <c r="D33" s="136">
        <v>100</v>
      </c>
      <c r="E33" s="430">
        <v>350</v>
      </c>
      <c r="F33" s="425">
        <f>LOOKUP(E33,103:103,104:104)-LOOKUP(C33,103:103,104:104)+100</f>
        <v>106</v>
      </c>
      <c r="G33" s="429">
        <v>59.81</v>
      </c>
      <c r="H33" s="136">
        <f>LOOKUP(G33,103:103,104:104)-LOOKUP(C33,103:103,104:104)+100</f>
        <v>108</v>
      </c>
      <c r="I33" s="429">
        <v>63</v>
      </c>
      <c r="J33" s="136">
        <f>LOOKUP(I33,103:103,104:104)-LOOKUP(C33,103:103,104:104)+100</f>
        <v>108</v>
      </c>
      <c r="K33" s="613"/>
      <c r="L33" s="1138"/>
      <c r="M33" s="1141"/>
      <c r="N33" s="1141"/>
      <c r="O33" s="1141"/>
      <c r="P33" s="3252"/>
      <c r="Q33" s="776" t="str">
        <f t="shared" si="11"/>
        <v>项目建筑规模</v>
      </c>
      <c r="R33" s="777" t="s">
        <v>17</v>
      </c>
      <c r="S33" s="778">
        <f t="shared" si="12"/>
        <v>106</v>
      </c>
      <c r="T33" s="777" t="s">
        <v>17</v>
      </c>
      <c r="U33" s="778">
        <f t="shared" si="13"/>
        <v>108</v>
      </c>
      <c r="V33" s="777" t="s">
        <v>17</v>
      </c>
      <c r="W33" s="778">
        <f t="shared" si="14"/>
        <v>108</v>
      </c>
      <c r="X33" s="779"/>
      <c r="Y33" s="3216"/>
      <c r="Z33" s="780" t="str">
        <f t="shared" si="15"/>
        <v>项目建筑规模</v>
      </c>
      <c r="AA33" s="1802">
        <f t="shared" si="3"/>
        <v>0.94339622641509435</v>
      </c>
      <c r="AB33" s="1802">
        <f t="shared" si="4"/>
        <v>0.92592592592592593</v>
      </c>
      <c r="AC33" s="1802">
        <f t="shared" si="5"/>
        <v>0.92592592592592593</v>
      </c>
    </row>
    <row r="34" spans="1:29" ht="15">
      <c r="A34" s="472"/>
      <c r="B34" s="422" t="s">
        <v>2565</v>
      </c>
      <c r="C34" s="2612" t="s">
        <v>3116</v>
      </c>
      <c r="D34" s="435">
        <v>100</v>
      </c>
      <c r="E34" s="2612" t="s">
        <v>3116</v>
      </c>
      <c r="F34" s="461">
        <f>SUMIF(105:105,E34,106:106)-SUMIF(105:105,C34,106:106)+100</f>
        <v>100</v>
      </c>
      <c r="G34" s="2612" t="s">
        <v>3116</v>
      </c>
      <c r="H34" s="435">
        <f>SUMIF(105:105,G34,106:106)-SUMIF(105:105,C34,106:106)+100</f>
        <v>100</v>
      </c>
      <c r="I34" s="2612" t="s">
        <v>3116</v>
      </c>
      <c r="J34" s="435">
        <f>SUMIF(105:105,I34,106:106)-SUMIF(105:105,C34,106:106)+100</f>
        <v>100</v>
      </c>
      <c r="K34" s="612">
        <v>2</v>
      </c>
      <c r="L34" s="1140"/>
      <c r="M34" s="1131"/>
      <c r="N34" s="1131"/>
      <c r="O34" s="1131"/>
      <c r="P34" s="3252"/>
      <c r="Q34" s="1801" t="str">
        <f t="shared" si="11"/>
        <v>建筑结构</v>
      </c>
      <c r="R34" s="774" t="s">
        <v>17</v>
      </c>
      <c r="S34" s="775">
        <f t="shared" si="12"/>
        <v>100</v>
      </c>
      <c r="T34" s="774" t="s">
        <v>17</v>
      </c>
      <c r="U34" s="775">
        <f t="shared" si="13"/>
        <v>100</v>
      </c>
      <c r="V34" s="774" t="s">
        <v>17</v>
      </c>
      <c r="W34" s="775">
        <f t="shared" si="14"/>
        <v>100</v>
      </c>
      <c r="X34" s="1804"/>
      <c r="Y34" s="3216"/>
      <c r="Z34" s="1805" t="str">
        <f t="shared" si="15"/>
        <v>建筑结构</v>
      </c>
      <c r="AA34" s="1802">
        <f t="shared" si="3"/>
        <v>1</v>
      </c>
      <c r="AB34" s="1802">
        <f t="shared" si="4"/>
        <v>1</v>
      </c>
      <c r="AC34" s="1802">
        <f t="shared" si="5"/>
        <v>1</v>
      </c>
    </row>
    <row r="35" spans="1:29" ht="15">
      <c r="A35" s="472"/>
      <c r="B35" s="422" t="s">
        <v>2659</v>
      </c>
      <c r="C35" s="2606" t="s">
        <v>3125</v>
      </c>
      <c r="D35" s="435">
        <v>100</v>
      </c>
      <c r="E35" s="2606" t="s">
        <v>3125</v>
      </c>
      <c r="F35" s="461">
        <f>SUMIF(107:107,E35,108:108)-SUMIF(107:107,C35,108:108)+100</f>
        <v>100</v>
      </c>
      <c r="G35" s="2606" t="s">
        <v>3125</v>
      </c>
      <c r="H35" s="435">
        <f>SUMIF(107:107,G35,108:108)-SUMIF(107:107,C35,108:108)+100</f>
        <v>100</v>
      </c>
      <c r="I35" s="2606" t="s">
        <v>3125</v>
      </c>
      <c r="J35" s="435">
        <f>SUMIF(107:107,I35,108:108)-SUMIF(107:107,C35,108:108)+100</f>
        <v>100</v>
      </c>
      <c r="K35" s="612">
        <v>2</v>
      </c>
      <c r="L35" s="1140"/>
      <c r="M35" s="1131"/>
      <c r="N35" s="1131"/>
      <c r="O35" s="1131"/>
      <c r="P35" s="3252"/>
      <c r="Q35" s="1801" t="str">
        <f t="shared" si="11"/>
        <v>公共部分装修</v>
      </c>
      <c r="R35" s="774" t="s">
        <v>17</v>
      </c>
      <c r="S35" s="775">
        <f t="shared" si="12"/>
        <v>100</v>
      </c>
      <c r="T35" s="774" t="s">
        <v>17</v>
      </c>
      <c r="U35" s="775">
        <f t="shared" si="13"/>
        <v>100</v>
      </c>
      <c r="V35" s="774" t="s">
        <v>17</v>
      </c>
      <c r="W35" s="775">
        <f t="shared" si="14"/>
        <v>100</v>
      </c>
      <c r="X35" s="1804"/>
      <c r="Y35" s="3216"/>
      <c r="Z35" s="1805" t="str">
        <f t="shared" si="15"/>
        <v>公共部分装修</v>
      </c>
      <c r="AA35" s="1802">
        <f t="shared" si="3"/>
        <v>1</v>
      </c>
      <c r="AB35" s="1802">
        <f t="shared" si="4"/>
        <v>1</v>
      </c>
      <c r="AC35" s="1802">
        <f t="shared" si="5"/>
        <v>1</v>
      </c>
    </row>
    <row r="36" spans="1:29" ht="15">
      <c r="A36" s="472"/>
      <c r="B36" s="422" t="s">
        <v>2660</v>
      </c>
      <c r="C36" s="474">
        <f>'数据-取费表'!N6</f>
        <v>0.9</v>
      </c>
      <c r="D36" s="435">
        <v>100</v>
      </c>
      <c r="E36" s="474">
        <v>0.98</v>
      </c>
      <c r="F36" s="461">
        <f>LOOKUP(E36,110:110,111:111)-LOOKUP(C36,110:110,111:111)+100</f>
        <v>100</v>
      </c>
      <c r="G36" s="474">
        <v>0.95</v>
      </c>
      <c r="H36" s="461">
        <f>LOOKUP(G36,110:110,111:111)-LOOKUP(C36,110:110,111:111)+100</f>
        <v>100</v>
      </c>
      <c r="I36" s="474">
        <v>0.85</v>
      </c>
      <c r="J36" s="435">
        <f>LOOKUP(I36,110:110,111:111)-LOOKUP(C36,110:110,111:111)+100</f>
        <v>97</v>
      </c>
      <c r="K36" s="612">
        <v>3</v>
      </c>
      <c r="L36" s="1140"/>
      <c r="M36" s="1131"/>
      <c r="N36" s="1131"/>
      <c r="O36" s="1131"/>
      <c r="P36" s="3252"/>
      <c r="Q36" s="1801" t="str">
        <f t="shared" si="11"/>
        <v>成新度</v>
      </c>
      <c r="R36" s="774" t="s">
        <v>17</v>
      </c>
      <c r="S36" s="775">
        <f t="shared" si="12"/>
        <v>100</v>
      </c>
      <c r="T36" s="774" t="s">
        <v>17</v>
      </c>
      <c r="U36" s="775">
        <f t="shared" si="13"/>
        <v>100</v>
      </c>
      <c r="V36" s="774" t="s">
        <v>17</v>
      </c>
      <c r="W36" s="775">
        <f t="shared" si="14"/>
        <v>97</v>
      </c>
      <c r="X36" s="1804"/>
      <c r="Y36" s="3216"/>
      <c r="Z36" s="1805" t="str">
        <f t="shared" si="15"/>
        <v>成新度</v>
      </c>
      <c r="AA36" s="1802">
        <f t="shared" si="3"/>
        <v>1</v>
      </c>
      <c r="AB36" s="1802">
        <f t="shared" si="4"/>
        <v>1</v>
      </c>
      <c r="AC36" s="1802">
        <f t="shared" si="5"/>
        <v>1.0309278350515463</v>
      </c>
    </row>
    <row r="37" spans="1:29" s="117" customFormat="1" ht="15">
      <c r="A37" s="473"/>
      <c r="B37" s="422" t="s">
        <v>2661</v>
      </c>
      <c r="C37" s="2606" t="s">
        <v>3162</v>
      </c>
      <c r="D37" s="136">
        <v>100</v>
      </c>
      <c r="E37" s="2606" t="s">
        <v>3162</v>
      </c>
      <c r="F37" s="461">
        <f>SUMIF(112:112,E37,113:113)-SUMIF(112:112,C37,113:113)+100</f>
        <v>100</v>
      </c>
      <c r="G37" s="2606" t="s">
        <v>3162</v>
      </c>
      <c r="H37" s="435">
        <f>SUMIF(112:112,G37,113:113)-SUMIF(112:112,C37,113:113)+100</f>
        <v>100</v>
      </c>
      <c r="I37" s="2606" t="s">
        <v>3162</v>
      </c>
      <c r="J37" s="435">
        <f>SUMIF(112:112,I37,113:113)-SUMIF(112:112,C37,113:113)+100</f>
        <v>100</v>
      </c>
      <c r="K37" s="612">
        <v>2</v>
      </c>
      <c r="L37" s="1132"/>
      <c r="M37" s="1133"/>
      <c r="N37" s="1133"/>
      <c r="O37" s="1133"/>
      <c r="P37" s="3252"/>
      <c r="Q37" s="1786"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2662</v>
      </c>
      <c r="C38" s="2606" t="s">
        <v>3166</v>
      </c>
      <c r="D38" s="435">
        <v>100</v>
      </c>
      <c r="E38" s="2606" t="s">
        <v>3166</v>
      </c>
      <c r="F38" s="461">
        <f>SUMIF(114:114,E38,115:115)-SUMIF(114:114,C38,115:115)+100</f>
        <v>100</v>
      </c>
      <c r="G38" s="2606" t="s">
        <v>3166</v>
      </c>
      <c r="H38" s="435">
        <f>SUMIF(114:114,G38,115:115)-SUMIF(114:114,C38,115:115)+100</f>
        <v>100</v>
      </c>
      <c r="I38" s="2606" t="s">
        <v>3166</v>
      </c>
      <c r="J38" s="435">
        <f>SUMIF(114:114,I38,115:115)-SUMIF(114:114,C38,115:115)+100</f>
        <v>100</v>
      </c>
      <c r="K38" s="612">
        <v>2</v>
      </c>
      <c r="L38" s="1140"/>
      <c r="M38" s="1131"/>
      <c r="N38" s="1131"/>
      <c r="O38" s="1131"/>
      <c r="P38" s="3252" t="s">
        <v>2563</v>
      </c>
      <c r="Q38" s="1801" t="str">
        <f t="shared" si="11"/>
        <v>业态</v>
      </c>
      <c r="R38" s="774" t="s">
        <v>17</v>
      </c>
      <c r="S38" s="775">
        <f t="shared" si="12"/>
        <v>100</v>
      </c>
      <c r="T38" s="774" t="s">
        <v>17</v>
      </c>
      <c r="U38" s="775">
        <f t="shared" si="13"/>
        <v>100</v>
      </c>
      <c r="V38" s="774" t="s">
        <v>17</v>
      </c>
      <c r="W38" s="775">
        <f t="shared" si="14"/>
        <v>100</v>
      </c>
      <c r="X38" s="1804"/>
      <c r="Y38" s="3216" t="s">
        <v>2563</v>
      </c>
      <c r="Z38" s="1805" t="str">
        <f t="shared" si="15"/>
        <v>业态</v>
      </c>
      <c r="AA38" s="1802">
        <f t="shared" si="3"/>
        <v>1</v>
      </c>
      <c r="AB38" s="1802">
        <f t="shared" si="4"/>
        <v>1</v>
      </c>
      <c r="AC38" s="1802">
        <f t="shared" si="5"/>
        <v>1</v>
      </c>
    </row>
    <row r="39" spans="1:29" ht="15">
      <c r="A39" s="472"/>
      <c r="B39" s="422" t="s">
        <v>2663</v>
      </c>
      <c r="C39" s="2606" t="s">
        <v>3114</v>
      </c>
      <c r="D39" s="435">
        <v>100</v>
      </c>
      <c r="E39" s="2606" t="s">
        <v>3115</v>
      </c>
      <c r="F39" s="461">
        <f>SUMIF(116:116,E39,117:117)-SUMIF(116:116,C39,117:117)+100</f>
        <v>102</v>
      </c>
      <c r="G39" s="2606" t="s">
        <v>3114</v>
      </c>
      <c r="H39" s="435">
        <f>SUMIF(116:116,G39,117:117)-SUMIF(116:116,C39,117:117)+100</f>
        <v>100</v>
      </c>
      <c r="I39" s="2606" t="s">
        <v>3115</v>
      </c>
      <c r="J39" s="435">
        <f>SUMIF(116:116,I39,117:117)-SUMIF(116:116,C39,117:117)+100</f>
        <v>102</v>
      </c>
      <c r="K39" s="612">
        <v>2</v>
      </c>
      <c r="L39" s="1140"/>
      <c r="M39" s="1131"/>
      <c r="N39" s="1131"/>
      <c r="O39" s="1131"/>
      <c r="P39" s="3252"/>
      <c r="Q39" s="1801" t="str">
        <f t="shared" si="11"/>
        <v>层高</v>
      </c>
      <c r="R39" s="774" t="s">
        <v>17</v>
      </c>
      <c r="S39" s="775">
        <f t="shared" si="12"/>
        <v>102</v>
      </c>
      <c r="T39" s="774" t="s">
        <v>17</v>
      </c>
      <c r="U39" s="775">
        <f t="shared" si="13"/>
        <v>100</v>
      </c>
      <c r="V39" s="774" t="s">
        <v>17</v>
      </c>
      <c r="W39" s="775">
        <f t="shared" si="14"/>
        <v>102</v>
      </c>
      <c r="X39" s="1804"/>
      <c r="Y39" s="3216"/>
      <c r="Z39" s="1805" t="str">
        <f t="shared" si="15"/>
        <v>层高</v>
      </c>
      <c r="AA39" s="1802">
        <f t="shared" si="3"/>
        <v>0.98039215686274506</v>
      </c>
      <c r="AB39" s="1802">
        <f t="shared" si="4"/>
        <v>1</v>
      </c>
      <c r="AC39" s="1802">
        <f t="shared" si="5"/>
        <v>0.98039215686274506</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2"/>
      <c r="Q40" s="1801" t="str">
        <f t="shared" si="11"/>
        <v>单套建筑面积</v>
      </c>
      <c r="R40" s="774" t="s">
        <v>17</v>
      </c>
      <c r="S40" s="775">
        <f t="shared" si="12"/>
        <v>100</v>
      </c>
      <c r="T40" s="774" t="s">
        <v>17</v>
      </c>
      <c r="U40" s="775">
        <f t="shared" si="13"/>
        <v>100</v>
      </c>
      <c r="V40" s="774" t="s">
        <v>17</v>
      </c>
      <c r="W40" s="775">
        <f t="shared" si="14"/>
        <v>100</v>
      </c>
      <c r="X40" s="1804"/>
      <c r="Y40" s="3216"/>
      <c r="Z40" s="1805" t="str">
        <f t="shared" si="15"/>
        <v>单套建筑面积</v>
      </c>
      <c r="AA40" s="1802">
        <f t="shared" si="3"/>
        <v>1</v>
      </c>
      <c r="AB40" s="1802">
        <f t="shared" si="4"/>
        <v>1</v>
      </c>
      <c r="AC40" s="1802">
        <f t="shared" si="5"/>
        <v>1</v>
      </c>
    </row>
    <row r="41" spans="1:29" s="471" customFormat="1" ht="15">
      <c r="A41" s="468"/>
      <c r="B41" s="1803" t="s">
        <v>2665</v>
      </c>
      <c r="C41" s="616" t="s">
        <v>3168</v>
      </c>
      <c r="D41" s="435">
        <v>100</v>
      </c>
      <c r="E41" s="616" t="s">
        <v>3168</v>
      </c>
      <c r="F41" s="461">
        <f>SUMIF(120:120,E41,121:121)-SUMIF(120:120,C41,121:121)+100</f>
        <v>100</v>
      </c>
      <c r="G41" s="616" t="s">
        <v>3168</v>
      </c>
      <c r="H41" s="435">
        <f>SUMIF(120:120,G41,121:121)-SUMIF(120:120,C41,121:121)+100</f>
        <v>100</v>
      </c>
      <c r="I41" s="616" t="s">
        <v>3168</v>
      </c>
      <c r="J41" s="435">
        <f>SUMIF(120:120,I41,121:121)-SUMIF(120:120,C41,121:121)+100</f>
        <v>100</v>
      </c>
      <c r="K41" s="612">
        <v>1</v>
      </c>
      <c r="L41" s="1138"/>
      <c r="M41" s="1141"/>
      <c r="N41" s="1141"/>
      <c r="O41" s="1141"/>
      <c r="P41" s="3252"/>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02">
        <f t="shared" si="3"/>
        <v>1</v>
      </c>
      <c r="AB41" s="1802">
        <f t="shared" si="4"/>
        <v>1</v>
      </c>
      <c r="AC41" s="1802">
        <f t="shared" si="5"/>
        <v>1</v>
      </c>
    </row>
    <row r="42" spans="1:29" ht="15">
      <c r="A42" s="472"/>
      <c r="B42" s="422" t="s">
        <v>2666</v>
      </c>
      <c r="C42" s="2606" t="s">
        <v>3112</v>
      </c>
      <c r="D42" s="435">
        <v>100</v>
      </c>
      <c r="E42" s="2606" t="s">
        <v>3112</v>
      </c>
      <c r="F42" s="461">
        <f>SUMIF(122:122,E42,123:123)-SUMIF(122:122,C42,123:123)+100</f>
        <v>100</v>
      </c>
      <c r="G42" s="2606" t="s">
        <v>3112</v>
      </c>
      <c r="H42" s="435">
        <f>SUMIF(122:122,G42,123:123)-SUMIF(122:122,C42,123:123)+100</f>
        <v>100</v>
      </c>
      <c r="I42" s="2606" t="s">
        <v>3125</v>
      </c>
      <c r="J42" s="435">
        <f>SUMIF(122:122,I42,123:123)-SUMIF(122:122,C42,123:123)+100</f>
        <v>104</v>
      </c>
      <c r="K42" s="612">
        <v>2</v>
      </c>
      <c r="L42" s="1140"/>
      <c r="M42" s="1131"/>
      <c r="N42" s="1131"/>
      <c r="O42" s="1131"/>
      <c r="P42" s="3252"/>
      <c r="Q42" s="1801" t="str">
        <f t="shared" si="11"/>
        <v>内部装修</v>
      </c>
      <c r="R42" s="774" t="s">
        <v>17</v>
      </c>
      <c r="S42" s="775">
        <f t="shared" si="12"/>
        <v>100</v>
      </c>
      <c r="T42" s="774" t="s">
        <v>17</v>
      </c>
      <c r="U42" s="775">
        <f t="shared" si="13"/>
        <v>100</v>
      </c>
      <c r="V42" s="774" t="s">
        <v>17</v>
      </c>
      <c r="W42" s="775">
        <f t="shared" si="14"/>
        <v>104</v>
      </c>
      <c r="X42" s="1804"/>
      <c r="Y42" s="3216"/>
      <c r="Z42" s="1805" t="str">
        <f t="shared" si="15"/>
        <v>内部装修</v>
      </c>
      <c r="AA42" s="1802">
        <f t="shared" si="3"/>
        <v>1</v>
      </c>
      <c r="AB42" s="1802">
        <f t="shared" si="4"/>
        <v>1</v>
      </c>
      <c r="AC42" s="1802">
        <f t="shared" si="5"/>
        <v>0.96153846153846156</v>
      </c>
    </row>
    <row r="43" spans="1:29" ht="28.8">
      <c r="A43" s="472"/>
      <c r="B43" s="422" t="s">
        <v>2574</v>
      </c>
      <c r="C43" s="2606" t="s">
        <v>3197</v>
      </c>
      <c r="D43" s="435">
        <v>100</v>
      </c>
      <c r="E43" s="2606" t="s">
        <v>3197</v>
      </c>
      <c r="F43" s="461">
        <f>SUMIF(124:124,E43,125:125)-SUMIF(124:124,C43,125:125)+100</f>
        <v>100</v>
      </c>
      <c r="G43" s="2606" t="s">
        <v>3197</v>
      </c>
      <c r="H43" s="435">
        <f>SUMIF(124:124,G43,125:125)-SUMIF(124:124,C43,125:125)+100</f>
        <v>100</v>
      </c>
      <c r="I43" s="2606" t="s">
        <v>3197</v>
      </c>
      <c r="J43" s="435">
        <f>SUMIF(124:124,I43,125:125)-SUMIF(124:124,C43,125:125)+100</f>
        <v>100</v>
      </c>
      <c r="K43" s="612">
        <v>1</v>
      </c>
      <c r="L43" s="1140"/>
      <c r="M43" s="1131"/>
      <c r="N43" s="1131"/>
      <c r="O43" s="1131"/>
      <c r="P43" s="3252"/>
      <c r="Q43" s="1801" t="str">
        <f t="shared" si="11"/>
        <v>内部装修维护情况</v>
      </c>
      <c r="R43" s="774" t="s">
        <v>17</v>
      </c>
      <c r="S43" s="775">
        <f t="shared" si="12"/>
        <v>100</v>
      </c>
      <c r="T43" s="774" t="s">
        <v>17</v>
      </c>
      <c r="U43" s="775">
        <f t="shared" si="13"/>
        <v>100</v>
      </c>
      <c r="V43" s="774" t="s">
        <v>17</v>
      </c>
      <c r="W43" s="775">
        <f t="shared" si="14"/>
        <v>100</v>
      </c>
      <c r="X43" s="1804"/>
      <c r="Y43" s="3216"/>
      <c r="Z43" s="1805" t="str">
        <f t="shared" si="15"/>
        <v>内部装修维护情况</v>
      </c>
      <c r="AA43" s="1802">
        <f t="shared" si="3"/>
        <v>1</v>
      </c>
      <c r="AB43" s="1802">
        <f t="shared" si="4"/>
        <v>1</v>
      </c>
      <c r="AC43" s="1802">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2"/>
      <c r="Q44" s="1786">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2"/>
      <c r="Q45" s="1801">
        <f t="shared" si="11"/>
        <v>111</v>
      </c>
      <c r="R45" s="774" t="s">
        <v>17</v>
      </c>
      <c r="S45" s="775">
        <f t="shared" si="12"/>
        <v>100</v>
      </c>
      <c r="T45" s="774" t="s">
        <v>17</v>
      </c>
      <c r="U45" s="775">
        <f t="shared" si="13"/>
        <v>100</v>
      </c>
      <c r="V45" s="774" t="s">
        <v>17</v>
      </c>
      <c r="W45" s="775">
        <f t="shared" si="14"/>
        <v>100</v>
      </c>
      <c r="X45" s="1804"/>
      <c r="Y45" s="3216"/>
      <c r="Z45" s="1805">
        <f t="shared" si="15"/>
        <v>111</v>
      </c>
      <c r="AA45" s="1802">
        <f t="shared" si="3"/>
        <v>1</v>
      </c>
      <c r="AB45" s="1802">
        <f t="shared" si="4"/>
        <v>1</v>
      </c>
      <c r="AC45" s="1802">
        <f t="shared" si="5"/>
        <v>1</v>
      </c>
    </row>
    <row r="46" spans="1:29" ht="15.6"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3"/>
      <c r="Q46" s="1801">
        <f t="shared" si="11"/>
        <v>111</v>
      </c>
      <c r="R46" s="774" t="s">
        <v>17</v>
      </c>
      <c r="S46" s="775">
        <f t="shared" si="12"/>
        <v>100</v>
      </c>
      <c r="T46" s="774" t="s">
        <v>17</v>
      </c>
      <c r="U46" s="775">
        <f t="shared" si="13"/>
        <v>100</v>
      </c>
      <c r="V46" s="774" t="s">
        <v>17</v>
      </c>
      <c r="W46" s="775">
        <f t="shared" si="14"/>
        <v>100</v>
      </c>
      <c r="X46" s="1804"/>
      <c r="Y46" s="3254"/>
      <c r="Z46" s="1805">
        <f t="shared" si="15"/>
        <v>111</v>
      </c>
      <c r="AA46" s="1802">
        <f t="shared" si="3"/>
        <v>1</v>
      </c>
      <c r="AB46" s="1802">
        <f t="shared" si="4"/>
        <v>1</v>
      </c>
      <c r="AC46" s="1802">
        <f t="shared" si="5"/>
        <v>1</v>
      </c>
    </row>
    <row r="47" spans="1:29" ht="14.4">
      <c r="A47" s="479" t="s">
        <v>2575</v>
      </c>
      <c r="B47" s="480"/>
      <c r="C47" s="1407" t="s">
        <v>1</v>
      </c>
      <c r="D47" s="1408"/>
      <c r="E47" s="1409">
        <v>18000</v>
      </c>
      <c r="F47" s="1410"/>
      <c r="G47" s="1411">
        <v>21200</v>
      </c>
      <c r="H47" s="1412"/>
      <c r="I47" s="1409">
        <v>19000</v>
      </c>
      <c r="J47" s="1412"/>
      <c r="K47" s="783"/>
      <c r="L47" s="1143"/>
      <c r="M47" s="1144"/>
      <c r="N47" s="1131"/>
      <c r="O47" s="1144"/>
      <c r="P47" s="3211" t="str">
        <f>A47</f>
        <v>成交单价（元/平方米）</v>
      </c>
      <c r="Q47" s="3211"/>
      <c r="R47" s="3217">
        <f>E47</f>
        <v>18000</v>
      </c>
      <c r="S47" s="3217"/>
      <c r="T47" s="3217">
        <f>G47</f>
        <v>21200</v>
      </c>
      <c r="U47" s="3217"/>
      <c r="V47" s="3217">
        <f>I47</f>
        <v>19000</v>
      </c>
      <c r="W47" s="3217"/>
      <c r="X47" s="759"/>
      <c r="Y47" s="781"/>
      <c r="Z47" s="759"/>
      <c r="AA47" s="759"/>
      <c r="AB47" s="759"/>
      <c r="AC47" s="759"/>
    </row>
    <row r="48" spans="1:29" ht="15" thickBot="1">
      <c r="A48" s="486" t="s">
        <v>2667</v>
      </c>
      <c r="B48" s="487"/>
      <c r="C48" s="1413">
        <f>R49</f>
        <v>17966</v>
      </c>
      <c r="D48" s="1414"/>
      <c r="E48" s="1415">
        <f>R48</f>
        <v>17023</v>
      </c>
      <c r="F48" s="1415"/>
      <c r="G48" s="1413">
        <f>T48</f>
        <v>20072</v>
      </c>
      <c r="H48" s="1414"/>
      <c r="I48" s="1415">
        <f>V48</f>
        <v>16803</v>
      </c>
      <c r="J48" s="1414"/>
      <c r="K48" s="784"/>
      <c r="L48" s="1143"/>
      <c r="M48" s="1144"/>
      <c r="N48" s="1131"/>
      <c r="O48" s="1144"/>
      <c r="P48" s="3211" t="str">
        <f>A48</f>
        <v>比较价值（元/平方米）</v>
      </c>
      <c r="Q48" s="3211"/>
      <c r="R48" s="3247">
        <f>IF(F1="售价",ROUND(PRODUCT(R47,AA7:AA46),0),ROUND(PRODUCT(R47,AA7:AA46),1))</f>
        <v>17023</v>
      </c>
      <c r="S48" s="3247"/>
      <c r="T48" s="3247">
        <f>IF(F1="售价",ROUND(PRODUCT(T47,AB7:AB46),0),ROUND(PRODUCT(T47,AB7:AB46),1))</f>
        <v>20072</v>
      </c>
      <c r="U48" s="3247"/>
      <c r="V48" s="3247">
        <f>IF(F1="售价",ROUND(PRODUCT(V47,AC7:AC46),0),ROUND(PRODUCT(V47,AC7:AC46),1))</f>
        <v>16803</v>
      </c>
      <c r="W48" s="3247"/>
      <c r="X48" s="759"/>
      <c r="Y48" s="759"/>
      <c r="Z48" s="759"/>
      <c r="AA48" s="759"/>
      <c r="AB48" s="759"/>
      <c r="AC48" s="759"/>
    </row>
    <row r="49" spans="1:29" ht="15" thickBot="1">
      <c r="A49" s="492" t="s">
        <v>2668</v>
      </c>
      <c r="B49" s="493"/>
      <c r="C49" s="1417">
        <f>R49</f>
        <v>17966</v>
      </c>
      <c r="D49" s="1417"/>
      <c r="E49" s="1417"/>
      <c r="F49" s="1417"/>
      <c r="G49" s="1417"/>
      <c r="H49" s="1417"/>
      <c r="I49" s="1417"/>
      <c r="J49" s="1417"/>
      <c r="K49" s="785"/>
      <c r="L49" s="1143"/>
      <c r="M49" s="1144"/>
      <c r="N49" s="1131"/>
      <c r="O49" s="1144"/>
      <c r="P49" s="3205" t="str">
        <f>A49</f>
        <v>估价对象XX用房的比较价值（楼面单价，元/平方米）</v>
      </c>
      <c r="Q49" s="3206"/>
      <c r="R49" s="3248">
        <f>IF(F1="售价",ROUND(AVERAGE(R48:V48),0),ROUND(AVERAGE(R48:V48),1))</f>
        <v>17966</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5.7392938964929696E-2</v>
      </c>
      <c r="F52" s="500" t="str">
        <f>IF(OR(E52&gt;=0.3,E52&lt;=-0.3),"超过30%","")</f>
        <v/>
      </c>
      <c r="G52" s="499">
        <f>IF(G47&lt;G48,G48/G47-1,G47/G48-1)</f>
        <v>5.6197688322040751E-2</v>
      </c>
      <c r="H52" s="500" t="str">
        <f>IF(OR(G52&gt;=0.3,G52&lt;=-0.3),"超过30%","")</f>
        <v/>
      </c>
      <c r="I52" s="499">
        <f>IF(I47&lt;I48,I48/I47-1,I47/I48-1)</f>
        <v>0.13075046122716172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0.17911061505022619</v>
      </c>
      <c r="F53" s="500" t="str">
        <f>IF(OR(E53&gt;=0.2,E53&lt;=-0.2),"超过20%","")</f>
        <v/>
      </c>
      <c r="G53" s="499">
        <f>IF(G48&lt;I48,I48/G48-1,G48/I48-1)</f>
        <v>0.19454859251324175</v>
      </c>
      <c r="H53" s="500" t="str">
        <f>IF(OR(G53&gt;=0.2,G53&lt;=-0.2),"超过20%","")</f>
        <v/>
      </c>
      <c r="I53" s="499">
        <f>IF(I48&lt;E48,E48/I48-1,I48/E48-1)</f>
        <v>1.3092900077367187E-2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0.17777777777777781</v>
      </c>
      <c r="F54" s="500" t="str">
        <f>IF(OR(E54&gt;=0.3,E54&lt;=-0.3),"超过30%","")</f>
        <v/>
      </c>
      <c r="G54" s="499">
        <f>IF(G47&lt;I47,I47/G47-1,G47/I47-1)</f>
        <v>0.11578947368421044</v>
      </c>
      <c r="H54" s="500" t="str">
        <f>IF(OR(G54&gt;=0.3,G54&lt;=-0.3),"超过30%","")</f>
        <v/>
      </c>
      <c r="I54" s="499">
        <f>IF(I47&lt;E47,E47/I47-1,I47/E47-1)</f>
        <v>5.555555555555558E-2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4.4">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c r="A59" s="509"/>
      <c r="B59" s="510"/>
      <c r="C59" s="1573">
        <v>100</v>
      </c>
      <c r="D59" s="512">
        <v>100</v>
      </c>
      <c r="E59" s="512">
        <v>100</v>
      </c>
      <c r="F59" s="512">
        <v>100</v>
      </c>
      <c r="G59" s="512">
        <v>100</v>
      </c>
      <c r="H59" s="512"/>
      <c r="I59" s="512"/>
      <c r="J59" s="512"/>
      <c r="K59" s="512"/>
      <c r="L59" s="512"/>
      <c r="M59" s="513"/>
      <c r="N59" s="512"/>
      <c r="O59" s="513"/>
      <c r="P59" s="2621"/>
    </row>
    <row r="60" spans="1:29" s="117" customFormat="1" ht="15" thickBot="1">
      <c r="A60" s="515" t="s">
        <v>2583</v>
      </c>
      <c r="B60" s="516"/>
      <c r="C60" s="517"/>
      <c r="D60" s="518"/>
      <c r="E60" s="518"/>
      <c r="F60" s="518"/>
      <c r="G60" s="518"/>
      <c r="H60" s="518"/>
      <c r="I60" s="518"/>
      <c r="J60" s="518"/>
      <c r="K60" s="518"/>
      <c r="L60" s="518"/>
      <c r="M60" s="519"/>
      <c r="N60" s="518"/>
      <c r="O60" s="519"/>
      <c r="P60" s="2621"/>
      <c r="Q60" s="504"/>
    </row>
    <row r="61" spans="1:29" s="117" customFormat="1" ht="14.4">
      <c r="A61" s="521" t="s">
        <v>2548</v>
      </c>
      <c r="B61" s="510"/>
      <c r="C61" s="522" t="s">
        <v>2650</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2586</v>
      </c>
      <c r="B63" s="528" t="s">
        <v>2552</v>
      </c>
      <c r="C63" s="529" t="str">
        <f>C9</f>
        <v>商业</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3"/>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 thickTop="1">
      <c r="A67" s="534"/>
      <c r="B67" s="546" t="s">
        <v>2556</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c r="A68" s="534"/>
      <c r="B68" s="548"/>
      <c r="C68" s="549">
        <v>0</v>
      </c>
      <c r="D68" s="549">
        <v>1</v>
      </c>
      <c r="E68" s="549"/>
      <c r="F68" s="549"/>
      <c r="G68" s="549"/>
      <c r="H68" s="549"/>
      <c r="I68" s="549"/>
      <c r="J68" s="549"/>
      <c r="K68" s="550"/>
      <c r="L68" s="551"/>
      <c r="M68" s="552"/>
      <c r="N68" s="1152"/>
      <c r="O68" s="1152"/>
      <c r="P68" s="262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36"/>
      <c r="E73" s="536"/>
      <c r="F73" s="536"/>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27"/>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3"/>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3"/>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3"/>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3"/>
      <c r="Q82" s="504"/>
    </row>
    <row r="83" spans="1:17" ht="14.4"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3"/>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 thickTop="1">
      <c r="A86" s="579"/>
      <c r="B86" s="538" t="s">
        <v>2678</v>
      </c>
      <c r="C86" s="2966" t="s">
        <v>3143</v>
      </c>
      <c r="D86" s="2966" t="s">
        <v>3145</v>
      </c>
      <c r="E86" s="2966" t="s">
        <v>3147</v>
      </c>
      <c r="F86" s="2966" t="s">
        <v>3148</v>
      </c>
      <c r="G86" s="554"/>
      <c r="H86" s="554"/>
      <c r="I86" s="554"/>
      <c r="J86" s="554"/>
      <c r="K86" s="554"/>
      <c r="L86" s="580"/>
      <c r="M86" s="581"/>
      <c r="N86" s="1151"/>
      <c r="O86" s="1151"/>
      <c r="P86" s="2623"/>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3"/>
      <c r="Q87" s="504"/>
    </row>
    <row r="88" spans="1:17" s="117" customFormat="1" ht="15" thickTop="1">
      <c r="A88" s="579"/>
      <c r="B88" s="538" t="str">
        <f>B26</f>
        <v>平面位置/可视性</v>
      </c>
      <c r="C88" s="2967" t="s">
        <v>3150</v>
      </c>
      <c r="D88" s="2967" t="s">
        <v>3151</v>
      </c>
      <c r="E88" s="2967" t="s">
        <v>3152</v>
      </c>
      <c r="F88" s="2967" t="s">
        <v>2598</v>
      </c>
      <c r="G88" s="2967" t="s">
        <v>2599</v>
      </c>
      <c r="H88" s="554"/>
      <c r="I88" s="554"/>
      <c r="J88" s="554"/>
      <c r="K88" s="554"/>
      <c r="L88" s="554"/>
      <c r="M88" s="581"/>
      <c r="N88" s="1151"/>
      <c r="O88" s="1151"/>
      <c r="P88" s="2623"/>
      <c r="Q88" s="504"/>
    </row>
    <row r="89" spans="1:17" s="117" customFormat="1" ht="14.4" thickBot="1">
      <c r="A89" s="579"/>
      <c r="B89" s="543"/>
      <c r="C89" s="560">
        <v>100</v>
      </c>
      <c r="D89" s="536">
        <v>98</v>
      </c>
      <c r="E89" s="536">
        <v>96</v>
      </c>
      <c r="F89" s="536">
        <v>94</v>
      </c>
      <c r="G89" s="536">
        <v>92</v>
      </c>
      <c r="H89" s="536"/>
      <c r="I89" s="536"/>
      <c r="J89" s="536"/>
      <c r="K89" s="536"/>
      <c r="L89" s="536"/>
      <c r="M89" s="536"/>
      <c r="N89" s="1153"/>
      <c r="O89" s="1153"/>
      <c r="P89" s="2623"/>
      <c r="Q89" s="504"/>
    </row>
    <row r="90" spans="1:17" s="471" customFormat="1" ht="15" thickTop="1">
      <c r="A90" s="553"/>
      <c r="B90" s="538" t="str">
        <f>B27</f>
        <v>人流量</v>
      </c>
      <c r="C90" s="2967" t="s">
        <v>3153</v>
      </c>
      <c r="D90" s="2967" t="s">
        <v>3154</v>
      </c>
      <c r="E90" s="2967" t="s">
        <v>2597</v>
      </c>
      <c r="F90" s="2967" t="s">
        <v>2598</v>
      </c>
      <c r="G90" s="2967" t="s">
        <v>2599</v>
      </c>
      <c r="H90" s="555"/>
      <c r="I90" s="555"/>
      <c r="J90" s="555"/>
      <c r="K90" s="555"/>
      <c r="L90" s="556"/>
      <c r="M90" s="557"/>
      <c r="N90" s="1154"/>
      <c r="O90" s="1154"/>
      <c r="P90" s="2624"/>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4.4" thickTop="1">
      <c r="A92" s="534"/>
      <c r="B92" s="538" t="str">
        <f>B28</f>
        <v>楼层</v>
      </c>
      <c r="C92" s="554" t="s">
        <v>3118</v>
      </c>
      <c r="D92" s="554" t="s">
        <v>3119</v>
      </c>
      <c r="E92" s="554" t="s">
        <v>3120</v>
      </c>
      <c r="F92" s="554" t="s">
        <v>3121</v>
      </c>
      <c r="G92" s="554" t="s">
        <v>3122</v>
      </c>
      <c r="H92" s="554" t="s">
        <v>3123</v>
      </c>
      <c r="I92" s="554"/>
      <c r="J92" s="554"/>
      <c r="K92" s="554"/>
      <c r="L92" s="580"/>
      <c r="M92" s="581"/>
      <c r="N92" s="1152"/>
      <c r="O92" s="1152"/>
      <c r="P92" s="2623"/>
      <c r="Q92" s="504"/>
    </row>
    <row r="93" spans="1:17" ht="14.4" thickBot="1">
      <c r="A93" s="534"/>
      <c r="B93" s="543"/>
      <c r="C93" s="536">
        <v>100</v>
      </c>
      <c r="D93" s="536">
        <v>75</v>
      </c>
      <c r="E93" s="536">
        <v>65</v>
      </c>
      <c r="F93" s="536">
        <v>55</v>
      </c>
      <c r="G93" s="536">
        <v>55</v>
      </c>
      <c r="H93" s="536">
        <v>90</v>
      </c>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36"/>
      <c r="E95" s="536"/>
      <c r="F95" s="536"/>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60"/>
      <c r="D97" s="536"/>
      <c r="E97" s="536"/>
      <c r="F97" s="536"/>
      <c r="G97" s="536"/>
      <c r="H97" s="536"/>
      <c r="I97" s="536"/>
      <c r="J97" s="536"/>
      <c r="K97" s="536"/>
      <c r="L97" s="536"/>
      <c r="M97" s="537"/>
      <c r="N97" s="1153"/>
      <c r="O97" s="1153"/>
      <c r="P97" s="2623"/>
      <c r="Q97" s="504"/>
    </row>
    <row r="98" spans="1:17" ht="14.4" thickTop="1">
      <c r="A98" s="534"/>
      <c r="B98" s="546">
        <f>B31</f>
        <v>111</v>
      </c>
      <c r="C98" s="554"/>
      <c r="D98" s="554"/>
      <c r="E98" s="554"/>
      <c r="F98" s="554"/>
      <c r="G98" s="587"/>
      <c r="H98" s="587"/>
      <c r="I98" s="587"/>
      <c r="J98" s="587"/>
      <c r="K98" s="588"/>
      <c r="L98" s="589"/>
      <c r="M98" s="590"/>
      <c r="N98" s="1152"/>
      <c r="O98" s="1152"/>
      <c r="P98" s="2623"/>
      <c r="Q98" s="504"/>
    </row>
    <row r="99" spans="1:17" ht="14.4" thickBot="1">
      <c r="A99" s="2629"/>
      <c r="B99" s="569"/>
      <c r="C99" s="570"/>
      <c r="D99" s="570"/>
      <c r="E99" s="570"/>
      <c r="F99" s="570"/>
      <c r="G99" s="591"/>
      <c r="H99" s="591"/>
      <c r="I99" s="591"/>
      <c r="J99" s="591"/>
      <c r="K99" s="591"/>
      <c r="L99" s="591"/>
      <c r="M99" s="592"/>
      <c r="N99" s="1153"/>
      <c r="O99" s="1153"/>
      <c r="P99" s="2623"/>
      <c r="Q99" s="504"/>
    </row>
    <row r="100" spans="1:17" ht="14.4">
      <c r="A100" s="527" t="s">
        <v>2561</v>
      </c>
      <c r="B100" s="528" t="s">
        <v>2679</v>
      </c>
      <c r="C100" s="530" t="s">
        <v>3155</v>
      </c>
      <c r="D100" s="530" t="s">
        <v>3156</v>
      </c>
      <c r="E100" s="530" t="s">
        <v>3157</v>
      </c>
      <c r="F100" s="530" t="s">
        <v>3158</v>
      </c>
      <c r="G100" s="530" t="s">
        <v>3159</v>
      </c>
      <c r="H100" s="530"/>
      <c r="I100" s="530"/>
      <c r="J100" s="530"/>
      <c r="K100" s="531"/>
      <c r="L100" s="532"/>
      <c r="M100" s="533"/>
      <c r="N100" s="1152"/>
      <c r="O100" s="1152"/>
      <c r="P100" s="2623"/>
      <c r="Q100" s="504"/>
    </row>
    <row r="101" spans="1:17" ht="14.4"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3"/>
      <c r="O101" s="1153"/>
      <c r="P101" s="2623"/>
      <c r="Q101" s="504"/>
    </row>
    <row r="102" spans="1:17" ht="28.2" thickTop="1">
      <c r="A102" s="534"/>
      <c r="B102" s="538" t="s">
        <v>2611</v>
      </c>
      <c r="C102" s="578" t="str">
        <f>C103&amp;"(含)"&amp;"-"&amp;D103</f>
        <v>0(含)-100</v>
      </c>
      <c r="D102" s="578" t="str">
        <f t="shared" ref="D102:L102" si="23">D103&amp;"(含)"&amp;"-"&amp;E103</f>
        <v>100(含)-200</v>
      </c>
      <c r="E102" s="578" t="str">
        <f t="shared" si="23"/>
        <v>200(含)-400</v>
      </c>
      <c r="F102" s="578" t="str">
        <f t="shared" si="23"/>
        <v>400(含)-600</v>
      </c>
      <c r="G102" s="578" t="str">
        <f t="shared" si="23"/>
        <v>600(含)-800</v>
      </c>
      <c r="H102" s="578" t="str">
        <f t="shared" si="23"/>
        <v>800(含)-1000</v>
      </c>
      <c r="I102" s="578" t="str">
        <f t="shared" si="23"/>
        <v>1000(含)-1500</v>
      </c>
      <c r="J102" s="578" t="str">
        <f t="shared" si="23"/>
        <v>1500(含)-2000</v>
      </c>
      <c r="K102" s="578" t="str">
        <f t="shared" si="23"/>
        <v>2000(含)-</v>
      </c>
      <c r="L102" s="578" t="str">
        <f t="shared" si="23"/>
        <v>(含)-</v>
      </c>
      <c r="M102" s="622" t="str">
        <f>M103&amp;"(含)"&amp;"-"&amp;P103</f>
        <v>(含)-</v>
      </c>
      <c r="N102" s="1151"/>
      <c r="O102" s="1151"/>
      <c r="P102" s="2623"/>
      <c r="Q102" s="504"/>
    </row>
    <row r="103" spans="1:17" s="471" customFormat="1">
      <c r="A103" s="593"/>
      <c r="B103" s="594"/>
      <c r="C103" s="595">
        <v>0</v>
      </c>
      <c r="D103" s="595">
        <v>100</v>
      </c>
      <c r="E103" s="595">
        <v>200</v>
      </c>
      <c r="F103" s="595">
        <v>400</v>
      </c>
      <c r="G103" s="595">
        <v>600</v>
      </c>
      <c r="H103" s="595">
        <v>800</v>
      </c>
      <c r="I103" s="595">
        <v>1000</v>
      </c>
      <c r="J103" s="596">
        <v>1500</v>
      </c>
      <c r="K103" s="596">
        <v>2000</v>
      </c>
      <c r="L103" s="597"/>
      <c r="M103" s="598"/>
      <c r="N103" s="1154"/>
      <c r="O103" s="1154"/>
      <c r="P103" s="2624"/>
      <c r="Q103" s="559"/>
    </row>
    <row r="104" spans="1:17" s="471" customFormat="1" ht="14.4" thickBot="1">
      <c r="A104" s="553"/>
      <c r="B104" s="543"/>
      <c r="C104" s="560">
        <v>100</v>
      </c>
      <c r="D104" s="536">
        <v>99</v>
      </c>
      <c r="E104" s="536">
        <v>98</v>
      </c>
      <c r="F104" s="536">
        <v>97</v>
      </c>
      <c r="G104" s="536">
        <v>96</v>
      </c>
      <c r="H104" s="536">
        <v>95</v>
      </c>
      <c r="I104" s="536">
        <v>94</v>
      </c>
      <c r="J104" s="536">
        <v>93</v>
      </c>
      <c r="K104" s="536">
        <v>92</v>
      </c>
      <c r="L104" s="536"/>
      <c r="M104" s="537"/>
      <c r="N104" s="1153"/>
      <c r="O104" s="1153"/>
      <c r="P104" s="2624"/>
      <c r="Q104" s="559"/>
    </row>
    <row r="105" spans="1:17" ht="15" thickTop="1">
      <c r="A105" s="599"/>
      <c r="B105" s="538" t="s">
        <v>2612</v>
      </c>
      <c r="C105" s="2966" t="s">
        <v>3160</v>
      </c>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2614</v>
      </c>
      <c r="C107" s="554" t="s">
        <v>3113</v>
      </c>
      <c r="D107" s="554" t="s">
        <v>3125</v>
      </c>
      <c r="E107" s="554" t="s">
        <v>3126</v>
      </c>
      <c r="F107" s="583" t="s">
        <v>3112</v>
      </c>
      <c r="G107" s="583"/>
      <c r="H107" s="583"/>
      <c r="I107" s="583"/>
      <c r="J107" s="583"/>
      <c r="K107" s="584"/>
      <c r="L107" s="585"/>
      <c r="M107" s="586"/>
      <c r="N107" s="1152"/>
      <c r="O107" s="1152"/>
      <c r="P107" s="2623"/>
      <c r="Q107" s="504"/>
    </row>
    <row r="108" spans="1:17" ht="14.4"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4.4"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3"/>
      <c r="O111" s="1153"/>
      <c r="P111" s="2623"/>
      <c r="Q111" s="504"/>
    </row>
    <row r="112" spans="1:17" s="471" customFormat="1" ht="15" thickTop="1">
      <c r="A112" s="593"/>
      <c r="B112" s="538" t="s">
        <v>2616</v>
      </c>
      <c r="C112" s="554" t="s">
        <v>3161</v>
      </c>
      <c r="D112" s="554" t="s">
        <v>3162</v>
      </c>
      <c r="E112" s="554" t="s">
        <v>3163</v>
      </c>
      <c r="F112" s="554" t="s">
        <v>3164</v>
      </c>
      <c r="G112" s="554" t="s">
        <v>3165</v>
      </c>
      <c r="H112" s="583"/>
      <c r="I112" s="583"/>
      <c r="J112" s="583"/>
      <c r="K112" s="584"/>
      <c r="L112" s="585"/>
      <c r="M112" s="586"/>
      <c r="N112" s="1154"/>
      <c r="O112" s="1154"/>
      <c r="P112" s="2624"/>
      <c r="Q112" s="559"/>
    </row>
    <row r="113" spans="1:17" s="471" customFormat="1" ht="14.4"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2680</v>
      </c>
      <c r="C114" s="554" t="s">
        <v>3166</v>
      </c>
      <c r="D114" s="554" t="s">
        <v>3167</v>
      </c>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2681</v>
      </c>
      <c r="C116" s="554" t="s">
        <v>3115</v>
      </c>
      <c r="D116" s="554" t="s">
        <v>3114</v>
      </c>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2682</v>
      </c>
      <c r="C118" s="627"/>
      <c r="D118" s="627"/>
      <c r="E118" s="627"/>
      <c r="F118" s="627"/>
      <c r="G118" s="627"/>
      <c r="H118" s="555"/>
      <c r="I118" s="555"/>
      <c r="J118" s="555"/>
      <c r="K118" s="555"/>
      <c r="L118" s="556"/>
      <c r="M118" s="557"/>
      <c r="N118" s="1152"/>
      <c r="O118" s="1152"/>
      <c r="P118" s="2623"/>
      <c r="Q118" s="504"/>
    </row>
    <row r="119" spans="1:17" ht="14.4"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2683</v>
      </c>
      <c r="C120" s="2968" t="s">
        <v>3169</v>
      </c>
      <c r="D120" s="583"/>
      <c r="E120" s="583"/>
      <c r="F120" s="583"/>
      <c r="G120" s="555"/>
      <c r="H120" s="555"/>
      <c r="I120" s="555"/>
      <c r="J120" s="555"/>
      <c r="K120" s="555"/>
      <c r="L120" s="556"/>
      <c r="M120" s="557"/>
      <c r="N120" s="1154"/>
      <c r="O120" s="1154"/>
      <c r="P120" s="2624"/>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4"/>
      <c r="Q121" s="559"/>
    </row>
    <row r="122" spans="1:17" ht="15" thickTop="1">
      <c r="A122" s="599"/>
      <c r="B122" s="538" t="s">
        <v>2618</v>
      </c>
      <c r="C122" s="554" t="s">
        <v>3113</v>
      </c>
      <c r="D122" s="554" t="s">
        <v>3125</v>
      </c>
      <c r="E122" s="554" t="s">
        <v>3126</v>
      </c>
      <c r="F122" s="583" t="s">
        <v>3112</v>
      </c>
      <c r="G122" s="583"/>
      <c r="H122" s="583"/>
      <c r="I122" s="583"/>
      <c r="J122" s="583"/>
      <c r="K122" s="584"/>
      <c r="L122" s="585"/>
      <c r="M122" s="586"/>
      <c r="N122" s="1152"/>
      <c r="O122" s="1152"/>
      <c r="P122" s="2623"/>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4"/>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36"/>
      <c r="E129" s="536"/>
      <c r="F129" s="536"/>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5" zoomScaleNormal="85" zoomScaleSheetLayoutView="90" workbookViewId="0">
      <selection activeCell="E21" sqref="E2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27</v>
      </c>
      <c r="D1" s="1811" t="s">
        <v>70</v>
      </c>
      <c r="E1" s="1812" t="s">
        <v>1381</v>
      </c>
      <c r="F1" s="1283">
        <f ca="1">J53</f>
        <v>30.26</v>
      </c>
      <c r="G1" s="182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29703</v>
      </c>
      <c r="C2" s="1836" t="s">
        <v>1510</v>
      </c>
      <c r="D2" s="1836"/>
      <c r="E2" s="1837"/>
      <c r="F2" s="1838"/>
      <c r="G2" s="1839"/>
      <c r="H2" s="1831"/>
      <c r="I2" s="1831"/>
      <c r="J2" s="1831"/>
      <c r="K2" s="1832"/>
      <c r="L2" s="1831"/>
      <c r="M2" s="1831"/>
    </row>
    <row r="3" spans="1:37" ht="18" customHeight="1" thickBot="1">
      <c r="A3" s="1840" t="s">
        <v>1511</v>
      </c>
      <c r="B3" s="1841">
        <f ca="1">IF(ISERROR(B2*10000/F43),0,ROUND(B2*10000/F43,0))</f>
        <v>5096</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2301</v>
      </c>
      <c r="D5" s="1813" t="s">
        <v>1396</v>
      </c>
      <c r="E5" s="1293"/>
      <c r="F5" s="1294"/>
      <c r="G5" s="1842"/>
      <c r="H5" s="344">
        <v>1</v>
      </c>
      <c r="I5" s="345" t="s">
        <v>1395</v>
      </c>
      <c r="J5" s="1292">
        <f ca="1">J6+J10+J12</f>
        <v>0</v>
      </c>
      <c r="K5" s="1813" t="s">
        <v>1396</v>
      </c>
      <c r="L5" s="1293"/>
      <c r="M5" s="1294"/>
    </row>
    <row r="6" spans="1:37" ht="18" customHeight="1">
      <c r="A6" s="1291" t="s">
        <v>1031</v>
      </c>
      <c r="B6" s="3260" t="s">
        <v>1397</v>
      </c>
      <c r="C6" s="1296">
        <f ca="1">ROUND(F6*F8*F7*(1-F9)/10000,0)</f>
        <v>2298</v>
      </c>
      <c r="D6" s="164" t="s">
        <v>3025</v>
      </c>
      <c r="E6" s="347" t="s">
        <v>1399</v>
      </c>
      <c r="F6" s="348">
        <f ca="1">INDIRECT("'数据-取费表'!u"&amp;$G$1)</f>
        <v>1.2</v>
      </c>
      <c r="G6" s="1842"/>
      <c r="H6" s="1291" t="s">
        <v>1031</v>
      </c>
      <c r="I6" s="3260" t="s">
        <v>1397</v>
      </c>
      <c r="J6" s="346">
        <f ca="1">ROUND(M6*M8*M7*(1-M9)/10000,0)</f>
        <v>0</v>
      </c>
      <c r="K6" s="164" t="s">
        <v>3024</v>
      </c>
      <c r="L6" s="347" t="s">
        <v>1399</v>
      </c>
      <c r="M6" s="348">
        <f ca="1">INDIRECT("'数据-取费表'!z"&amp;$G$1)</f>
        <v>0</v>
      </c>
    </row>
    <row r="7" spans="1:37" ht="18" customHeight="1">
      <c r="A7" s="1295"/>
      <c r="B7" s="3261"/>
      <c r="C7" s="1297"/>
      <c r="D7" s="352"/>
      <c r="E7" s="1298" t="s">
        <v>1400</v>
      </c>
      <c r="F7" s="348">
        <f ca="1">IF(INDIRECT("'数据-取费表'!ah"&amp;$G$1)="",INDIRECT("'数据-取费表'!k"&amp;$G$1),INDIRECT("'数据-取费表'!ah"&amp;$G$1))</f>
        <v>58289.510000000017</v>
      </c>
      <c r="G7" s="1842"/>
      <c r="H7" s="349"/>
      <c r="I7" s="3261"/>
      <c r="J7" s="351"/>
      <c r="K7" s="352"/>
      <c r="L7" s="347" t="s">
        <v>1400</v>
      </c>
      <c r="M7" s="348">
        <f ca="1">F7</f>
        <v>58289.510000000017</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0.1</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3</v>
      </c>
      <c r="D10" s="1815" t="s">
        <v>3034</v>
      </c>
      <c r="E10" s="358" t="s">
        <v>1404</v>
      </c>
      <c r="F10" s="1366" t="s">
        <v>3196</v>
      </c>
      <c r="G10" s="1842"/>
      <c r="H10" s="1291" t="s">
        <v>1035</v>
      </c>
      <c r="I10" s="1814" t="s">
        <v>1403</v>
      </c>
      <c r="J10" s="346">
        <f ca="1">ROUND(IF(M10="押一",J6/12*M11,IF(M10="押二",J6/12*2*M11,IF(M10="押三",J6/12*3*M11,J11*M11))),0)</f>
        <v>0</v>
      </c>
      <c r="K10" s="1815" t="s">
        <v>3033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27139</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20401</v>
      </c>
      <c r="D14" s="1791" t="s">
        <v>1412</v>
      </c>
      <c r="E14" s="1785"/>
      <c r="F14" s="364"/>
      <c r="G14" s="1842"/>
      <c r="H14" s="1201" t="s">
        <v>1031</v>
      </c>
      <c r="I14" s="347" t="s">
        <v>1413</v>
      </c>
      <c r="J14" s="24">
        <f ca="1">C29</f>
        <v>30154</v>
      </c>
      <c r="K14" s="15"/>
      <c r="L14" s="979"/>
      <c r="M14" s="980"/>
    </row>
    <row r="15" spans="1:37" s="1849" customFormat="1" ht="18" customHeight="1" thickBot="1">
      <c r="A15" s="1201" t="s">
        <v>1032</v>
      </c>
      <c r="B15" s="347" t="s">
        <v>1414</v>
      </c>
      <c r="C15" s="24">
        <f ca="1">ROUND(C14*F15,0)</f>
        <v>612</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709</v>
      </c>
      <c r="K16" s="1337" t="s">
        <v>1419</v>
      </c>
      <c r="L16" s="1338"/>
      <c r="M16" s="1294"/>
    </row>
    <row r="17" spans="1:37" s="1849" customFormat="1" ht="18" customHeight="1">
      <c r="A17" s="1201" t="s">
        <v>1384</v>
      </c>
      <c r="B17" s="347" t="s">
        <v>1420</v>
      </c>
      <c r="C17" s="24">
        <f ca="1">ROUND(F17*(F43+INDIRECT("'数据-取费表'!S"&amp;$G$1))/10000,0)</f>
        <v>1166</v>
      </c>
      <c r="D17" s="347" t="s">
        <v>1421</v>
      </c>
      <c r="E17" s="347" t="s">
        <v>1422</v>
      </c>
      <c r="F17" s="26">
        <f>'数据-取费表'!B35</f>
        <v>200</v>
      </c>
      <c r="G17" s="1845"/>
      <c r="H17" s="1201" t="s">
        <v>1031</v>
      </c>
      <c r="I17" s="347" t="s">
        <v>1423</v>
      </c>
      <c r="J17" s="24">
        <f ca="1">ROUND(IF(项目基本情况!B11="自然人",J6*M17/(1+'数据-取费表'!C42),J18+J19+J20),1)</f>
        <v>256.7</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306</v>
      </c>
      <c r="D18" s="347" t="s">
        <v>1415</v>
      </c>
      <c r="E18" s="347" t="s">
        <v>1416</v>
      </c>
      <c r="F18" s="367">
        <f>'数据-取费表'!B36</f>
        <v>1.4999999999999999E-2</v>
      </c>
      <c r="G18" s="1845"/>
      <c r="H18" s="1201" t="s">
        <v>1030</v>
      </c>
      <c r="I18" s="347" t="s">
        <v>1427</v>
      </c>
      <c r="J18" s="24">
        <f ca="1">ROUND(J6*M18/(1+'数据-取费表'!C42),2)</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22485</v>
      </c>
      <c r="D19" s="140" t="s">
        <v>1430</v>
      </c>
      <c r="E19" s="1809"/>
      <c r="F19" s="26"/>
      <c r="G19" s="1842"/>
      <c r="H19" s="1201" t="s">
        <v>1032</v>
      </c>
      <c r="I19" s="347" t="s">
        <v>1431</v>
      </c>
      <c r="J19" s="24">
        <f ca="1">IF(K19="按租金收入计税",ROUND(J6*M19/(1+'数据-取费表'!C42),2),ROUND(C29*M19*0.7,2))</f>
        <v>253.29</v>
      </c>
      <c r="K19" s="1819" t="s">
        <v>1432</v>
      </c>
      <c r="L19" s="347" t="s">
        <v>1416</v>
      </c>
      <c r="M19" s="367">
        <f>IF(K19="按租金收入计税",'数据-取费表'!B51,'数据-取费表'!B50)</f>
        <v>1.2E-2</v>
      </c>
    </row>
    <row r="20" spans="1:37" s="1849" customFormat="1" ht="18" customHeight="1">
      <c r="A20" s="1201" t="s">
        <v>1035</v>
      </c>
      <c r="B20" s="347" t="s">
        <v>1433</v>
      </c>
      <c r="C20" s="24">
        <f ca="1">ROUND(C19*F20,0)</f>
        <v>450</v>
      </c>
      <c r="D20" s="369" t="s">
        <v>1434</v>
      </c>
      <c r="E20" s="347" t="s">
        <v>1416</v>
      </c>
      <c r="F20" s="367">
        <f>'数据-取费表'!B37</f>
        <v>0.02</v>
      </c>
      <c r="G20" s="1845"/>
      <c r="H20" s="1201" t="s">
        <v>1383</v>
      </c>
      <c r="I20" s="164" t="s">
        <v>1435</v>
      </c>
      <c r="J20" s="25">
        <f ca="1">ROUND(M20*M21/10000,2)</f>
        <v>3.36</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18</v>
      </c>
      <c r="D21" s="369" t="s">
        <v>1439</v>
      </c>
      <c r="E21" s="347" t="s">
        <v>1440</v>
      </c>
      <c r="F21" s="367">
        <f>'数据-取费表'!B38</f>
        <v>0.03</v>
      </c>
      <c r="G21" s="1845"/>
      <c r="H21" s="372"/>
      <c r="I21" s="356"/>
      <c r="J21" s="29"/>
      <c r="K21" s="373"/>
      <c r="L21" s="347" t="s">
        <v>1441</v>
      </c>
      <c r="M21" s="348">
        <f ca="1">INDIRECT("'数据-取费表'!r"&amp;$G$1)</f>
        <v>8411.83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ROUND(J14*M22,1)</f>
        <v>452.3</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1089</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ROUND(J5*M24,1)</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1809"/>
      <c r="F25" s="26"/>
      <c r="G25" s="1842"/>
      <c r="H25" s="1329" t="s">
        <v>1027</v>
      </c>
      <c r="I25" s="1344" t="s">
        <v>1457</v>
      </c>
      <c r="J25" s="355">
        <f ca="1">J5-J16</f>
        <v>-709</v>
      </c>
      <c r="K25" s="1345" t="s">
        <v>1458</v>
      </c>
      <c r="L25" s="1346"/>
      <c r="M25" s="1347"/>
    </row>
    <row r="26" spans="1:37">
      <c r="A26" s="1201" t="s">
        <v>1030</v>
      </c>
      <c r="B26" s="347" t="s">
        <v>1459</v>
      </c>
      <c r="C26" s="24">
        <f ca="1">ROUND((C19+C20)*F26,0)</f>
        <v>3440</v>
      </c>
      <c r="D26" s="369" t="s">
        <v>1460</v>
      </c>
      <c r="E26" s="358" t="s">
        <v>1461</v>
      </c>
      <c r="F26" s="357">
        <f ca="1">INDIRECT("'数据-取费表'!q"&amp;$G$1)</f>
        <v>0.15</v>
      </c>
      <c r="G26" s="1842"/>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4.4999999999999997E-3</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30154</v>
      </c>
      <c r="D29" s="1342"/>
      <c r="E29" s="1340"/>
      <c r="F29" s="1343"/>
      <c r="G29" s="1845"/>
      <c r="H29" s="380" t="s">
        <v>1029</v>
      </c>
      <c r="I29" s="381" t="s">
        <v>1473</v>
      </c>
      <c r="J29" s="382">
        <f ca="1">ROUND(J26/(1+F40)^F41,0)</f>
        <v>0</v>
      </c>
      <c r="K29" s="383" t="s">
        <v>1474</v>
      </c>
      <c r="L29" s="384"/>
      <c r="M29" s="385">
        <f ca="1">INDIRECT("'数据-取费表'!k"&amp;$G$1)</f>
        <v>58289.510000000017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905</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ROUND(IF(项目基本情况!B11="自然人",C6*F31/(1+'数据-取费表'!C42),C32+C33+C34),1)</f>
        <v>388.6</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122.56</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262.63</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3.36</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8411.83</v>
      </c>
      <c r="G35" s="1842"/>
      <c r="H35" s="745"/>
      <c r="I35" s="1851"/>
      <c r="J35" s="1852"/>
      <c r="K35" s="1853"/>
      <c r="L35" s="1850"/>
      <c r="M35" s="1850"/>
    </row>
    <row r="36" spans="1:18" ht="18" customHeight="1">
      <c r="A36" s="1352" t="s">
        <v>1035</v>
      </c>
      <c r="B36" s="347" t="s">
        <v>1443</v>
      </c>
      <c r="C36" s="24">
        <f ca="1">ROUND(C29*F36,1)</f>
        <v>452.3</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40.700000000000003</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23</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1396</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28814</v>
      </c>
      <c r="D40" s="370" t="s">
        <v>1463</v>
      </c>
      <c r="E40" s="347" t="s">
        <v>1464</v>
      </c>
      <c r="F40" s="357">
        <f ca="1">INDIRECT("'数据-取费表'!I"&amp;$G$1)</f>
        <v>5.5E-2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30.26</v>
      </c>
      <c r="G41" s="1842"/>
      <c r="H41" s="732"/>
      <c r="I41" s="1851"/>
      <c r="J41" s="1852"/>
      <c r="K41" s="751"/>
      <c r="L41" s="732"/>
      <c r="M41" s="732"/>
    </row>
    <row r="42" spans="1:18" ht="18" customHeight="1">
      <c r="A42" s="353"/>
      <c r="B42" s="354"/>
      <c r="C42" s="355"/>
      <c r="D42" s="373"/>
      <c r="E42" s="347" t="s">
        <v>1471</v>
      </c>
      <c r="F42" s="357">
        <f ca="1">INDIRECT("'数据-取费表'!v"&amp;$G$1)</f>
        <v>0.03</v>
      </c>
      <c r="G42" s="1842"/>
      <c r="H42" s="732"/>
      <c r="I42" s="1851"/>
      <c r="J42" s="1852"/>
      <c r="K42" s="751"/>
      <c r="L42" s="732"/>
      <c r="M42" s="732"/>
    </row>
    <row r="43" spans="1:18" ht="18" customHeight="1" thickBot="1">
      <c r="A43" s="380" t="s">
        <v>1029</v>
      </c>
      <c r="B43" s="381" t="s">
        <v>1481</v>
      </c>
      <c r="C43" s="382">
        <f ca="1">ROUND(C40*10000/F43,0)</f>
        <v>4943</v>
      </c>
      <c r="D43" s="383" t="s">
        <v>1482</v>
      </c>
      <c r="E43" s="384" t="s">
        <v>1483</v>
      </c>
      <c r="F43" s="385">
        <f ca="1">INDIRECT("'数据-取费表'!k"&amp;$G$1)</f>
        <v>58289.510000000017</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-72989</v>
      </c>
      <c r="D46" s="1863" t="str">
        <f>C2</f>
        <v>万元</v>
      </c>
      <c r="E46" s="1857"/>
      <c r="F46" s="1857"/>
      <c r="I46" s="1864" t="s">
        <v>1515</v>
      </c>
      <c r="J46" s="1865"/>
      <c r="K46" s="1866"/>
      <c r="L46" s="1867">
        <f ca="1">IF(M47="住宅",0,IF(L48&gt;J51,L60,J60))</f>
        <v>889</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28814</v>
      </c>
      <c r="R47" s="1877" t="s">
        <v>1523</v>
      </c>
    </row>
    <row r="48" spans="1:18" s="1833" customFormat="1" ht="40.200000000000003" thickBot="1">
      <c r="A48" s="1360" t="s">
        <v>1131</v>
      </c>
      <c r="B48" s="345" t="s">
        <v>1395</v>
      </c>
      <c r="C48" s="1808">
        <f ca="1">C49+C53+C55</f>
        <v>0</v>
      </c>
      <c r="D48" s="1362"/>
      <c r="E48" s="1363"/>
      <c r="F48" s="1181"/>
      <c r="G48" s="792"/>
      <c r="H48" s="793"/>
      <c r="I48" s="1878" t="s">
        <v>1524</v>
      </c>
      <c r="J48" s="1879" t="s">
        <v>3172</v>
      </c>
      <c r="K48" s="1880" t="s">
        <v>1525</v>
      </c>
      <c r="L48" s="1881">
        <f ca="1">INDIRECT("'数据-取费表'!f"&amp;$G$1)</f>
        <v>30.26</v>
      </c>
      <c r="O48" s="1875" t="s">
        <v>1037</v>
      </c>
      <c r="P48" s="1876" t="s">
        <v>1526</v>
      </c>
      <c r="Q48" s="1877">
        <f ca="1">J60</f>
        <v>889</v>
      </c>
      <c r="R48" s="1877" t="s">
        <v>1527</v>
      </c>
    </row>
    <row r="49" spans="1:18" s="1833" customFormat="1" ht="13.8" thickBot="1">
      <c r="A49" s="1194" t="s">
        <v>1132</v>
      </c>
      <c r="B49" s="1820" t="s">
        <v>1484</v>
      </c>
      <c r="C49" s="1364">
        <f ca="1">ROUND(F49*F51*F50*(1-F52)/10000,0)</f>
        <v>0</v>
      </c>
      <c r="D49" s="1276" t="s">
        <v>3026</v>
      </c>
      <c r="E49" s="1821" t="s">
        <v>1485</v>
      </c>
      <c r="F49" s="1281"/>
      <c r="G49" s="1882"/>
      <c r="H49" s="793"/>
      <c r="I49" s="1878" t="s">
        <v>1528</v>
      </c>
      <c r="J49" s="1883">
        <v>2011</v>
      </c>
      <c r="K49" s="1880" t="s">
        <v>1529</v>
      </c>
      <c r="L49" s="1884"/>
      <c r="O49" s="1885" t="s">
        <v>1038</v>
      </c>
      <c r="P49" s="1876" t="s">
        <v>1530</v>
      </c>
      <c r="Q49" s="1877">
        <f ca="1">C29</f>
        <v>30154</v>
      </c>
      <c r="R49" s="1877" t="s">
        <v>1523</v>
      </c>
    </row>
    <row r="50" spans="1:18" s="1833" customFormat="1" ht="13.8" thickBot="1">
      <c r="A50" s="1195"/>
      <c r="B50" s="1198"/>
      <c r="C50" s="1368"/>
      <c r="D50" s="1172"/>
      <c r="E50" s="1277" t="s">
        <v>1400</v>
      </c>
      <c r="F50" s="1278">
        <f ca="1">F7</f>
        <v>58289.510000000017</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-14215</v>
      </c>
      <c r="M51" s="1893"/>
      <c r="O51" s="1885" t="s">
        <v>1040</v>
      </c>
      <c r="P51" s="1876" t="s">
        <v>1536</v>
      </c>
      <c r="Q51" s="1888">
        <f>J52</f>
        <v>0.09</v>
      </c>
      <c r="R51" s="1877"/>
    </row>
    <row r="52" spans="1:18" s="1833" customFormat="1" ht="13.8" thickBot="1">
      <c r="A52" s="1196"/>
      <c r="B52" s="1198"/>
      <c r="C52" s="1199"/>
      <c r="D52" s="1172"/>
      <c r="E52" s="1200" t="s">
        <v>1402</v>
      </c>
      <c r="F52" s="1275"/>
      <c r="I52" s="1894" t="s">
        <v>1537</v>
      </c>
      <c r="J52" s="1895">
        <v>0.09</v>
      </c>
      <c r="K52" s="1894" t="s">
        <v>1538</v>
      </c>
      <c r="L52" s="1895"/>
      <c r="O52" s="1885" t="s">
        <v>1041</v>
      </c>
      <c r="P52" s="1876" t="s">
        <v>1539</v>
      </c>
      <c r="Q52" s="1877">
        <f ca="1">J53</f>
        <v>30.26</v>
      </c>
      <c r="R52" s="1877" t="s">
        <v>1540</v>
      </c>
    </row>
    <row r="53" spans="1:18" s="1833" customFormat="1" ht="36.6" thickBot="1">
      <c r="A53" s="1405" t="s">
        <v>1133</v>
      </c>
      <c r="B53" s="1822" t="s">
        <v>1403</v>
      </c>
      <c r="C53" s="361">
        <f ca="1">ROUND(IF(F53="押一",C49/12*F11,IF(F53="押二",C49/12*2*F11,IF(F53="押三",C49/12*3*F11,C54*F11))),0)</f>
        <v>0</v>
      </c>
      <c r="D53" s="1815" t="s">
        <v>3033</v>
      </c>
      <c r="E53" s="358" t="s">
        <v>1404</v>
      </c>
      <c r="F53" s="1366"/>
      <c r="I53" s="1896" t="s">
        <v>1541</v>
      </c>
      <c r="J53" s="2943">
        <f ca="1">IF(M47="住宅",IF(D1="——",MAX(J51,L48),MAX(J51,L48-'数据-取费表'!B24)),IF(D1="——",MIN(J51,L48),MIN(J51,L48-'数据-取费表'!B24)))</f>
        <v>30.26</v>
      </c>
      <c r="K53" s="3258" t="s">
        <v>1542</v>
      </c>
      <c r="L53" s="3259"/>
      <c r="O53" s="1875" t="s">
        <v>1042</v>
      </c>
      <c r="P53" s="1876" t="s">
        <v>1543</v>
      </c>
      <c r="Q53" s="1877">
        <f ca="1">Q47+Q48</f>
        <v>29703</v>
      </c>
      <c r="R53" s="1877" t="s">
        <v>1043</v>
      </c>
    </row>
    <row r="54" spans="1:18" s="1833" customFormat="1" ht="24.6" thickBot="1">
      <c r="A54" s="1406"/>
      <c r="B54" s="1816" t="s">
        <v>1382</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1823"/>
      <c r="F55" s="1897"/>
      <c r="I55" s="1900" t="s">
        <v>1545</v>
      </c>
      <c r="J55" s="1901">
        <f ca="1">ROUND(IF(J47="钢混",J57/J50,1-(1-2%)*(J50-J57)/J50),3)</f>
        <v>0.34599999999999997</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27139</v>
      </c>
      <c r="D56" s="1904"/>
      <c r="E56" s="1905"/>
      <c r="F56" s="1897"/>
      <c r="I56" s="1906" t="s">
        <v>1548</v>
      </c>
      <c r="J56" s="1907" t="s">
        <v>3173</v>
      </c>
      <c r="K56" s="1878" t="s">
        <v>1549</v>
      </c>
      <c r="L56" s="1881" t="str">
        <f ca="1">IF(L48&lt;J51,"——",L48-J53)</f>
        <v>——</v>
      </c>
      <c r="O56" s="1875" t="s">
        <v>1036</v>
      </c>
      <c r="P56" s="1876" t="s">
        <v>1522</v>
      </c>
      <c r="Q56" s="1877">
        <f ca="1">C40+J29</f>
        <v>28814</v>
      </c>
      <c r="R56" s="1877" t="s">
        <v>1523</v>
      </c>
    </row>
    <row r="57" spans="1:18" s="1833" customFormat="1" ht="24.6" thickBot="1">
      <c r="A57" s="1908"/>
      <c r="B57" s="1169" t="s">
        <v>1472</v>
      </c>
      <c r="C57" s="282">
        <f ca="1">C29</f>
        <v>30154</v>
      </c>
      <c r="D57" s="1909"/>
      <c r="E57" s="1910"/>
      <c r="F57" s="1911"/>
      <c r="I57" s="1912" t="s">
        <v>1550</v>
      </c>
      <c r="J57" s="1913">
        <f ca="1">IF(OR(M47="住宅",J51&lt;L48,J56="是"),"——",J51-L48)</f>
        <v>20.74</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3029</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2536.3000000000002</v>
      </c>
      <c r="D59" s="1182" t="s">
        <v>1424</v>
      </c>
      <c r="E59" s="1183" t="s">
        <v>1425</v>
      </c>
      <c r="F59" s="368" t="str">
        <f ca="1">IF(项目基本情况!B11="企业","",IF(INDIRECT("'数据-取费表'!c"&amp;$G$1)="住宅",5%,IF(F49*F50*F51/12/(1+'数据-取费表'!C42)&gt;20000,12%,7%)))</f>
        <v/>
      </c>
      <c r="I59" s="1912" t="s">
        <v>1557</v>
      </c>
      <c r="J59" s="1913">
        <f ca="1">IF(OR(M47="住宅",J51&lt;L48,J56="是"),"——",ROUND(C29*J58,0))</f>
        <v>12062</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f ca="1">IF(OR(M47="住宅",J51&lt;L48,J56="是"),"0",ROUND(J59/(1+J52)^J53,0))</f>
        <v>889</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2532.94</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1490</v>
      </c>
      <c r="C62" s="25">
        <f ca="1">IF(项目基本情况!B11="自然人","——",ROUND(F62*F63/10000,2))</f>
        <v>3.36</v>
      </c>
      <c r="D62" s="1184" t="s">
        <v>1491</v>
      </c>
      <c r="E62" s="1169" t="s">
        <v>1492</v>
      </c>
      <c r="F62" s="371">
        <f t="shared" si="0"/>
        <v>4</v>
      </c>
      <c r="I62" s="1919" t="s">
        <v>1564</v>
      </c>
      <c r="J62" s="1920" t="s">
        <v>1565</v>
      </c>
      <c r="K62" s="1920" t="s">
        <v>1566</v>
      </c>
      <c r="L62" s="1920" t="s">
        <v>1567</v>
      </c>
      <c r="M62" s="1921" t="s">
        <v>1568</v>
      </c>
      <c r="O62" s="1875" t="s">
        <v>1042</v>
      </c>
      <c r="P62" s="1876" t="s">
        <v>1569</v>
      </c>
      <c r="Q62" s="1877">
        <f ca="1">Q56+Q57</f>
        <v>28814</v>
      </c>
      <c r="R62" s="1877" t="s">
        <v>1043</v>
      </c>
    </row>
    <row r="63" spans="1:18" s="1833" customFormat="1" ht="13.8" thickBot="1">
      <c r="A63" s="372"/>
      <c r="B63" s="1175"/>
      <c r="C63" s="29"/>
      <c r="D63" s="1185"/>
      <c r="E63" s="1169" t="s">
        <v>1493</v>
      </c>
      <c r="F63" s="348">
        <f t="shared" ca="1" si="0"/>
        <v>8411.83</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ROUND(C57*F64,1)</f>
        <v>452.3</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40.700000000000003</v>
      </c>
      <c r="D65" s="1183" t="s">
        <v>1448</v>
      </c>
      <c r="E65" s="1169" t="s">
        <v>1449</v>
      </c>
      <c r="F65" s="376">
        <f t="shared" ca="1" si="0"/>
        <v>1.5E-3</v>
      </c>
      <c r="I65" s="1919" t="s">
        <v>1573</v>
      </c>
      <c r="J65" s="1920">
        <v>40</v>
      </c>
      <c r="K65" s="1920">
        <v>30</v>
      </c>
      <c r="L65" s="1920">
        <v>50</v>
      </c>
      <c r="M65" s="1922">
        <v>0.02</v>
      </c>
      <c r="O65" s="1875" t="s">
        <v>1036</v>
      </c>
      <c r="P65" s="1876" t="s">
        <v>1574</v>
      </c>
      <c r="Q65" s="1877">
        <f ca="1">C40+J29</f>
        <v>28814</v>
      </c>
      <c r="R65" s="1877" t="s">
        <v>1523</v>
      </c>
    </row>
    <row r="66" spans="1:18" s="1833" customFormat="1" ht="16.2"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-3029</v>
      </c>
      <c r="D67" s="1182" t="s">
        <v>1458</v>
      </c>
      <c r="E67" s="1187"/>
      <c r="F67" s="1188"/>
      <c r="O67" s="1885" t="s">
        <v>1038</v>
      </c>
      <c r="P67" s="1876" t="s">
        <v>1556</v>
      </c>
      <c r="Q67" s="1923">
        <f ca="1">L51</f>
        <v>-14215</v>
      </c>
      <c r="R67" s="1877" t="s">
        <v>1576</v>
      </c>
    </row>
    <row r="68" spans="1:18" s="1833" customFormat="1" ht="16.2" thickBot="1">
      <c r="A68" s="1166" t="s">
        <v>1028</v>
      </c>
      <c r="B68" s="1167" t="s">
        <v>1479</v>
      </c>
      <c r="C68" s="346">
        <f ca="1">ROUND(C67*(1-((1+F70)/(1+F68))^F69)/(F68-F70),0)</f>
        <v>-44175</v>
      </c>
      <c r="D68" s="1184" t="s">
        <v>1463</v>
      </c>
      <c r="E68" s="1169" t="s">
        <v>1464</v>
      </c>
      <c r="F68" s="357">
        <f ca="1">F40</f>
        <v>5.5E-2</v>
      </c>
      <c r="O68" s="1885" t="s">
        <v>1039</v>
      </c>
      <c r="P68" s="1924" t="s">
        <v>1577</v>
      </c>
      <c r="Q68" s="1877">
        <f ca="1">ROUND(Q69-Q70*Q71,0)</f>
        <v>-775</v>
      </c>
      <c r="R68" s="1877" t="s">
        <v>1047</v>
      </c>
    </row>
    <row r="69" spans="1:18" s="1833" customFormat="1" ht="13.8" thickBot="1">
      <c r="A69" s="1170"/>
      <c r="B69" s="1171"/>
      <c r="C69" s="351"/>
      <c r="D69" s="1189" t="s">
        <v>1467</v>
      </c>
      <c r="E69" s="1169" t="s">
        <v>1468</v>
      </c>
      <c r="F69" s="379">
        <f ca="1">F41</f>
        <v>30.26</v>
      </c>
      <c r="O69" s="1885" t="s">
        <v>1044</v>
      </c>
      <c r="P69" s="1924" t="s">
        <v>1578</v>
      </c>
      <c r="Q69" s="1877">
        <f ca="1">C39</f>
        <v>1396</v>
      </c>
      <c r="R69" s="1877" t="s">
        <v>1523</v>
      </c>
    </row>
    <row r="70" spans="1:18" s="1833" customFormat="1" ht="13.8" thickBot="1">
      <c r="A70" s="1173"/>
      <c r="B70" s="1174"/>
      <c r="C70" s="355"/>
      <c r="D70" s="1185"/>
      <c r="E70" s="1169" t="s">
        <v>1471</v>
      </c>
      <c r="F70" s="1275"/>
      <c r="O70" s="1885" t="s">
        <v>1045</v>
      </c>
      <c r="P70" s="1924" t="s">
        <v>1579</v>
      </c>
      <c r="Q70" s="1877">
        <f ca="1">C13</f>
        <v>27139</v>
      </c>
      <c r="R70" s="1877" t="s">
        <v>1523</v>
      </c>
    </row>
    <row r="71" spans="1:18" s="1833" customFormat="1" ht="13.8" thickBot="1">
      <c r="A71" s="1190" t="s">
        <v>1029</v>
      </c>
      <c r="B71" s="1191" t="s">
        <v>1481</v>
      </c>
      <c r="C71" s="382">
        <f ca="1">ROUND(C68*10000/F71,0)</f>
        <v>-7579</v>
      </c>
      <c r="D71" s="1192" t="s">
        <v>1482</v>
      </c>
      <c r="E71" s="1193" t="s">
        <v>1483</v>
      </c>
      <c r="F71" s="385">
        <f ca="1">F43</f>
        <v>58289.510000000017</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2171</v>
      </c>
      <c r="D75" s="1833"/>
      <c r="E75" s="1833"/>
      <c r="F75" s="1833"/>
      <c r="K75" s="1859"/>
      <c r="L75" s="1833"/>
      <c r="O75" s="1875" t="s">
        <v>1042</v>
      </c>
      <c r="P75" s="1876" t="s">
        <v>1543</v>
      </c>
      <c r="Q75" s="1877">
        <f ca="1">Q65+Q66</f>
        <v>28814</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-0.55499999999999994</v>
      </c>
    </row>
    <row r="80" spans="1:18">
      <c r="B80" s="386" t="s">
        <v>1505</v>
      </c>
      <c r="C80" s="318">
        <f ca="1">ROUND(C75/C39,3)</f>
        <v>1.5549999999999999</v>
      </c>
    </row>
    <row r="81" spans="2:3">
      <c r="B81" s="314" t="s">
        <v>1506</v>
      </c>
      <c r="C81" s="282"/>
    </row>
    <row r="82" spans="2:3">
      <c r="B82" s="317" t="s">
        <v>1507</v>
      </c>
      <c r="C82" s="319">
        <f ca="1">1-C83</f>
        <v>5.8000000000000052E-2</v>
      </c>
    </row>
    <row r="83" spans="2:3">
      <c r="B83" s="317" t="s">
        <v>1508</v>
      </c>
      <c r="C83" s="318">
        <f ca="1">ROUND(C13/C40,3)</f>
        <v>0.94199999999999995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3647</v>
      </c>
      <c r="D1" s="1811" t="s">
        <v>70</v>
      </c>
      <c r="E1" s="1812" t="s">
        <v>1381</v>
      </c>
      <c r="F1" s="1283">
        <f ca="1">J53</f>
        <v>30.26</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1584</v>
      </c>
      <c r="B2" s="1835">
        <f ca="1">ROUND(D2/10000,0)</f>
        <v>3578</v>
      </c>
      <c r="C2" s="1836" t="s">
        <v>1585</v>
      </c>
      <c r="D2" s="1928">
        <f ca="1">C40+J29+L46</f>
        <v>35780856</v>
      </c>
      <c r="E2" s="1837" t="s">
        <v>1586</v>
      </c>
      <c r="F2" s="1838"/>
      <c r="G2" s="1839"/>
      <c r="H2" s="1831"/>
      <c r="I2" s="1831"/>
      <c r="J2" s="1831"/>
      <c r="K2" s="1832"/>
      <c r="L2" s="1831"/>
      <c r="M2" s="1831"/>
    </row>
    <row r="3" spans="1:37" ht="18" customHeight="1" thickBot="1">
      <c r="A3" s="1840" t="s">
        <v>1587</v>
      </c>
      <c r="B3" s="1841">
        <f ca="1">IF(ISERROR(D2/F43),0,ROUND(D2/F43,0))</f>
        <v>2350</v>
      </c>
      <c r="C3" s="1836" t="s">
        <v>1588</v>
      </c>
      <c r="D3" s="1836"/>
      <c r="E3" s="1837"/>
      <c r="F3" s="1838"/>
      <c r="G3" s="1839"/>
      <c r="H3" s="744" t="s">
        <v>1582</v>
      </c>
      <c r="I3" s="1831"/>
      <c r="J3" s="1831"/>
      <c r="K3" s="1832"/>
      <c r="L3" s="1831"/>
      <c r="M3" s="1831"/>
    </row>
    <row r="4" spans="1:37" ht="18" customHeight="1">
      <c r="A4" s="340" t="s">
        <v>1589</v>
      </c>
      <c r="B4" s="341" t="s">
        <v>1590</v>
      </c>
      <c r="C4" s="341" t="s">
        <v>1591</v>
      </c>
      <c r="D4" s="341" t="s">
        <v>1592</v>
      </c>
      <c r="E4" s="342" t="s">
        <v>1593</v>
      </c>
      <c r="F4" s="343"/>
      <c r="G4" s="1842"/>
      <c r="H4" s="340" t="s">
        <v>1589</v>
      </c>
      <c r="I4" s="341" t="s">
        <v>1590</v>
      </c>
      <c r="J4" s="341" t="s">
        <v>1591</v>
      </c>
      <c r="K4" s="341" t="s">
        <v>1592</v>
      </c>
      <c r="L4" s="342" t="s">
        <v>1593</v>
      </c>
      <c r="M4" s="343"/>
    </row>
    <row r="5" spans="1:37" ht="18" customHeight="1">
      <c r="A5" s="344">
        <v>1</v>
      </c>
      <c r="B5" s="345" t="s">
        <v>1594</v>
      </c>
      <c r="C5" s="1292">
        <f ca="1">C6+C10+C12</f>
        <v>3167605</v>
      </c>
      <c r="D5" s="1813" t="s">
        <v>1595</v>
      </c>
      <c r="E5" s="1293"/>
      <c r="F5" s="1294"/>
      <c r="G5" s="1842"/>
      <c r="H5" s="344">
        <v>1</v>
      </c>
      <c r="I5" s="345" t="s">
        <v>1594</v>
      </c>
      <c r="J5" s="1292">
        <f ca="1">J6+J10+J12</f>
        <v>0</v>
      </c>
      <c r="K5" s="1813" t="s">
        <v>1595</v>
      </c>
      <c r="L5" s="1293"/>
      <c r="M5" s="1294"/>
    </row>
    <row r="6" spans="1:37" ht="18" customHeight="1">
      <c r="A6" s="1291" t="s">
        <v>1031</v>
      </c>
      <c r="B6" s="3260" t="s">
        <v>1397</v>
      </c>
      <c r="C6" s="1296">
        <f ca="1">ROUND(F6*F8*F7*(1-F9),0)</f>
        <v>3167605</v>
      </c>
      <c r="D6" s="164" t="s">
        <v>3022</v>
      </c>
      <c r="E6" s="347" t="s">
        <v>1399</v>
      </c>
      <c r="F6" s="348">
        <f ca="1">INDIRECT("'数据-取费表'!u"&amp;$G$1)</f>
        <v>0.6</v>
      </c>
      <c r="G6" s="1842"/>
      <c r="H6" s="1291" t="s">
        <v>1031</v>
      </c>
      <c r="I6" s="3260" t="s">
        <v>1397</v>
      </c>
      <c r="J6" s="346">
        <f ca="1">ROUND(M6*M8*M7*(1-M9),0)</f>
        <v>0</v>
      </c>
      <c r="K6" s="1825" t="s">
        <v>3023</v>
      </c>
      <c r="L6" s="347" t="s">
        <v>1399</v>
      </c>
      <c r="M6" s="348">
        <f ca="1">INDIRECT("'数据-取费表'!z"&amp;$G$1)</f>
        <v>0</v>
      </c>
    </row>
    <row r="7" spans="1:37" ht="18" customHeight="1">
      <c r="A7" s="1295"/>
      <c r="B7" s="3261"/>
      <c r="C7" s="1297"/>
      <c r="D7" s="352"/>
      <c r="E7" s="1298" t="s">
        <v>1400</v>
      </c>
      <c r="F7" s="348">
        <f ca="1">IF(INDIRECT("'数据-取费表'!ah"&amp;$G$1)="",INDIRECT("'数据-取费表'!k"&amp;$G$1),INDIRECT("'数据-取费表'!ah"&amp;$G$1))</f>
        <v>15225.21</v>
      </c>
      <c r="G7" s="1842"/>
      <c r="H7" s="349"/>
      <c r="I7" s="3261"/>
      <c r="J7" s="351"/>
      <c r="K7" s="352"/>
      <c r="L7" s="347" t="s">
        <v>1400</v>
      </c>
      <c r="M7" s="348">
        <f ca="1">F7</f>
        <v>15225.21</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0.05</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3033</v>
      </c>
      <c r="E10" s="358" t="s">
        <v>1404</v>
      </c>
      <c r="F10" s="1366" t="s">
        <v>3649</v>
      </c>
      <c r="G10" s="1842"/>
      <c r="H10" s="1291" t="s">
        <v>1035</v>
      </c>
      <c r="I10" s="1814" t="s">
        <v>1403</v>
      </c>
      <c r="J10" s="346">
        <f ca="1">ROUND(IF(M10="押一",J6/12*M11,IF(M10="押二",J6/12*2*M11,IF(M10="押三",J6/12*3*M11,J11*M11))),0)</f>
        <v>0</v>
      </c>
      <c r="K10" s="1826" t="s">
        <v>3035</v>
      </c>
      <c r="L10" s="358" t="s">
        <v>1404</v>
      </c>
      <c r="M10" s="1366"/>
    </row>
    <row r="11" spans="1:37" ht="18" customHeight="1">
      <c r="A11" s="353"/>
      <c r="B11" s="1816" t="s">
        <v>1596</v>
      </c>
      <c r="C11" s="1178"/>
      <c r="D11" s="352"/>
      <c r="E11" s="358" t="s">
        <v>1406</v>
      </c>
      <c r="F11" s="359">
        <f ca="1">'数据-取费表'!B39</f>
        <v>1.4999999999999999E-2</v>
      </c>
      <c r="G11" s="1842"/>
      <c r="H11" s="1299"/>
      <c r="I11" s="1816" t="s">
        <v>1597</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46321175</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ROUND(INDIRECT("'数据-取费表'!l"&amp;$G$1)*F43+'数据-取费表'!L14*INDIRECT("'数据-取费表'!S"&amp;$G$1),0)</f>
        <v>38063025</v>
      </c>
      <c r="D14" s="1791" t="s">
        <v>1412</v>
      </c>
      <c r="E14" s="1785"/>
      <c r="F14" s="364"/>
      <c r="G14" s="1842"/>
      <c r="H14" s="1201" t="s">
        <v>1031</v>
      </c>
      <c r="I14" s="347" t="s">
        <v>1413</v>
      </c>
      <c r="J14" s="24">
        <f ca="1">C29</f>
        <v>51467972</v>
      </c>
      <c r="K14" s="15"/>
      <c r="L14" s="979"/>
      <c r="M14" s="980"/>
    </row>
    <row r="15" spans="1:37" s="1849" customFormat="1" ht="18" customHeight="1" thickBot="1">
      <c r="A15" s="1201" t="s">
        <v>1032</v>
      </c>
      <c r="B15" s="347" t="s">
        <v>1414</v>
      </c>
      <c r="C15" s="24">
        <f ca="1">ROUND(C14*F15,0)</f>
        <v>1141891</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2"/>
      <c r="H16" s="1329" t="s">
        <v>1026</v>
      </c>
      <c r="I16" s="1330" t="s">
        <v>1418</v>
      </c>
      <c r="J16" s="355">
        <f ca="1">ROUND(J17+J22+J23+J24,0)</f>
        <v>1213140</v>
      </c>
      <c r="K16" s="1337" t="s">
        <v>1419</v>
      </c>
      <c r="L16" s="1338"/>
      <c r="M16" s="1294"/>
    </row>
    <row r="17" spans="1:37" s="1849" customFormat="1" ht="18" customHeight="1">
      <c r="A17" s="1201" t="s">
        <v>1384</v>
      </c>
      <c r="B17" s="347" t="s">
        <v>1420</v>
      </c>
      <c r="C17" s="24">
        <f ca="1">ROUND(F17*(F43+INDIRECT("'数据-取费表'!S"&amp;$G$1)),0)</f>
        <v>3045042</v>
      </c>
      <c r="D17" s="347" t="s">
        <v>1421</v>
      </c>
      <c r="E17" s="347" t="s">
        <v>1422</v>
      </c>
      <c r="F17" s="26">
        <f>'数据-取费表'!B35</f>
        <v>200</v>
      </c>
      <c r="G17" s="1845"/>
      <c r="H17" s="1201" t="s">
        <v>1031</v>
      </c>
      <c r="I17" s="347" t="s">
        <v>1423</v>
      </c>
      <c r="J17" s="24">
        <f ca="1">ROUND(IF(项目基本情况!B11="自然人",J6*M17/(1+'数据-取费表'!C42),J18+J19+J20),0)</f>
        <v>441120</v>
      </c>
      <c r="K17" s="1791" t="s">
        <v>1424</v>
      </c>
      <c r="L17" s="1789"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570945</v>
      </c>
      <c r="D18" s="347" t="s">
        <v>1415</v>
      </c>
      <c r="E18" s="347" t="s">
        <v>1416</v>
      </c>
      <c r="F18" s="367">
        <f>'数据-取费表'!B36</f>
        <v>1.4999999999999999E-2</v>
      </c>
      <c r="G18" s="1845"/>
      <c r="H18" s="1201" t="s">
        <v>1030</v>
      </c>
      <c r="I18" s="347" t="s">
        <v>1427</v>
      </c>
      <c r="J18" s="24">
        <f ca="1">ROUND(J6*M18/(1+'数据-取费表'!C42),0)</f>
        <v>0</v>
      </c>
      <c r="K18" s="1789"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42820903</v>
      </c>
      <c r="D19" s="140" t="s">
        <v>1430</v>
      </c>
      <c r="E19" s="1809"/>
      <c r="F19" s="26"/>
      <c r="G19" s="1842"/>
      <c r="H19" s="1201" t="s">
        <v>1032</v>
      </c>
      <c r="I19" s="347" t="s">
        <v>1431</v>
      </c>
      <c r="J19" s="24">
        <f ca="1">IF(K19="按租金收入计税",ROUND(J6*M19/(1+'数据-取费表'!C42),0),ROUND(C29*M19*0.7,0))</f>
        <v>432331</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856418</v>
      </c>
      <c r="D20" s="369" t="s">
        <v>1434</v>
      </c>
      <c r="E20" s="347" t="s">
        <v>1416</v>
      </c>
      <c r="F20" s="367">
        <f>'数据-取费表'!B37</f>
        <v>0.02</v>
      </c>
      <c r="G20" s="1845"/>
      <c r="H20" s="1201" t="s">
        <v>1383</v>
      </c>
      <c r="I20" s="164" t="s">
        <v>1435</v>
      </c>
      <c r="J20" s="25">
        <f ca="1">ROUND(M20*M21,0)</f>
        <v>8789</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2197.17</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9"/>
      <c r="F22" s="26"/>
      <c r="G22" s="1842"/>
      <c r="H22" s="1201" t="s">
        <v>1035</v>
      </c>
      <c r="I22" s="347" t="s">
        <v>1443</v>
      </c>
      <c r="J22" s="24">
        <f ca="1">ROUND(J14*M22,0)</f>
        <v>772020</v>
      </c>
      <c r="K22" s="1789"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2074673</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ROUND(J13*M23,0)</f>
        <v>0</v>
      </c>
      <c r="K23" s="1789" t="s">
        <v>1448</v>
      </c>
      <c r="L23" s="347" t="s">
        <v>1449</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5"/>
      <c r="H24" s="1339" t="s">
        <v>1387</v>
      </c>
      <c r="I24" s="1340" t="s">
        <v>1433</v>
      </c>
      <c r="J24" s="1341">
        <f ca="1">ROUND(J5*M24,0)</f>
        <v>0</v>
      </c>
      <c r="K24" s="1342" t="s">
        <v>1453</v>
      </c>
      <c r="L24" s="1340" t="s">
        <v>1449</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1" t="s">
        <v>1454</v>
      </c>
      <c r="B25" s="347" t="s">
        <v>1455</v>
      </c>
      <c r="C25" s="24"/>
      <c r="D25" s="140" t="s">
        <v>1456</v>
      </c>
      <c r="E25" s="1809"/>
      <c r="F25" s="26"/>
      <c r="G25" s="1842"/>
      <c r="H25" s="1329" t="s">
        <v>1027</v>
      </c>
      <c r="I25" s="1344" t="s">
        <v>1457</v>
      </c>
      <c r="J25" s="355">
        <f ca="1">J5-J16</f>
        <v>-1213140</v>
      </c>
      <c r="K25" s="1345" t="s">
        <v>1458</v>
      </c>
      <c r="L25" s="1346"/>
      <c r="M25" s="1347"/>
    </row>
    <row r="26" spans="1:37" ht="18" customHeight="1">
      <c r="A26" s="1201" t="s">
        <v>1030</v>
      </c>
      <c r="B26" s="347" t="s">
        <v>1459</v>
      </c>
      <c r="C26" s="24">
        <f ca="1">ROUND((C19+C20)*F26,0)</f>
        <v>1310320</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8.9999999999999998E-4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51467972</v>
      </c>
      <c r="D29" s="1342"/>
      <c r="E29" s="1340"/>
      <c r="F29" s="1343"/>
      <c r="G29" s="1845"/>
      <c r="H29" s="380" t="s">
        <v>1029</v>
      </c>
      <c r="I29" s="381" t="s">
        <v>1473</v>
      </c>
      <c r="J29" s="382">
        <f ca="1">ROUND(J26/(1+F40)^F41,0)</f>
        <v>0</v>
      </c>
      <c r="K29" s="383" t="s">
        <v>1474</v>
      </c>
      <c r="L29" s="384"/>
      <c r="M29" s="385">
        <f ca="1">INDIRECT("'数据-取费表'!k"&amp;$G$1)</f>
        <v>15225.21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1412918</v>
      </c>
      <c r="D30" s="1337" t="s">
        <v>1419</v>
      </c>
      <c r="E30" s="1338"/>
      <c r="F30" s="1294"/>
      <c r="G30" s="1842"/>
      <c r="H30" s="745"/>
      <c r="I30" s="746"/>
      <c r="J30" s="747"/>
      <c r="K30" s="748"/>
      <c r="L30" s="749"/>
      <c r="M30" s="750"/>
    </row>
    <row r="31" spans="1:37" ht="18" customHeight="1">
      <c r="A31" s="1201" t="s">
        <v>1031</v>
      </c>
      <c r="B31" s="347" t="s">
        <v>1423</v>
      </c>
      <c r="C31" s="24">
        <f ca="1">ROUND(IF(项目基本情况!B11="自然人",C6*F31/(1+'数据-取费表'!C42),C32+C33+C34),0)</f>
        <v>539740</v>
      </c>
      <c r="D31" s="1791" t="s">
        <v>1424</v>
      </c>
      <c r="E31" s="1789"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IF(项目基本情况!B11="自然人","——",ROUND(C6*F32/(1+'数据-取费表'!C42),0))</f>
        <v>168939</v>
      </c>
      <c r="D32" s="1789"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362012</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f>
        <v>8789</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2197.17</v>
      </c>
      <c r="G35" s="1842"/>
      <c r="H35" s="745"/>
      <c r="I35" s="1851"/>
      <c r="J35" s="1852"/>
      <c r="K35" s="1853"/>
      <c r="L35" s="1850"/>
      <c r="M35" s="1850"/>
    </row>
    <row r="36" spans="1:18" ht="18" customHeight="1">
      <c r="A36" s="1352" t="s">
        <v>1035</v>
      </c>
      <c r="B36" s="347" t="s">
        <v>1443</v>
      </c>
      <c r="C36" s="24">
        <f ca="1">ROUND(C29*F36,0)</f>
        <v>772020</v>
      </c>
      <c r="D36" s="1789"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ROUND(C13*F37,0)</f>
        <v>69482</v>
      </c>
      <c r="D37" s="1789" t="s">
        <v>1448</v>
      </c>
      <c r="E37" s="347" t="s">
        <v>1449</v>
      </c>
      <c r="F37" s="376">
        <f ca="1">INDIRECT("'数据-取费表'!Al"&amp;$G$1)</f>
        <v>1.5E-3</v>
      </c>
      <c r="G37" s="1842"/>
      <c r="H37" s="1850"/>
      <c r="I37" s="1851"/>
      <c r="J37" s="1852"/>
      <c r="K37" s="751"/>
      <c r="L37" s="1850"/>
      <c r="M37" s="1850"/>
    </row>
    <row r="38" spans="1:18" ht="18" customHeight="1" thickBot="1">
      <c r="A38" s="1339" t="s">
        <v>1387</v>
      </c>
      <c r="B38" s="1340" t="s">
        <v>1433</v>
      </c>
      <c r="C38" s="1341">
        <f ca="1">ROUND(C5*F38,1)</f>
        <v>31676.1</v>
      </c>
      <c r="D38" s="1342" t="s">
        <v>1453</v>
      </c>
      <c r="E38" s="1340" t="s">
        <v>1449</v>
      </c>
      <c r="F38" s="1336">
        <f ca="1">INDIRECT("'数据-取费表'!Am"&amp;$G$1)</f>
        <v>0.01</v>
      </c>
      <c r="G38" s="1842"/>
      <c r="H38" s="1850"/>
      <c r="I38" s="1851"/>
      <c r="J38" s="1852"/>
      <c r="K38" s="1856"/>
      <c r="L38" s="1850"/>
      <c r="M38" s="1850"/>
    </row>
    <row r="39" spans="1:18" ht="24.6" customHeight="1" thickTop="1">
      <c r="A39" s="1329" t="s">
        <v>1027</v>
      </c>
      <c r="B39" s="1344" t="s">
        <v>1477</v>
      </c>
      <c r="C39" s="355">
        <f ca="1">C5-C30</f>
        <v>1754687</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34263557</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30.26</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ROUND(C40/F43,0)</f>
        <v>2250</v>
      </c>
      <c r="D43" s="383" t="s">
        <v>1482</v>
      </c>
      <c r="E43" s="384" t="s">
        <v>1483</v>
      </c>
      <c r="F43" s="385">
        <f ca="1">INDIRECT("'数据-取费表'!k"&amp;$G$1)</f>
        <v>15225.21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929">
        <f ca="1">C68-C40</f>
        <v>-135287826</v>
      </c>
      <c r="D45" s="1930" t="s">
        <v>1598</v>
      </c>
      <c r="E45" s="1857"/>
      <c r="F45" s="1857"/>
      <c r="O45" s="1860" t="s">
        <v>1513</v>
      </c>
      <c r="P45" s="1830"/>
      <c r="Q45" s="1830"/>
      <c r="R45" s="1830"/>
    </row>
    <row r="46" spans="1:18" s="1833" customFormat="1" ht="13.8" thickBot="1">
      <c r="A46" s="1861" t="s">
        <v>1514</v>
      </c>
      <c r="C46" s="1862">
        <f ca="1">ROUND(C45/10000,0)</f>
        <v>-13529</v>
      </c>
      <c r="D46" s="1863" t="str">
        <f>C2</f>
        <v>万元</v>
      </c>
      <c r="I46" s="1864" t="s">
        <v>1515</v>
      </c>
      <c r="J46" s="1865"/>
      <c r="K46" s="1866"/>
      <c r="L46" s="1867">
        <f ca="1">IF(M47="住宅",0,IF(L48&gt;J51,L60,J60))</f>
        <v>1517299</v>
      </c>
      <c r="O46" s="1868" t="s">
        <v>1516</v>
      </c>
      <c r="P46" s="1869" t="s">
        <v>1517</v>
      </c>
      <c r="Q46" s="1870" t="s">
        <v>1518</v>
      </c>
      <c r="R46" s="1870" t="s">
        <v>1519</v>
      </c>
    </row>
    <row r="47" spans="1:18" s="1833" customFormat="1" ht="13.8" thickBot="1">
      <c r="A47" s="1165" t="s">
        <v>1390</v>
      </c>
      <c r="B47" s="1197" t="s">
        <v>1391</v>
      </c>
      <c r="C47" s="119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34263557</v>
      </c>
      <c r="R47" s="1877" t="s">
        <v>1523</v>
      </c>
    </row>
    <row r="48" spans="1:18" s="1833" customFormat="1" ht="40.200000000000003" thickBot="1">
      <c r="A48" s="1360" t="s">
        <v>1131</v>
      </c>
      <c r="B48" s="345" t="s">
        <v>1395</v>
      </c>
      <c r="C48" s="1808">
        <f ca="1">C49+C53+C55</f>
        <v>0</v>
      </c>
      <c r="D48" s="1362"/>
      <c r="E48" s="1363"/>
      <c r="F48" s="1181"/>
      <c r="G48" s="792"/>
      <c r="H48" s="793"/>
      <c r="I48" s="1878" t="s">
        <v>1524</v>
      </c>
      <c r="J48" s="1879" t="s">
        <v>3172</v>
      </c>
      <c r="K48" s="1880" t="s">
        <v>1525</v>
      </c>
      <c r="L48" s="1881">
        <f ca="1">INDIRECT("'数据-取费表'!f"&amp;$G$1)</f>
        <v>30.26</v>
      </c>
      <c r="O48" s="1875" t="s">
        <v>1037</v>
      </c>
      <c r="P48" s="1876" t="s">
        <v>1526</v>
      </c>
      <c r="Q48" s="1877">
        <f ca="1">J60</f>
        <v>1517299</v>
      </c>
      <c r="R48" s="1877" t="s">
        <v>1527</v>
      </c>
    </row>
    <row r="49" spans="1:18" s="1833" customFormat="1" ht="13.8" thickBot="1">
      <c r="A49" s="1194" t="s">
        <v>1132</v>
      </c>
      <c r="B49" s="1820" t="s">
        <v>1484</v>
      </c>
      <c r="C49" s="1364">
        <f ca="1">ROUND(F49*F51*F50*(1-F52),0)</f>
        <v>0</v>
      </c>
      <c r="D49" s="1276" t="s">
        <v>1398</v>
      </c>
      <c r="E49" s="1821" t="s">
        <v>1485</v>
      </c>
      <c r="F49" s="1281"/>
      <c r="G49" s="1882"/>
      <c r="H49" s="793"/>
      <c r="I49" s="1878" t="s">
        <v>1528</v>
      </c>
      <c r="J49" s="1883">
        <v>2011</v>
      </c>
      <c r="K49" s="1880" t="s">
        <v>1529</v>
      </c>
      <c r="L49" s="1884"/>
      <c r="O49" s="1885" t="s">
        <v>1038</v>
      </c>
      <c r="P49" s="1876" t="s">
        <v>1530</v>
      </c>
      <c r="Q49" s="1877">
        <f ca="1">C29</f>
        <v>51467972</v>
      </c>
      <c r="R49" s="1877" t="s">
        <v>1523</v>
      </c>
    </row>
    <row r="50" spans="1:18" s="1833" customFormat="1" ht="13.8" thickBot="1">
      <c r="A50" s="1195"/>
      <c r="B50" s="1198"/>
      <c r="C50" s="1199"/>
      <c r="D50" s="1172"/>
      <c r="E50" s="1277" t="s">
        <v>1400</v>
      </c>
      <c r="F50" s="1278">
        <f ca="1">F7</f>
        <v>15225.21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-42175865</v>
      </c>
      <c r="M51" s="1893"/>
      <c r="O51" s="1885" t="s">
        <v>1040</v>
      </c>
      <c r="P51" s="1876" t="s">
        <v>1536</v>
      </c>
      <c r="Q51" s="1888">
        <f>J52</f>
        <v>0.09</v>
      </c>
      <c r="R51" s="1877"/>
    </row>
    <row r="52" spans="1:18" s="1833" customFormat="1" ht="13.8" thickBot="1">
      <c r="A52" s="1196"/>
      <c r="B52" s="1198"/>
      <c r="C52" s="1199"/>
      <c r="D52" s="1172"/>
      <c r="E52" s="1200" t="s">
        <v>1402</v>
      </c>
      <c r="F52" s="1275"/>
      <c r="I52" s="1894" t="s">
        <v>1537</v>
      </c>
      <c r="J52" s="1895">
        <v>0.09</v>
      </c>
      <c r="K52" s="1894" t="s">
        <v>1538</v>
      </c>
      <c r="L52" s="1895"/>
      <c r="O52" s="1885" t="s">
        <v>1041</v>
      </c>
      <c r="P52" s="1876" t="s">
        <v>1539</v>
      </c>
      <c r="Q52" s="1877">
        <f ca="1">J53</f>
        <v>30.26</v>
      </c>
      <c r="R52" s="1877" t="s">
        <v>1540</v>
      </c>
    </row>
    <row r="53" spans="1:18" s="1833" customFormat="1" ht="30.75" customHeight="1" thickBot="1">
      <c r="A53" s="1361" t="s">
        <v>1133</v>
      </c>
      <c r="B53" s="369" t="s">
        <v>1403</v>
      </c>
      <c r="C53" s="361">
        <f ca="1">ROUND(IF(F53="押一",C49/12*F11,IF(F53="押二",C49/12*2*F11,IF(F53="押三",C49/12*3*F11,C54*F11))),0)</f>
        <v>0</v>
      </c>
      <c r="D53" s="1815" t="s">
        <v>3036</v>
      </c>
      <c r="E53" s="358" t="s">
        <v>1404</v>
      </c>
      <c r="F53" s="1366"/>
      <c r="I53" s="1896" t="s">
        <v>1541</v>
      </c>
      <c r="J53" s="2943">
        <f ca="1">IF(M47="住宅",IF(D1="——",MAX(J51,L48),MAX(J51,L48-'数据-取费表'!B24)),IF(D1="——",MIN(J51,L48),MIN(J51,L48-'数据-取费表'!B24)))</f>
        <v>30.26</v>
      </c>
      <c r="K53" s="3258" t="s">
        <v>1542</v>
      </c>
      <c r="L53" s="3259"/>
      <c r="O53" s="1875" t="s">
        <v>1042</v>
      </c>
      <c r="P53" s="1876" t="s">
        <v>1543</v>
      </c>
      <c r="Q53" s="1877">
        <f ca="1">Q47+Q48</f>
        <v>35780856</v>
      </c>
      <c r="R53" s="1877" t="s">
        <v>1043</v>
      </c>
    </row>
    <row r="54" spans="1:18" s="1833" customFormat="1" ht="13.8" thickBot="1">
      <c r="A54" s="1194"/>
      <c r="B54" s="1931" t="s">
        <v>1597</v>
      </c>
      <c r="C54" s="1178"/>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1823"/>
      <c r="F55" s="1897"/>
      <c r="I55" s="1900" t="s">
        <v>1545</v>
      </c>
      <c r="J55" s="1901">
        <f ca="1">ROUND(IF(J47="钢混",J57/J50,1-(1-2%)*(J50-J57)/J50),3)</f>
        <v>0.34599999999999997</v>
      </c>
      <c r="K55" s="1902" t="s">
        <v>1546</v>
      </c>
      <c r="L55" s="1903"/>
      <c r="O55" s="1868" t="s">
        <v>1516</v>
      </c>
      <c r="P55" s="1869" t="s">
        <v>1517</v>
      </c>
      <c r="Q55" s="1870" t="s">
        <v>1518</v>
      </c>
      <c r="R55" s="1870" t="s">
        <v>1519</v>
      </c>
    </row>
    <row r="56" spans="1:18" s="1833" customFormat="1" ht="36" customHeight="1" thickTop="1" thickBot="1">
      <c r="A56" s="1176">
        <v>2</v>
      </c>
      <c r="B56" s="1177" t="s">
        <v>1408</v>
      </c>
      <c r="C56" s="276">
        <f ca="1">C13</f>
        <v>46321175</v>
      </c>
      <c r="D56" s="1904"/>
      <c r="E56" s="1905"/>
      <c r="F56" s="1897"/>
      <c r="I56" s="1906" t="s">
        <v>1548</v>
      </c>
      <c r="J56" s="1907" t="s">
        <v>3173</v>
      </c>
      <c r="K56" s="1878" t="s">
        <v>1549</v>
      </c>
      <c r="L56" s="1881" t="str">
        <f ca="1">IF(L48&lt;J51,"——",L48-J51)</f>
        <v>——</v>
      </c>
      <c r="O56" s="1875" t="s">
        <v>1036</v>
      </c>
      <c r="P56" s="1876" t="s">
        <v>1522</v>
      </c>
      <c r="Q56" s="1877">
        <f ca="1">C40+J29</f>
        <v>34263557</v>
      </c>
      <c r="R56" s="1877" t="s">
        <v>1523</v>
      </c>
    </row>
    <row r="57" spans="1:18" s="1833" customFormat="1" ht="24.6" thickBot="1">
      <c r="A57" s="1908"/>
      <c r="B57" s="1169" t="s">
        <v>1472</v>
      </c>
      <c r="C57" s="282">
        <f ca="1">C29</f>
        <v>51467972</v>
      </c>
      <c r="D57" s="1909"/>
      <c r="E57" s="1910"/>
      <c r="F57" s="1911"/>
      <c r="I57" s="1912" t="s">
        <v>1550</v>
      </c>
      <c r="J57" s="1913">
        <f ca="1">IF(OR(M47="住宅",J51&lt;L48,J56="是"),"——",J51-L48)</f>
        <v>20.74</v>
      </c>
      <c r="K57" s="1878" t="s">
        <v>1599</v>
      </c>
      <c r="L57" s="1881" t="str">
        <f ca="1">IF(L48&lt;J51,"——",IF(L55="比较法",L49,IF(L55="基准地价",L50,L51)))</f>
        <v>——</v>
      </c>
      <c r="O57" s="1875" t="s">
        <v>1037</v>
      </c>
      <c r="P57" s="1876" t="s">
        <v>1600</v>
      </c>
      <c r="Q57" s="1877">
        <f ca="1">L60</f>
        <v>0</v>
      </c>
      <c r="R57" s="1877" t="s">
        <v>1601</v>
      </c>
    </row>
    <row r="58" spans="1:18" s="1833" customFormat="1" ht="24.6" thickBot="1">
      <c r="A58" s="360" t="s">
        <v>1026</v>
      </c>
      <c r="B58" s="1177" t="s">
        <v>1418</v>
      </c>
      <c r="C58" s="361">
        <f ca="1">ROUND(C59+C64+C65+C66,0)</f>
        <v>5173601</v>
      </c>
      <c r="D58" s="1179" t="s">
        <v>1419</v>
      </c>
      <c r="E58" s="1180"/>
      <c r="F58" s="1181"/>
      <c r="I58" s="1912" t="s">
        <v>1554</v>
      </c>
      <c r="J58" s="1914">
        <f ca="1">IF(J55&lt;0.4,0.4,J55)</f>
        <v>0.4</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ROUND(IF(项目基本情况!B11="自然人",C48*F59,C60+C61+C62),0)</f>
        <v>4332099</v>
      </c>
      <c r="D59" s="1182" t="s">
        <v>1424</v>
      </c>
      <c r="E59" s="1183" t="s">
        <v>1425</v>
      </c>
      <c r="F59" s="368" t="str">
        <f ca="1">IF(项目基本情况!B11="企业","",IF(INDIRECT("'数据-取费表'!c"&amp;$G$1)="住宅",5%,IF(F49*F50*F51/12/(1+'数据-取费表'!C42)&gt;20000,12%,7%)))</f>
        <v/>
      </c>
      <c r="I59" s="1912" t="s">
        <v>1557</v>
      </c>
      <c r="J59" s="1913">
        <f ca="1">IF(OR(M47="住宅",J51&lt;L48,J56="是"),"——",ROUND(C29*J58,0))</f>
        <v>20587189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15" t="s">
        <v>1559</v>
      </c>
      <c r="J60" s="1916">
        <f ca="1">IF(OR(M47="住宅",J51&lt;L48,J56="是"),"0",ROUND(J59/(1+J52)^J53,0))</f>
        <v>1517299</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IF(项目基本情况!B11="自然人","——",IF(D61="按租金收入计税",ROUND(C48*F61,0),IF(D61="按房产原值计税",ROUND(C57*F61*0.7,0),INDIRECT("'数据-取费表'!Aj"&amp;$G$1))))</f>
        <v>4323310</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1490</v>
      </c>
      <c r="C62" s="25">
        <f ca="1">IF(项目基本情况!B11="自然人","——",ROUND(F62*F63,0))</f>
        <v>8789</v>
      </c>
      <c r="D62" s="1184" t="s">
        <v>1491</v>
      </c>
      <c r="E62" s="1169" t="s">
        <v>1492</v>
      </c>
      <c r="F62" s="371">
        <f t="shared" si="0"/>
        <v>4</v>
      </c>
      <c r="I62" s="1919" t="s">
        <v>1564</v>
      </c>
      <c r="J62" s="1920" t="s">
        <v>1565</v>
      </c>
      <c r="K62" s="1920" t="s">
        <v>1566</v>
      </c>
      <c r="L62" s="1920" t="s">
        <v>1567</v>
      </c>
      <c r="M62" s="1921" t="s">
        <v>1568</v>
      </c>
      <c r="O62" s="1875" t="s">
        <v>1042</v>
      </c>
      <c r="P62" s="1876" t="s">
        <v>1569</v>
      </c>
      <c r="Q62" s="1877">
        <f ca="1">Q56+Q57</f>
        <v>34263557</v>
      </c>
      <c r="R62" s="1877" t="s">
        <v>1043</v>
      </c>
    </row>
    <row r="63" spans="1:18" s="1833" customFormat="1" ht="13.8" thickBot="1">
      <c r="A63" s="372"/>
      <c r="B63" s="1175"/>
      <c r="C63" s="29"/>
      <c r="D63" s="1185"/>
      <c r="E63" s="1169" t="s">
        <v>1493</v>
      </c>
      <c r="F63" s="348">
        <f t="shared" ca="1" si="0"/>
        <v>2197.17</v>
      </c>
      <c r="I63" s="1919" t="s">
        <v>1570</v>
      </c>
      <c r="J63" s="1920">
        <v>70</v>
      </c>
      <c r="K63" s="1920">
        <v>50</v>
      </c>
      <c r="L63" s="1920">
        <v>80</v>
      </c>
      <c r="M63" s="1922">
        <v>0.02</v>
      </c>
      <c r="O63" s="1860" t="s">
        <v>1571</v>
      </c>
      <c r="P63" s="1830"/>
      <c r="Q63" s="1830"/>
      <c r="R63" s="1830"/>
    </row>
    <row r="64" spans="1:18" s="1833" customFormat="1" ht="13.8" thickBot="1">
      <c r="A64" s="1201" t="s">
        <v>1494</v>
      </c>
      <c r="B64" s="1169" t="s">
        <v>1495</v>
      </c>
      <c r="C64" s="24">
        <f ca="1">ROUND(C57*F64,0)</f>
        <v>772020</v>
      </c>
      <c r="D64" s="1183" t="s">
        <v>1496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ROUND(C56*F65,0)</f>
        <v>69482</v>
      </c>
      <c r="D65" s="1183" t="s">
        <v>1448</v>
      </c>
      <c r="E65" s="1169" t="s">
        <v>1449</v>
      </c>
      <c r="F65" s="376">
        <f t="shared" ca="1" si="0"/>
        <v>1.5E-3</v>
      </c>
      <c r="I65" s="1919" t="s">
        <v>1573</v>
      </c>
      <c r="J65" s="1920">
        <v>40</v>
      </c>
      <c r="K65" s="1920">
        <v>30</v>
      </c>
      <c r="L65" s="1920">
        <v>50</v>
      </c>
      <c r="M65" s="1922">
        <v>0.02</v>
      </c>
      <c r="O65" s="1875" t="s">
        <v>1036</v>
      </c>
      <c r="P65" s="1876" t="s">
        <v>1574</v>
      </c>
      <c r="Q65" s="1877">
        <f ca="1">C40+J29</f>
        <v>34263557</v>
      </c>
      <c r="R65" s="1877" t="s">
        <v>1523</v>
      </c>
    </row>
    <row r="66" spans="1:18" s="1833" customFormat="1" ht="16.2" thickBot="1">
      <c r="A66" s="1201" t="s">
        <v>1498</v>
      </c>
      <c r="B66" s="1169" t="s">
        <v>1433</v>
      </c>
      <c r="C66" s="24">
        <f ca="1">ROUND(C48*F66,0)</f>
        <v>0</v>
      </c>
      <c r="D66" s="1183" t="s">
        <v>1499</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-5173601</v>
      </c>
      <c r="D67" s="1182" t="s">
        <v>1458</v>
      </c>
      <c r="E67" s="1187"/>
      <c r="F67" s="1188"/>
      <c r="O67" s="1885" t="s">
        <v>1038</v>
      </c>
      <c r="P67" s="1876" t="s">
        <v>1556</v>
      </c>
      <c r="Q67" s="1923">
        <f ca="1">L51</f>
        <v>-42175865</v>
      </c>
      <c r="R67" s="1877" t="s">
        <v>1576</v>
      </c>
    </row>
    <row r="68" spans="1:18" s="1833" customFormat="1" ht="16.2" thickBot="1">
      <c r="A68" s="1166" t="s">
        <v>1028</v>
      </c>
      <c r="B68" s="1167" t="s">
        <v>1479</v>
      </c>
      <c r="C68" s="346">
        <f ca="1">ROUND(C67*(1-((1+F70)/(1+F68))^F69)/(F68-F70),0)</f>
        <v>-101024269</v>
      </c>
      <c r="D68" s="1184" t="s">
        <v>1463</v>
      </c>
      <c r="E68" s="1169" t="s">
        <v>1464</v>
      </c>
      <c r="F68" s="357">
        <f ca="1">F40</f>
        <v>4.4999999999999998E-2</v>
      </c>
      <c r="O68" s="1885" t="s">
        <v>1039</v>
      </c>
      <c r="P68" s="1924" t="s">
        <v>1577</v>
      </c>
      <c r="Q68" s="1877">
        <f ca="1">ROUND(Q69-Q70*Q71,0)</f>
        <v>-1951007</v>
      </c>
      <c r="R68" s="1877" t="s">
        <v>1047</v>
      </c>
    </row>
    <row r="69" spans="1:18" s="1833" customFormat="1" ht="13.8" thickBot="1">
      <c r="A69" s="1170"/>
      <c r="B69" s="1171"/>
      <c r="C69" s="351"/>
      <c r="D69" s="1189" t="s">
        <v>1467</v>
      </c>
      <c r="E69" s="1169" t="s">
        <v>1468</v>
      </c>
      <c r="F69" s="379">
        <f ca="1">F41</f>
        <v>30.26</v>
      </c>
      <c r="O69" s="1885" t="s">
        <v>1044</v>
      </c>
      <c r="P69" s="1924" t="s">
        <v>1578</v>
      </c>
      <c r="Q69" s="1877">
        <f ca="1">C39</f>
        <v>1754687</v>
      </c>
      <c r="R69" s="1877" t="s">
        <v>1523</v>
      </c>
    </row>
    <row r="70" spans="1:18" s="1833" customFormat="1" ht="13.8" thickBot="1">
      <c r="A70" s="1173"/>
      <c r="B70" s="1174"/>
      <c r="C70" s="355"/>
      <c r="D70" s="1185"/>
      <c r="E70" s="1169" t="s">
        <v>1471</v>
      </c>
      <c r="F70" s="1275">
        <f ca="1">F42</f>
        <v>1.4999999999999999E-2</v>
      </c>
      <c r="O70" s="1885" t="s">
        <v>1045</v>
      </c>
      <c r="P70" s="1924" t="s">
        <v>1579</v>
      </c>
      <c r="Q70" s="1877">
        <f ca="1">C13</f>
        <v>46321175</v>
      </c>
      <c r="R70" s="1877" t="s">
        <v>1523</v>
      </c>
    </row>
    <row r="71" spans="1:18" s="1833" customFormat="1" ht="13.8" thickBot="1">
      <c r="A71" s="1190" t="s">
        <v>1029</v>
      </c>
      <c r="B71" s="1191" t="s">
        <v>1481</v>
      </c>
      <c r="C71" s="382">
        <f ca="1">ROUND(C68/F71,0)</f>
        <v>-6635</v>
      </c>
      <c r="D71" s="1192" t="s">
        <v>1482</v>
      </c>
      <c r="E71" s="1193" t="s">
        <v>1483</v>
      </c>
      <c r="F71" s="385">
        <f ca="1">F43</f>
        <v>15225.21</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3705694</v>
      </c>
      <c r="D75" s="1833"/>
      <c r="E75" s="1833"/>
      <c r="F75" s="1833"/>
      <c r="K75" s="1859"/>
      <c r="L75" s="1833"/>
      <c r="O75" s="1875" t="s">
        <v>1042</v>
      </c>
      <c r="P75" s="1876" t="s">
        <v>1543</v>
      </c>
      <c r="Q75" s="1877">
        <f ca="1">Q65+Q66</f>
        <v>34263557</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-1.1120000000000001</v>
      </c>
    </row>
    <row r="80" spans="1:18">
      <c r="B80" s="386" t="s">
        <v>1505</v>
      </c>
      <c r="C80" s="318">
        <f ca="1">ROUND(C75/C39,3)</f>
        <v>2.1120000000000001</v>
      </c>
    </row>
    <row r="81" spans="2:3">
      <c r="B81" s="314" t="s">
        <v>1506</v>
      </c>
      <c r="C81" s="282"/>
    </row>
    <row r="82" spans="2:3">
      <c r="B82" s="317" t="s">
        <v>1507</v>
      </c>
      <c r="C82" s="319">
        <f ca="1">1-C83</f>
        <v>-0.35200000000000009</v>
      </c>
    </row>
    <row r="83" spans="2:3">
      <c r="B83" s="317" t="s">
        <v>1508</v>
      </c>
      <c r="C83" s="318">
        <f ca="1">ROUND(C13/C40,3)</f>
        <v>1.3520000000000001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2324</v>
      </c>
      <c r="B1" s="1927"/>
      <c r="C1" s="2546"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34824</v>
      </c>
      <c r="C2" s="243" t="s">
        <v>2326</v>
      </c>
      <c r="D2" s="2540" t="s">
        <v>70</v>
      </c>
      <c r="E2" s="1440" t="e">
        <f ca="1">SUMIF(INDIRECT("'"&amp;G2&amp;"'"&amp;"!A:A"),"承租人权益价值",INDIRECT("'"&amp;G2&amp;"'"&amp;"!c:c"))</f>
        <v>#REF!</v>
      </c>
      <c r="F2" s="2541" t="s">
        <v>2326</v>
      </c>
      <c r="G2" s="2542"/>
    </row>
    <row r="3" spans="1:8" s="244" customFormat="1" ht="18" customHeight="1" thickBot="1">
      <c r="A3" s="247" t="s">
        <v>2327</v>
      </c>
      <c r="B3" s="248">
        <f ca="1">ROUND(B2*10000/(IF(B1="",'数据-汇总表'!E3,INDIRECT("'数据-取费表'!k"&amp;$G$1))),0)</f>
        <v>4737</v>
      </c>
      <c r="C3" s="243" t="s">
        <v>2328</v>
      </c>
      <c r="D3" s="243"/>
      <c r="E3" s="243"/>
      <c r="F3" s="243"/>
      <c r="G3" s="243"/>
    </row>
    <row r="4" spans="1:8" s="252" customFormat="1" ht="16.2">
      <c r="A4" s="249" t="s">
        <v>2329</v>
      </c>
      <c r="B4" s="250"/>
      <c r="C4" s="250"/>
      <c r="D4" s="250"/>
      <c r="E4" s="250"/>
      <c r="F4" s="250"/>
      <c r="G4" s="251"/>
    </row>
    <row r="5" spans="1:8" s="258" customFormat="1" ht="13.5" customHeight="1">
      <c r="A5" s="299" t="s">
        <v>2330</v>
      </c>
      <c r="B5" s="254" t="s">
        <v>2331</v>
      </c>
      <c r="C5" s="255">
        <f ca="1">C6+C7+C8</f>
        <v>7719046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7719046</v>
      </c>
      <c r="D8" s="266"/>
      <c r="E8" s="264"/>
      <c r="F8" s="265"/>
      <c r="G8" s="2543"/>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105</v>
      </c>
      <c r="F9" s="265"/>
      <c r="G9" s="270"/>
    </row>
    <row r="10" spans="1:8" s="258" customFormat="1" ht="13.5" customHeight="1">
      <c r="A10" s="950" t="s">
        <v>801</v>
      </c>
      <c r="B10" s="268" t="s">
        <v>2343</v>
      </c>
      <c r="C10" s="269">
        <f ca="1">ROUND(D10*E10,0)</f>
        <v>7719046</v>
      </c>
      <c r="D10" s="1032">
        <f ca="1">IF(B1="",'数据-汇总表'!E6,IF(INDIRECT("'数据-取费表'!c"&amp;$G$1)="住宅",INDIRECT("'数据-取费表'!s"&amp;$G$1),INDIRECT("'数据-取费表'!k"&amp;$G$1)+INDIRECT("'数据-取费表'!s"&amp;$G$1)))</f>
        <v>73514.720000000016</v>
      </c>
      <c r="E10" s="269">
        <f>'数据-取费表'!B28</f>
        <v>105</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14702944</v>
      </c>
      <c r="D19" s="1036">
        <f ca="1">D9+D10</f>
        <v>73514.720000000016</v>
      </c>
      <c r="E19" s="255">
        <f>'数据-取费表'!B31</f>
        <v>200</v>
      </c>
      <c r="F19" s="275"/>
      <c r="G19" s="2543"/>
    </row>
    <row r="20" spans="1:7" s="258" customFormat="1" ht="13.5" customHeight="1">
      <c r="A20" s="299" t="s">
        <v>2437</v>
      </c>
      <c r="B20" s="254" t="s">
        <v>2438</v>
      </c>
      <c r="C20" s="276">
        <f ca="1">ROUND((C5+C19)*F20,0)</f>
        <v>448440</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2201979</v>
      </c>
      <c r="D22" s="279">
        <f ca="1">C26</f>
        <v>1.4E-3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750725</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1429953</v>
      </c>
      <c r="D24" s="282"/>
      <c r="E24" s="282"/>
      <c r="F24" s="283"/>
      <c r="G24" s="284" t="s">
        <v>2449</v>
      </c>
    </row>
    <row r="25" spans="1:7" s="258" customFormat="1" ht="24">
      <c r="A25" s="951" t="s">
        <v>2339</v>
      </c>
      <c r="B25" s="259" t="s">
        <v>2450</v>
      </c>
      <c r="C25" s="1381">
        <f ca="1">ROUND(IF('数据-取费表'!B22&lt;=1,C20*F22*'数据-取费表'!B22/2,C20*(POWER((1+F22),'数据-取费表'!B22/2)-1)),0)</f>
        <v>21301</v>
      </c>
      <c r="D25" s="282"/>
      <c r="E25" s="285"/>
      <c r="F25" s="283"/>
      <c r="G25" s="286" t="s">
        <v>2451</v>
      </c>
    </row>
    <row r="26" spans="1:7" s="258" customFormat="1">
      <c r="A26" s="951" t="s">
        <v>795</v>
      </c>
      <c r="B26" s="259" t="s">
        <v>2374</v>
      </c>
      <c r="C26" s="282">
        <f ca="1">ROUND(IF('数据-取费表'!B22&lt;=1,F21*F22*'数据-取费表'!B22/2,F21*(POWER((1+F22),'数据-取费表'!B22/2)-1)),4)</f>
        <v>1.4E-3</v>
      </c>
      <c r="D26" s="282"/>
      <c r="E26" s="285"/>
      <c r="F26" s="283"/>
      <c r="G26" s="287"/>
    </row>
    <row r="27" spans="1:7" s="258" customFormat="1" ht="26.4">
      <c r="A27" s="299" t="s">
        <v>2375</v>
      </c>
      <c r="B27" s="288" t="s">
        <v>2376</v>
      </c>
      <c r="C27" s="289">
        <f ca="1">C28</f>
        <v>2973156</v>
      </c>
      <c r="D27" s="279">
        <f ca="1">C29</f>
        <v>3.8999999999999998E-3</v>
      </c>
      <c r="E27" s="280" t="s">
        <v>2377</v>
      </c>
      <c r="F27" s="290">
        <f ca="1">IF(B1="",'数据-取费表'!Q16,INDIRECT("'数据-取费表'!q"&amp;$G$1))</f>
        <v>0.13</v>
      </c>
      <c r="G27" s="291" t="s">
        <v>2378</v>
      </c>
    </row>
    <row r="28" spans="1:7" s="258" customFormat="1" ht="13.5" customHeight="1">
      <c r="A28" s="951" t="s">
        <v>791</v>
      </c>
      <c r="B28" s="292" t="s">
        <v>2379</v>
      </c>
      <c r="C28" s="293">
        <f ca="1">ROUND((C5+C19+C20)*F27,0)</f>
        <v>2973156</v>
      </c>
      <c r="D28" s="279"/>
      <c r="E28" s="280"/>
      <c r="F28" s="290"/>
      <c r="G28" s="291"/>
    </row>
    <row r="29" spans="1:7" s="258" customFormat="1" ht="13.5" customHeight="1">
      <c r="A29" s="951" t="s">
        <v>792</v>
      </c>
      <c r="B29" s="292" t="s">
        <v>2380</v>
      </c>
      <c r="C29" s="282">
        <f ca="1">ROUND(C21*F27,4)</f>
        <v>3.8999999999999998E-3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30771961</v>
      </c>
      <c r="D31" s="274"/>
      <c r="E31" s="255"/>
      <c r="F31" s="294"/>
      <c r="G31" s="278" t="s">
        <v>2385</v>
      </c>
    </row>
    <row r="32" spans="1:7" s="252" customFormat="1" ht="16.2">
      <c r="A32" s="296" t="s">
        <v>2452</v>
      </c>
      <c r="B32" s="297"/>
      <c r="C32" s="297"/>
      <c r="D32" s="297"/>
      <c r="E32" s="297"/>
      <c r="F32" s="297"/>
      <c r="G32" s="298"/>
    </row>
    <row r="33" spans="1:7" s="258" customFormat="1" ht="13.5" customHeight="1">
      <c r="A33" s="299" t="s">
        <v>782</v>
      </c>
      <c r="B33" s="254" t="s">
        <v>2453</v>
      </c>
      <c r="C33" s="300">
        <f ca="1">SUM(C34:C38)</f>
        <v>267672688</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242076310</v>
      </c>
      <c r="D34" s="261"/>
      <c r="E34" s="264"/>
      <c r="F34" s="301"/>
      <c r="G34" s="263"/>
    </row>
    <row r="35" spans="1:7" ht="13.5" customHeight="1">
      <c r="A35" s="951" t="s">
        <v>796</v>
      </c>
      <c r="B35" s="259" t="s">
        <v>2390</v>
      </c>
      <c r="C35" s="264">
        <f ca="1">ROUND(C34*F35,0)</f>
        <v>7262289</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1" t="s">
        <v>798</v>
      </c>
      <c r="B37" s="259" t="s">
        <v>2394</v>
      </c>
      <c r="C37" s="293">
        <f ca="1">ROUND(E37*D37,0)</f>
        <v>14702944</v>
      </c>
      <c r="D37" s="261">
        <f ca="1">D19</f>
        <v>73514.720000000016</v>
      </c>
      <c r="E37" s="293">
        <f>'数据-取费表'!B35</f>
        <v>200</v>
      </c>
      <c r="F37" s="303"/>
      <c r="G37" s="305"/>
    </row>
    <row r="38" spans="1:7" ht="13.5" customHeight="1">
      <c r="A38" s="951" t="s">
        <v>799</v>
      </c>
      <c r="B38" s="259" t="s">
        <v>2396</v>
      </c>
      <c r="C38" s="264">
        <f ca="1">ROUND(C34*F38,0)</f>
        <v>3631145</v>
      </c>
      <c r="D38" s="264"/>
      <c r="E38" s="264"/>
      <c r="F38" s="303">
        <f>'数据-取费表'!B36</f>
        <v>1.4999999999999999E-2</v>
      </c>
      <c r="G38" s="263" t="s">
        <v>2391</v>
      </c>
    </row>
    <row r="39" spans="1:7" s="258" customFormat="1" ht="13.5" customHeight="1">
      <c r="A39" s="299" t="s">
        <v>2397</v>
      </c>
      <c r="B39" s="254" t="s">
        <v>2398</v>
      </c>
      <c r="C39" s="276">
        <f ca="1">ROUND(C33*F20,0)</f>
        <v>5353454</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12968742</v>
      </c>
      <c r="D41" s="279">
        <f ca="1">C44</f>
        <v>1.4E-3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12714453</v>
      </c>
      <c r="D42" s="282"/>
      <c r="E42" s="282"/>
      <c r="F42" s="283"/>
      <c r="G42" s="3201" t="s">
        <v>2454</v>
      </c>
    </row>
    <row r="43" spans="1:7" ht="13.5" customHeight="1">
      <c r="A43" s="951" t="s">
        <v>792</v>
      </c>
      <c r="B43" s="259" t="s">
        <v>2408</v>
      </c>
      <c r="C43" s="282">
        <f ca="1">ROUND(IF('数据-取费表'!B22&lt;=1,C39*F22*'数据-取费表'!B20/2,C39*(POWER((1+F22),'数据-取费表'!B20/2)-1)),0)</f>
        <v>254289</v>
      </c>
      <c r="D43" s="282"/>
      <c r="E43" s="282"/>
      <c r="F43" s="283"/>
      <c r="G43" s="3202"/>
    </row>
    <row r="44" spans="1:7" ht="13.5" customHeight="1">
      <c r="A44" s="951" t="s">
        <v>793</v>
      </c>
      <c r="B44" s="259" t="s">
        <v>2409</v>
      </c>
      <c r="C44" s="282">
        <f ca="1">ROUND(IF('数据-取费表'!B22&lt;=1,C40*F22*'数据-取费表'!B20/2,C40*(POWER((1+F22),'数据-取费表'!B20/2)-1)),4)</f>
        <v>1.4E-3</v>
      </c>
      <c r="D44" s="282"/>
      <c r="E44" s="282"/>
      <c r="F44" s="283"/>
      <c r="G44" s="3203"/>
    </row>
    <row r="45" spans="1:7" s="258" customFormat="1" ht="13.5" customHeight="1">
      <c r="A45" s="299" t="s">
        <v>2410</v>
      </c>
      <c r="B45" s="288" t="s">
        <v>2376</v>
      </c>
      <c r="C45" s="289">
        <f ca="1">C46</f>
        <v>35493398</v>
      </c>
      <c r="D45" s="279">
        <f ca="1">C47</f>
        <v>3.8999999999999998E-3</v>
      </c>
      <c r="E45" s="280" t="s">
        <v>2402</v>
      </c>
      <c r="F45" s="290"/>
      <c r="G45" s="291" t="s">
        <v>2411</v>
      </c>
    </row>
    <row r="46" spans="1:7" s="258" customFormat="1" ht="13.5" customHeight="1">
      <c r="A46" s="951" t="s">
        <v>791</v>
      </c>
      <c r="B46" s="292" t="s">
        <v>2412</v>
      </c>
      <c r="C46" s="293">
        <f ca="1">ROUND((C33+C39)*F27,0)</f>
        <v>35493398</v>
      </c>
      <c r="D46" s="307"/>
      <c r="E46" s="280"/>
      <c r="F46" s="290"/>
      <c r="G46" s="291"/>
    </row>
    <row r="47" spans="1:7" s="258" customFormat="1" ht="13.5" customHeight="1">
      <c r="A47" s="951" t="s">
        <v>792</v>
      </c>
      <c r="B47" s="292" t="s">
        <v>2413</v>
      </c>
      <c r="C47" s="282">
        <f ca="1">ROUND(C40*F27,4)</f>
        <v>3.8999999999999998E-3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352741148</v>
      </c>
      <c r="D49" s="276"/>
      <c r="E49" s="276"/>
      <c r="F49" s="308"/>
      <c r="G49" s="278" t="s">
        <v>2417</v>
      </c>
    </row>
    <row r="50" spans="1:7" s="302" customFormat="1">
      <c r="A50" s="299" t="s">
        <v>2418</v>
      </c>
      <c r="B50" s="254" t="s">
        <v>2419</v>
      </c>
      <c r="C50" s="276"/>
      <c r="D50" s="276"/>
      <c r="E50" s="276"/>
      <c r="F50" s="308">
        <f>IF('数据-取费表'!B24=0,'数据-取费表'!N16,1)</f>
        <v>0.9</v>
      </c>
      <c r="G50" s="291"/>
    </row>
    <row r="51" spans="1:7" ht="16.5" customHeight="1">
      <c r="A51" s="299" t="s">
        <v>2421</v>
      </c>
      <c r="B51" s="254" t="s">
        <v>2456</v>
      </c>
      <c r="C51" s="276">
        <f ca="1">ROUND(C49*F50,0)</f>
        <v>317467033</v>
      </c>
      <c r="D51" s="276"/>
      <c r="E51" s="276"/>
      <c r="F51" s="308"/>
      <c r="G51" s="278" t="s">
        <v>2423</v>
      </c>
    </row>
    <row r="52" spans="1:7" s="252" customFormat="1" ht="16.8" thickBot="1">
      <c r="A52" s="309" t="s">
        <v>2424</v>
      </c>
      <c r="B52" s="310"/>
      <c r="C52" s="311">
        <f ca="1">C31+C51</f>
        <v>348238994</v>
      </c>
      <c r="D52" s="310"/>
      <c r="E52" s="310"/>
      <c r="F52" s="310"/>
      <c r="G52" s="312"/>
    </row>
    <row r="55" spans="1:7" ht="15">
      <c r="B55" s="314" t="s">
        <v>2425</v>
      </c>
      <c r="C55" s="315"/>
    </row>
    <row r="56" spans="1:7">
      <c r="B56" s="317" t="s">
        <v>1507</v>
      </c>
      <c r="C56" s="319">
        <f ca="1">1-C57</f>
        <v>8.7999999999999967E-2</v>
      </c>
    </row>
    <row r="57" spans="1:7">
      <c r="B57" s="317" t="s">
        <v>1508</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5.2">
      <c r="A5" s="957" t="s">
        <v>2461</v>
      </c>
      <c r="B5" s="958" t="s">
        <v>2462</v>
      </c>
      <c r="C5" s="2547" t="s">
        <v>2463</v>
      </c>
      <c r="D5" s="2547" t="s">
        <v>2464</v>
      </c>
      <c r="E5" s="2547" t="s">
        <v>2465</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73514.720000000016</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73514.720000000016</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49"/>
      <c r="H18" s="1577"/>
      <c r="I18" s="2550"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105</v>
      </c>
      <c r="F19" s="976"/>
      <c r="G19" s="15"/>
      <c r="H19" s="1579"/>
      <c r="I19" s="981"/>
      <c r="J19" s="981"/>
      <c r="K19" s="982"/>
    </row>
    <row r="20" spans="1:33" s="975" customFormat="1" ht="13.5" customHeight="1">
      <c r="A20" s="971" t="s">
        <v>806</v>
      </c>
      <c r="B20" s="972" t="s">
        <v>2493</v>
      </c>
      <c r="C20" s="24">
        <f ca="1">ROUND(D20*E20/10000,0)</f>
        <v>772</v>
      </c>
      <c r="D20" s="1033">
        <f ca="1">IF(C1="",'数据-汇总表'!E6,IF(INDIRECT("'数据-取费表'!c"&amp;$K$1)="住宅",INDIRECT("'数据-取费表'!s"&amp;$K$1),INDIRECT("'数据-取费表'!k"&amp;$K$1)+INDIRECT("'数据-取费表'!s"&amp;$K$1)))</f>
        <v>73514.720000000016</v>
      </c>
      <c r="E20" s="24">
        <f>'数据-取费表'!B28</f>
        <v>105</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2507</v>
      </c>
      <c r="B28" s="2552" t="s">
        <v>2508</v>
      </c>
      <c r="C28" s="331">
        <f ca="1">C30</f>
        <v>0</v>
      </c>
      <c r="D28" s="324">
        <f ca="1">C29</f>
        <v>0</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3"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85" zoomScaleNormal="85"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5" customWidth="1"/>
    <col min="12" max="12" width="16.33203125" style="302" customWidth="1"/>
    <col min="13" max="13" width="13" style="302"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2"/>
  </cols>
  <sheetData>
    <row r="1" spans="1:37" s="337" customFormat="1" ht="21.6">
      <c r="A1" s="1824" t="s">
        <v>1583</v>
      </c>
      <c r="B1" s="782"/>
      <c r="C1" s="1828" t="s">
        <v>3647</v>
      </c>
      <c r="D1" s="1811" t="s">
        <v>70</v>
      </c>
      <c r="E1" s="1812" t="s">
        <v>1381</v>
      </c>
      <c r="F1" s="1283">
        <f ca="1">J53</f>
        <v>30.26</v>
      </c>
      <c r="G1" s="182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4" t="s">
        <v>1509</v>
      </c>
      <c r="B2" s="1835">
        <f ca="1">C40+J29+L46</f>
        <v>3589</v>
      </c>
      <c r="C2" s="1836" t="s">
        <v>1510</v>
      </c>
      <c r="D2" s="1836"/>
      <c r="E2" s="1837"/>
      <c r="F2" s="1838"/>
      <c r="G2" s="1839"/>
      <c r="H2" s="1831"/>
      <c r="I2" s="1831"/>
      <c r="J2" s="1831"/>
      <c r="K2" s="1832"/>
      <c r="L2" s="1831"/>
      <c r="M2" s="1831"/>
    </row>
    <row r="3" spans="1:37" ht="18" customHeight="1" thickBot="1">
      <c r="A3" s="1840" t="s">
        <v>1511</v>
      </c>
      <c r="B3" s="1841">
        <f ca="1">IF(ISERROR(B2*10000/F43),0,ROUND(B2*10000/F43,0))</f>
        <v>2357</v>
      </c>
      <c r="C3" s="1836" t="s">
        <v>1512</v>
      </c>
      <c r="D3" s="1836"/>
      <c r="E3" s="1837"/>
      <c r="F3" s="1838"/>
      <c r="G3" s="1839"/>
      <c r="H3" s="744" t="s">
        <v>1582</v>
      </c>
      <c r="I3" s="1831"/>
      <c r="J3" s="1831"/>
      <c r="K3" s="1832"/>
      <c r="L3" s="1831"/>
      <c r="M3" s="1831"/>
    </row>
    <row r="4" spans="1:37" ht="18" customHeight="1">
      <c r="A4" s="340" t="s">
        <v>1390</v>
      </c>
      <c r="B4" s="341" t="s">
        <v>1391</v>
      </c>
      <c r="C4" s="341" t="s">
        <v>1392</v>
      </c>
      <c r="D4" s="341" t="s">
        <v>1393</v>
      </c>
      <c r="E4" s="342" t="s">
        <v>1394</v>
      </c>
      <c r="F4" s="343"/>
      <c r="G4" s="1842"/>
      <c r="H4" s="340" t="s">
        <v>1390</v>
      </c>
      <c r="I4" s="341" t="s">
        <v>1391</v>
      </c>
      <c r="J4" s="341" t="s">
        <v>1392</v>
      </c>
      <c r="K4" s="341" t="s">
        <v>1393</v>
      </c>
      <c r="L4" s="342" t="s">
        <v>1394</v>
      </c>
      <c r="M4" s="343"/>
    </row>
    <row r="5" spans="1:37" ht="18" customHeight="1">
      <c r="A5" s="344">
        <v>1</v>
      </c>
      <c r="B5" s="345" t="s">
        <v>1395</v>
      </c>
      <c r="C5" s="1292">
        <f ca="1">C6+C10+C12</f>
        <v>317</v>
      </c>
      <c r="D5" s="1813" t="s">
        <v>1396</v>
      </c>
      <c r="E5" s="1293"/>
      <c r="F5" s="1294"/>
      <c r="G5" s="1842"/>
      <c r="H5" s="344">
        <v>1</v>
      </c>
      <c r="I5" s="345" t="s">
        <v>1395</v>
      </c>
      <c r="J5" s="1292">
        <f ca="1">J6+J10+J12</f>
        <v>0</v>
      </c>
      <c r="K5" s="1813" t="s">
        <v>1396</v>
      </c>
      <c r="L5" s="1293"/>
      <c r="M5" s="1294"/>
    </row>
    <row r="6" spans="1:37" ht="18" customHeight="1">
      <c r="A6" s="1291" t="s">
        <v>1031</v>
      </c>
      <c r="B6" s="3260" t="s">
        <v>1397</v>
      </c>
      <c r="C6" s="1296">
        <f ca="1">ROUND(F6*F8*F7*(1-F9)/10000,0)</f>
        <v>317</v>
      </c>
      <c r="D6" s="164" t="s">
        <v>3025</v>
      </c>
      <c r="E6" s="347" t="s">
        <v>1399</v>
      </c>
      <c r="F6" s="348">
        <f ca="1">INDIRECT("'数据-取费表'!u"&amp;$G$1)</f>
        <v>0.6</v>
      </c>
      <c r="G6" s="1842"/>
      <c r="H6" s="1291" t="s">
        <v>1031</v>
      </c>
      <c r="I6" s="3260" t="s">
        <v>1397</v>
      </c>
      <c r="J6" s="346">
        <f ca="1">ROUND(M6*M8*M7*(1-M9)/10000,0)</f>
        <v>0</v>
      </c>
      <c r="K6" s="164" t="s">
        <v>3024</v>
      </c>
      <c r="L6" s="347" t="s">
        <v>1399</v>
      </c>
      <c r="M6" s="348">
        <f ca="1">INDIRECT("'数据-取费表'!z"&amp;$G$1)</f>
        <v>0</v>
      </c>
    </row>
    <row r="7" spans="1:37" ht="18" customHeight="1">
      <c r="A7" s="1295"/>
      <c r="B7" s="3261"/>
      <c r="C7" s="1297"/>
      <c r="D7" s="352"/>
      <c r="E7" s="2974" t="s">
        <v>1400</v>
      </c>
      <c r="F7" s="348">
        <f ca="1">IF(INDIRECT("'数据-取费表'!ah"&amp;$G$1)="",INDIRECT("'数据-取费表'!k"&amp;$G$1),INDIRECT("'数据-取费表'!ah"&amp;$G$1))</f>
        <v>15225.21</v>
      </c>
      <c r="G7" s="1842"/>
      <c r="H7" s="349"/>
      <c r="I7" s="3261"/>
      <c r="J7" s="351"/>
      <c r="K7" s="352"/>
      <c r="L7" s="347" t="s">
        <v>1400</v>
      </c>
      <c r="M7" s="348">
        <f ca="1">F7</f>
        <v>15225.21</v>
      </c>
    </row>
    <row r="8" spans="1:37" ht="18" customHeight="1">
      <c r="A8" s="349"/>
      <c r="B8" s="3261"/>
      <c r="C8" s="351"/>
      <c r="D8" s="352"/>
      <c r="E8" s="347" t="s">
        <v>1401</v>
      </c>
      <c r="F8" s="348">
        <f ca="1">INDIRECT("'数据-取费表'!ai"&amp;$G$1)</f>
        <v>365</v>
      </c>
      <c r="G8" s="1842"/>
      <c r="H8" s="349"/>
      <c r="I8" s="3261"/>
      <c r="J8" s="351"/>
      <c r="K8" s="352"/>
      <c r="L8" s="347" t="s">
        <v>1401</v>
      </c>
      <c r="M8" s="348">
        <f ca="1">INDIRECT("'数据-取费表'!ai"&amp;$G$1)</f>
        <v>365</v>
      </c>
    </row>
    <row r="9" spans="1:37" ht="18" customHeight="1">
      <c r="A9" s="349"/>
      <c r="B9" s="3262"/>
      <c r="C9" s="351"/>
      <c r="D9" s="352"/>
      <c r="E9" s="347" t="s">
        <v>1402</v>
      </c>
      <c r="F9" s="357">
        <f ca="1">INDIRECT("'数据-取费表'!w"&amp;$G$1)</f>
        <v>0.05</v>
      </c>
      <c r="G9" s="1842"/>
      <c r="H9" s="349"/>
      <c r="I9" s="3262"/>
      <c r="J9" s="351"/>
      <c r="K9" s="352"/>
      <c r="L9" s="358" t="s">
        <v>1402</v>
      </c>
      <c r="M9" s="359">
        <f ca="1">INDIRECT("'数据-取费表'!ab"&amp;$G$1)</f>
        <v>0</v>
      </c>
    </row>
    <row r="10" spans="1:37" ht="18" customHeight="1">
      <c r="A10" s="1291" t="s">
        <v>1035</v>
      </c>
      <c r="B10" s="1814" t="s">
        <v>1403</v>
      </c>
      <c r="C10" s="361">
        <f ca="1">ROUND(IF(F10="押一",C6/12*F11,IF(F10="押二",C6/12*2*F11,IF(F10="押三",C6/12*3*F11,C11*F11))),0)</f>
        <v>0</v>
      </c>
      <c r="D10" s="1815" t="s">
        <v>3033</v>
      </c>
      <c r="E10" s="358" t="s">
        <v>1404</v>
      </c>
      <c r="F10" s="1366" t="s">
        <v>3649</v>
      </c>
      <c r="G10" s="1842"/>
      <c r="H10" s="1291" t="s">
        <v>1035</v>
      </c>
      <c r="I10" s="1814" t="s">
        <v>1403</v>
      </c>
      <c r="J10" s="346">
        <f ca="1">ROUND(IF(M10="押一",J6/12*M11,IF(M10="押二",J6/12*2*M11,IF(M10="押三",J6/12*3*M11,J11*M11))),0)</f>
        <v>0</v>
      </c>
      <c r="K10" s="1815" t="s">
        <v>3033</v>
      </c>
      <c r="L10" s="358" t="s">
        <v>1404</v>
      </c>
      <c r="M10" s="1366" t="s">
        <v>1405</v>
      </c>
    </row>
    <row r="11" spans="1:37" ht="18" customHeight="1">
      <c r="A11" s="353"/>
      <c r="B11" s="1816" t="s">
        <v>1382</v>
      </c>
      <c r="C11" s="1178"/>
      <c r="D11" s="1817"/>
      <c r="E11" s="358" t="s">
        <v>1406</v>
      </c>
      <c r="F11" s="359">
        <f ca="1">'数据-取费表'!B39</f>
        <v>1.4999999999999999E-2</v>
      </c>
      <c r="G11" s="1842"/>
      <c r="H11" s="1299"/>
      <c r="I11" s="1816" t="s">
        <v>1382</v>
      </c>
      <c r="J11" s="1178"/>
      <c r="K11" s="748"/>
      <c r="L11" s="358" t="s">
        <v>1406</v>
      </c>
      <c r="M11" s="1056">
        <f ca="1">'数据-取费表'!B39</f>
        <v>1.4999999999999999E-2</v>
      </c>
    </row>
    <row r="12" spans="1:37" ht="18" customHeight="1" thickBot="1">
      <c r="A12" s="1333" t="s">
        <v>1071</v>
      </c>
      <c r="B12" s="1818" t="s">
        <v>1407</v>
      </c>
      <c r="C12" s="1334"/>
      <c r="D12" s="1335"/>
      <c r="E12" s="1340"/>
      <c r="F12" s="1336"/>
      <c r="G12" s="1842"/>
      <c r="H12" s="1333" t="s">
        <v>1071</v>
      </c>
      <c r="I12" s="1818" t="s">
        <v>1407</v>
      </c>
      <c r="J12" s="1334"/>
      <c r="K12" s="1348"/>
      <c r="L12" s="1340"/>
      <c r="M12" s="1349"/>
    </row>
    <row r="13" spans="1:37" ht="18" customHeight="1" thickTop="1">
      <c r="A13" s="1329">
        <v>2</v>
      </c>
      <c r="B13" s="1330" t="s">
        <v>1408</v>
      </c>
      <c r="C13" s="355">
        <f ca="1">ROUND(C29*F13,0)</f>
        <v>4632</v>
      </c>
      <c r="D13" s="1331" t="s">
        <v>1409</v>
      </c>
      <c r="E13" s="1331" t="s">
        <v>1410</v>
      </c>
      <c r="F13" s="1332">
        <f ca="1">INDIRECT("'数据-取费表'!y"&amp;$G$1)</f>
        <v>0.9</v>
      </c>
      <c r="G13" s="1842"/>
      <c r="H13" s="1329">
        <v>2</v>
      </c>
      <c r="I13" s="1330" t="s">
        <v>1408</v>
      </c>
      <c r="J13" s="1290">
        <f ca="1">ROUND(J14*J15,0)</f>
        <v>0</v>
      </c>
      <c r="K13" s="1337" t="s">
        <v>1409</v>
      </c>
      <c r="L13" s="1843"/>
      <c r="M13" s="1844"/>
    </row>
    <row r="14" spans="1:37" ht="18" customHeight="1">
      <c r="A14" s="1201" t="s">
        <v>1030</v>
      </c>
      <c r="B14" s="347" t="s">
        <v>1411</v>
      </c>
      <c r="C14" s="363">
        <f ca="1">INDIRECT("'数据-取费表'!m"&amp;$G$1)+INDIRECT("'数据-取费表'!t"&amp;$G$1)</f>
        <v>3806</v>
      </c>
      <c r="D14" s="2977" t="s">
        <v>1412</v>
      </c>
      <c r="E14" s="2976"/>
      <c r="F14" s="364"/>
      <c r="G14" s="1842"/>
      <c r="H14" s="1201" t="s">
        <v>1031</v>
      </c>
      <c r="I14" s="347" t="s">
        <v>1413</v>
      </c>
      <c r="J14" s="24">
        <f ca="1">C29</f>
        <v>5147</v>
      </c>
      <c r="K14" s="2973"/>
      <c r="L14" s="979"/>
      <c r="M14" s="980"/>
    </row>
    <row r="15" spans="1:37" s="1849" customFormat="1" ht="18" customHeight="1" thickBot="1">
      <c r="A15" s="1201" t="s">
        <v>1032</v>
      </c>
      <c r="B15" s="347" t="s">
        <v>1414</v>
      </c>
      <c r="C15" s="24">
        <f ca="1">ROUND(C14*F15,0)</f>
        <v>114</v>
      </c>
      <c r="D15" s="365" t="s">
        <v>1415</v>
      </c>
      <c r="E15" s="365" t="s">
        <v>1416</v>
      </c>
      <c r="F15" s="366">
        <f>'数据-取费表'!B33</f>
        <v>0.03</v>
      </c>
      <c r="G15" s="1845"/>
      <c r="H15" s="1339" t="s">
        <v>1035</v>
      </c>
      <c r="I15" s="1340" t="s">
        <v>1410</v>
      </c>
      <c r="J15" s="1349">
        <f ca="1">INDIRECT("'数据-取费表'!ad"&amp;$G$1)</f>
        <v>0</v>
      </c>
      <c r="K15" s="1350"/>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2"/>
      <c r="H16" s="1329" t="s">
        <v>1026</v>
      </c>
      <c r="I16" s="1330" t="s">
        <v>1418</v>
      </c>
      <c r="J16" s="355">
        <f ca="1">ROUND(J17+J22+J23+J24,0)</f>
        <v>121</v>
      </c>
      <c r="K16" s="1337" t="s">
        <v>1419</v>
      </c>
      <c r="L16" s="2979"/>
      <c r="M16" s="1294"/>
    </row>
    <row r="17" spans="1:37" s="1849" customFormat="1" ht="18" customHeight="1">
      <c r="A17" s="1201" t="s">
        <v>1384</v>
      </c>
      <c r="B17" s="347" t="s">
        <v>1420</v>
      </c>
      <c r="C17" s="24">
        <f ca="1">ROUND(F17*(F43+INDIRECT("'数据-取费表'!S"&amp;$G$1))/10000,0)</f>
        <v>305</v>
      </c>
      <c r="D17" s="347" t="s">
        <v>1421</v>
      </c>
      <c r="E17" s="347" t="s">
        <v>1422</v>
      </c>
      <c r="F17" s="26">
        <f>'数据-取费表'!B35</f>
        <v>200</v>
      </c>
      <c r="G17" s="1845"/>
      <c r="H17" s="1201" t="s">
        <v>1031</v>
      </c>
      <c r="I17" s="347" t="s">
        <v>1423</v>
      </c>
      <c r="J17" s="24">
        <f ca="1">ROUND(IF(项目基本情况!B11="自然人",J6*M17/(1+'数据-取费表'!C42),J18+J19+J20),1)</f>
        <v>44.1</v>
      </c>
      <c r="K17" s="2977" t="s">
        <v>1424</v>
      </c>
      <c r="L17" s="2978" t="s">
        <v>1425</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1" t="s">
        <v>1385</v>
      </c>
      <c r="B18" s="347" t="s">
        <v>1426</v>
      </c>
      <c r="C18" s="24">
        <f ca="1">ROUND(C14*F18,0)</f>
        <v>57</v>
      </c>
      <c r="D18" s="347" t="s">
        <v>1415</v>
      </c>
      <c r="E18" s="347" t="s">
        <v>1416</v>
      </c>
      <c r="F18" s="367">
        <f>'数据-取费表'!B36</f>
        <v>1.4999999999999999E-2</v>
      </c>
      <c r="G18" s="1845"/>
      <c r="H18" s="1201" t="s">
        <v>1030</v>
      </c>
      <c r="I18" s="347" t="s">
        <v>1427</v>
      </c>
      <c r="J18" s="24">
        <f ca="1">ROUND(J6*M18/(1+'数据-取费表'!C42),2)</f>
        <v>0</v>
      </c>
      <c r="K18" s="2978" t="s">
        <v>1428</v>
      </c>
      <c r="L18" s="347" t="s">
        <v>1416</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1" t="s">
        <v>1031</v>
      </c>
      <c r="B19" s="347" t="s">
        <v>1429</v>
      </c>
      <c r="C19" s="24">
        <f ca="1">SUM(C14:C18)</f>
        <v>4282</v>
      </c>
      <c r="D19" s="140" t="s">
        <v>1430</v>
      </c>
      <c r="E19" s="2972"/>
      <c r="F19" s="26"/>
      <c r="G19" s="1842"/>
      <c r="H19" s="1201" t="s">
        <v>1032</v>
      </c>
      <c r="I19" s="347" t="s">
        <v>1431</v>
      </c>
      <c r="J19" s="24">
        <f ca="1">IF(K19="按租金收入计税",ROUND(J6*M19/(1+'数据-取费表'!C42),2),ROUND(C29*M19*0.7,2))</f>
        <v>43.23</v>
      </c>
      <c r="K19" s="1819" t="s">
        <v>1432</v>
      </c>
      <c r="L19" s="347" t="s">
        <v>1416</v>
      </c>
      <c r="M19" s="367">
        <f>IF(K19="按租金收入计税",'数据-取费表'!B51,'数据-取费表'!B50)</f>
        <v>1.2E-2</v>
      </c>
    </row>
    <row r="20" spans="1:37" s="1849" customFormat="1" ht="18" customHeight="1">
      <c r="A20" s="1201" t="s">
        <v>1035</v>
      </c>
      <c r="B20" s="347" t="s">
        <v>1433</v>
      </c>
      <c r="C20" s="24">
        <f ca="1">ROUND(C19*F20,0)</f>
        <v>86</v>
      </c>
      <c r="D20" s="369" t="s">
        <v>1434</v>
      </c>
      <c r="E20" s="347" t="s">
        <v>1416</v>
      </c>
      <c r="F20" s="367">
        <f>'数据-取费表'!B37</f>
        <v>0.02</v>
      </c>
      <c r="G20" s="1845"/>
      <c r="H20" s="1201" t="s">
        <v>1383</v>
      </c>
      <c r="I20" s="164" t="s">
        <v>1435</v>
      </c>
      <c r="J20" s="25">
        <f ca="1">ROUND(M20*M21/10000,2)</f>
        <v>0.88</v>
      </c>
      <c r="K20" s="370" t="s">
        <v>1436</v>
      </c>
      <c r="L20" s="347" t="s">
        <v>1437</v>
      </c>
      <c r="M20" s="371">
        <f>'数据-取费表'!B52</f>
        <v>4</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1" t="s">
        <v>1071</v>
      </c>
      <c r="B21" s="347" t="s">
        <v>1438</v>
      </c>
      <c r="C21" s="24" t="s">
        <v>1</v>
      </c>
      <c r="D21" s="369" t="s">
        <v>1439</v>
      </c>
      <c r="E21" s="347" t="s">
        <v>1440</v>
      </c>
      <c r="F21" s="367">
        <f>'数据-取费表'!B38</f>
        <v>0.03</v>
      </c>
      <c r="G21" s="1845"/>
      <c r="H21" s="372"/>
      <c r="I21" s="356"/>
      <c r="J21" s="29"/>
      <c r="K21" s="373"/>
      <c r="L21" s="347" t="s">
        <v>1441</v>
      </c>
      <c r="M21" s="348">
        <f ca="1">INDIRECT("'数据-取费表'!r"&amp;$G$1)</f>
        <v>2197.17</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72"/>
      <c r="F22" s="26"/>
      <c r="G22" s="1842"/>
      <c r="H22" s="1201" t="s">
        <v>1035</v>
      </c>
      <c r="I22" s="347" t="s">
        <v>1443</v>
      </c>
      <c r="J22" s="24">
        <f ca="1">ROUND(J14*M22,1)</f>
        <v>77.2</v>
      </c>
      <c r="K22" s="2978" t="s">
        <v>1444</v>
      </c>
      <c r="L22" s="347" t="s">
        <v>1416</v>
      </c>
      <c r="M22" s="374">
        <f ca="1">INDIRECT("'数据-取费表'!Ak"&amp;$G$1)</f>
        <v>1.4999999999999999E-2</v>
      </c>
    </row>
    <row r="23" spans="1:37" s="1849" customFormat="1" ht="18" customHeight="1">
      <c r="A23" s="1201" t="s">
        <v>1030</v>
      </c>
      <c r="B23" s="347" t="s">
        <v>1445</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1446</v>
      </c>
      <c r="F23" s="371">
        <f>'数据-取费表'!B20</f>
        <v>2</v>
      </c>
      <c r="G23" s="1845"/>
      <c r="H23" s="1201" t="s">
        <v>1071</v>
      </c>
      <c r="I23" s="347" t="s">
        <v>1447</v>
      </c>
      <c r="J23" s="24">
        <f ca="1">ROUND(J13*M23,1)</f>
        <v>0</v>
      </c>
      <c r="K23" s="2978" t="s">
        <v>1448</v>
      </c>
      <c r="L23" s="347" t="s">
        <v>1416</v>
      </c>
      <c r="M23" s="376">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5"/>
      <c r="H24" s="1339" t="s">
        <v>1386</v>
      </c>
      <c r="I24" s="1340" t="s">
        <v>1433</v>
      </c>
      <c r="J24" s="1341">
        <f ca="1">ROUND(J5*M24,1)</f>
        <v>0</v>
      </c>
      <c r="K24" s="1342" t="s">
        <v>1453</v>
      </c>
      <c r="L24" s="1340" t="s">
        <v>1416</v>
      </c>
      <c r="M24" s="1336">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1" t="s">
        <v>1454</v>
      </c>
      <c r="B25" s="347" t="s">
        <v>1455</v>
      </c>
      <c r="C25" s="24"/>
      <c r="D25" s="140" t="s">
        <v>1456</v>
      </c>
      <c r="E25" s="2972"/>
      <c r="F25" s="26"/>
      <c r="G25" s="1842"/>
      <c r="H25" s="1329" t="s">
        <v>1027</v>
      </c>
      <c r="I25" s="1344" t="s">
        <v>1457</v>
      </c>
      <c r="J25" s="355">
        <f ca="1">J5-J16</f>
        <v>-121</v>
      </c>
      <c r="K25" s="1345" t="s">
        <v>1458</v>
      </c>
      <c r="L25" s="1346"/>
      <c r="M25" s="1347"/>
    </row>
    <row r="26" spans="1:37">
      <c r="A26" s="1201" t="s">
        <v>1030</v>
      </c>
      <c r="B26" s="347" t="s">
        <v>1459</v>
      </c>
      <c r="C26" s="24">
        <f ca="1">ROUND((C19+C20)*F26,0)</f>
        <v>131</v>
      </c>
      <c r="D26" s="369" t="s">
        <v>1460</v>
      </c>
      <c r="E26" s="358" t="s">
        <v>1461</v>
      </c>
      <c r="F26" s="357">
        <f ca="1">INDIRECT("'数据-取费表'!q"&amp;$G$1)</f>
        <v>0.03</v>
      </c>
      <c r="G26" s="1842"/>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8.9999999999999998E-4</v>
      </c>
      <c r="D27" s="369" t="s">
        <v>1466</v>
      </c>
      <c r="E27" s="365"/>
      <c r="F27" s="366"/>
      <c r="G27" s="1842"/>
      <c r="H27" s="349"/>
      <c r="I27" s="350"/>
      <c r="J27" s="351"/>
      <c r="K27" s="378" t="s">
        <v>1467</v>
      </c>
      <c r="L27" s="347" t="s">
        <v>1468</v>
      </c>
      <c r="M27" s="379">
        <f ca="1">INDIRECT("'数据-取费表'!ag"&amp;$G$1)</f>
        <v>0</v>
      </c>
    </row>
    <row r="28" spans="1:37" s="1849" customFormat="1" ht="18" customHeight="1">
      <c r="A28" s="1201" t="s">
        <v>1033</v>
      </c>
      <c r="B28" s="347" t="s">
        <v>1469</v>
      </c>
      <c r="C28" s="24">
        <f>ROUND(F28/(1+'数据-取费表'!C42),4)</f>
        <v>5.33E-2</v>
      </c>
      <c r="D28" s="369" t="s">
        <v>1470</v>
      </c>
      <c r="E28" s="347" t="s">
        <v>1416</v>
      </c>
      <c r="F28" s="367">
        <f>'数据-取费表'!B41</f>
        <v>5.6000000000000001E-2</v>
      </c>
      <c r="G28" s="1845"/>
      <c r="H28" s="353"/>
      <c r="I28" s="354"/>
      <c r="J28" s="355"/>
      <c r="K28" s="373"/>
      <c r="L28" s="347" t="s">
        <v>1471</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9" t="s">
        <v>1034</v>
      </c>
      <c r="B29" s="1340" t="s">
        <v>1472</v>
      </c>
      <c r="C29" s="1341">
        <f ca="1">ROUND((C19+C20+C23+C26)/(1-F21-C24-C27-C28),0)</f>
        <v>5147</v>
      </c>
      <c r="D29" s="1342"/>
      <c r="E29" s="1340"/>
      <c r="F29" s="1343"/>
      <c r="G29" s="1845"/>
      <c r="H29" s="380" t="s">
        <v>1029</v>
      </c>
      <c r="I29" s="381" t="s">
        <v>1473</v>
      </c>
      <c r="J29" s="382">
        <f ca="1">ROUND(J26/(1+F40)^F41,0)</f>
        <v>0</v>
      </c>
      <c r="K29" s="383" t="s">
        <v>1474</v>
      </c>
      <c r="L29" s="384"/>
      <c r="M29" s="385">
        <f ca="1">INDIRECT("'数据-取费表'!k"&amp;$G$1)</f>
        <v>15225.21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9" t="s">
        <v>1026</v>
      </c>
      <c r="B30" s="1330" t="s">
        <v>1418</v>
      </c>
      <c r="C30" s="355">
        <f ca="1">ROUND(C31+C36+C37+C38,0)</f>
        <v>141</v>
      </c>
      <c r="D30" s="1337" t="s">
        <v>1419</v>
      </c>
      <c r="E30" s="2979"/>
      <c r="F30" s="1294"/>
      <c r="G30" s="1842"/>
      <c r="H30" s="745"/>
      <c r="I30" s="746"/>
      <c r="J30" s="747"/>
      <c r="K30" s="748"/>
      <c r="L30" s="749"/>
      <c r="M30" s="750"/>
    </row>
    <row r="31" spans="1:37" ht="18" customHeight="1">
      <c r="A31" s="1201" t="s">
        <v>1031</v>
      </c>
      <c r="B31" s="347" t="s">
        <v>1423</v>
      </c>
      <c r="C31" s="24">
        <f ca="1">ROUND(IF(项目基本情况!B11="自然人",C6*F31/(1+'数据-取费表'!C42),C32+C33+C34),1)</f>
        <v>54</v>
      </c>
      <c r="D31" s="2977" t="s">
        <v>1424</v>
      </c>
      <c r="E31" s="2978" t="s">
        <v>1475</v>
      </c>
      <c r="F31" s="368" t="str">
        <f ca="1">IF(项目基本情况!B11="企业","",IF(INDIRECT("'数据-取费表'!c"&amp;$G$1)="住宅",5%,IF(F6*F7*F8/12/(1+'数据-取费表'!C42)&gt;20000,12%,7%)))</f>
        <v/>
      </c>
      <c r="G31" s="1842"/>
      <c r="H31" s="745"/>
      <c r="I31" s="746"/>
      <c r="J31" s="747"/>
      <c r="K31" s="748"/>
      <c r="L31" s="749"/>
      <c r="M31" s="750"/>
    </row>
    <row r="32" spans="1:37" ht="18" customHeight="1">
      <c r="A32" s="1201" t="s">
        <v>1030</v>
      </c>
      <c r="B32" s="347" t="s">
        <v>1427</v>
      </c>
      <c r="C32" s="24">
        <f ca="1">IF(项目基本情况!B11="自然人","——",ROUND(C6*F32/(1+'数据-取费表'!C42),2))</f>
        <v>16.91</v>
      </c>
      <c r="D32" s="2978" t="s">
        <v>1428</v>
      </c>
      <c r="E32" s="347" t="s">
        <v>1416</v>
      </c>
      <c r="F32" s="377">
        <f>'数据-取费表'!B41</f>
        <v>5.6000000000000001E-2</v>
      </c>
      <c r="G32" s="1842"/>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36.229999999999997</v>
      </c>
      <c r="D33" s="1819" t="s">
        <v>3174</v>
      </c>
      <c r="E33" s="347" t="s">
        <v>1416</v>
      </c>
      <c r="F33" s="367">
        <f>IF(D33="按票据","——",IF(D33="按租金收入计税",'数据-取费表'!B51,'数据-取费表'!B50))</f>
        <v>0.12</v>
      </c>
      <c r="G33" s="1842"/>
      <c r="H33" s="1850"/>
      <c r="I33" s="1851"/>
      <c r="J33" s="1852"/>
      <c r="K33" s="1853"/>
      <c r="L33" s="1850"/>
      <c r="M33" s="1850"/>
    </row>
    <row r="34" spans="1:18" ht="18" customHeight="1">
      <c r="A34" s="1291" t="s">
        <v>1383</v>
      </c>
      <c r="B34" s="164" t="s">
        <v>1435</v>
      </c>
      <c r="C34" s="25">
        <f ca="1">IF(项目基本情况!B11="自然人","——",ROUND(F34*F35/10000,2))</f>
        <v>0.88</v>
      </c>
      <c r="D34" s="370" t="s">
        <v>1436</v>
      </c>
      <c r="E34" s="347" t="s">
        <v>1437</v>
      </c>
      <c r="F34" s="371">
        <f>'数据-取费表'!B52</f>
        <v>4</v>
      </c>
      <c r="G34" s="1842"/>
      <c r="H34" s="745"/>
      <c r="I34" s="1851"/>
      <c r="J34" s="1852"/>
      <c r="K34" s="1854"/>
      <c r="L34" s="1855"/>
      <c r="M34" s="1855"/>
    </row>
    <row r="35" spans="1:18" ht="18" customHeight="1">
      <c r="A35" s="1353"/>
      <c r="B35" s="1351"/>
      <c r="C35" s="29"/>
      <c r="D35" s="373"/>
      <c r="E35" s="347" t="s">
        <v>1441</v>
      </c>
      <c r="F35" s="348">
        <f ca="1">INDIRECT("'数据-取费表'!r"&amp;$G$1)</f>
        <v>2197.17</v>
      </c>
      <c r="G35" s="1842"/>
      <c r="H35" s="745"/>
      <c r="I35" s="1851"/>
      <c r="J35" s="1852"/>
      <c r="K35" s="1853"/>
      <c r="L35" s="1850"/>
      <c r="M35" s="1850"/>
    </row>
    <row r="36" spans="1:18" ht="18" customHeight="1">
      <c r="A36" s="1352" t="s">
        <v>1035</v>
      </c>
      <c r="B36" s="347" t="s">
        <v>1443</v>
      </c>
      <c r="C36" s="24">
        <f ca="1">ROUND(C29*F36,1)</f>
        <v>77.2</v>
      </c>
      <c r="D36" s="2978" t="s">
        <v>1476</v>
      </c>
      <c r="E36" s="347" t="s">
        <v>1416</v>
      </c>
      <c r="F36" s="374">
        <f ca="1">INDIRECT("'数据-取费表'!Ak"&amp;$G$1)</f>
        <v>1.4999999999999999E-2</v>
      </c>
      <c r="G36" s="1842"/>
      <c r="H36" s="1850"/>
      <c r="I36" s="1851"/>
      <c r="J36" s="1852"/>
      <c r="K36" s="751"/>
      <c r="L36" s="1850"/>
      <c r="M36" s="1850"/>
    </row>
    <row r="37" spans="1:18" ht="18" customHeight="1">
      <c r="A37" s="1201" t="s">
        <v>1071</v>
      </c>
      <c r="B37" s="347" t="s">
        <v>1447</v>
      </c>
      <c r="C37" s="24">
        <f ca="1">ROUND(C13*F37,1)</f>
        <v>6.9</v>
      </c>
      <c r="D37" s="2978" t="s">
        <v>1448</v>
      </c>
      <c r="E37" s="347" t="s">
        <v>1416</v>
      </c>
      <c r="F37" s="376">
        <f ca="1">INDIRECT("'数据-取费表'!Al"&amp;$G$1)</f>
        <v>1.5E-3</v>
      </c>
      <c r="G37" s="1842"/>
      <c r="H37" s="1850"/>
      <c r="I37" s="1851"/>
      <c r="J37" s="1852"/>
      <c r="K37" s="751"/>
      <c r="L37" s="1850"/>
      <c r="M37" s="1850"/>
    </row>
    <row r="38" spans="1:18" ht="18" customHeight="1" thickBot="1">
      <c r="A38" s="1339" t="s">
        <v>1386</v>
      </c>
      <c r="B38" s="1340" t="s">
        <v>1433</v>
      </c>
      <c r="C38" s="1341">
        <f ca="1">ROUND(C5*F38,1)</f>
        <v>3.2</v>
      </c>
      <c r="D38" s="1342" t="s">
        <v>1453</v>
      </c>
      <c r="E38" s="1340" t="s">
        <v>1416</v>
      </c>
      <c r="F38" s="1336">
        <f ca="1">INDIRECT("'数据-取费表'!Am"&amp;$G$1)</f>
        <v>0.01</v>
      </c>
      <c r="G38" s="1842"/>
      <c r="H38" s="1850"/>
      <c r="I38" s="1851"/>
      <c r="J38" s="1852"/>
      <c r="K38" s="1856"/>
      <c r="L38" s="1850"/>
      <c r="M38" s="1850"/>
    </row>
    <row r="39" spans="1:18" ht="24.6" customHeight="1" thickTop="1">
      <c r="A39" s="1329" t="s">
        <v>1027</v>
      </c>
      <c r="B39" s="1344" t="s">
        <v>1457</v>
      </c>
      <c r="C39" s="355">
        <f ca="1">C5-C30</f>
        <v>176</v>
      </c>
      <c r="D39" s="1345" t="s">
        <v>1478</v>
      </c>
      <c r="E39" s="1346"/>
      <c r="F39" s="1347"/>
      <c r="G39" s="1842"/>
      <c r="H39" s="1850"/>
      <c r="I39" s="1851"/>
      <c r="J39" s="1852"/>
      <c r="K39" s="1856"/>
      <c r="L39" s="1850"/>
      <c r="M39" s="1850"/>
    </row>
    <row r="40" spans="1:18" ht="18" customHeight="1">
      <c r="A40" s="344" t="s">
        <v>1028</v>
      </c>
      <c r="B40" s="345" t="s">
        <v>1479</v>
      </c>
      <c r="C40" s="346">
        <f ca="1">ROUND(C39*(1-((1+F42)/(1+F40))^F41)/(F40-F42),0)</f>
        <v>3437</v>
      </c>
      <c r="D40" s="370" t="s">
        <v>1463</v>
      </c>
      <c r="E40" s="347" t="s">
        <v>1464</v>
      </c>
      <c r="F40" s="357">
        <f ca="1">INDIRECT("'数据-取费表'!I"&amp;$G$1)</f>
        <v>4.4999999999999998E-2</v>
      </c>
      <c r="G40" s="1842"/>
      <c r="H40" s="1830"/>
      <c r="I40" s="1851"/>
      <c r="J40" s="1852"/>
      <c r="K40" s="1856"/>
      <c r="L40" s="1830"/>
      <c r="M40" s="1830"/>
    </row>
    <row r="41" spans="1:18" ht="18" customHeight="1">
      <c r="A41" s="349"/>
      <c r="B41" s="350"/>
      <c r="C41" s="351"/>
      <c r="D41" s="378" t="s">
        <v>1480</v>
      </c>
      <c r="E41" s="347" t="s">
        <v>1468</v>
      </c>
      <c r="F41" s="379">
        <f ca="1">IF(INDIRECT("'数据-取费表'!af"&amp;$G$1)=0,INDIRECT("'数据-取费表'!ae"&amp;$G$1),INDIRECT("'数据-取费表'!af"&amp;$G$1))</f>
        <v>30.26</v>
      </c>
      <c r="G41" s="1842"/>
      <c r="H41" s="732"/>
      <c r="I41" s="1851"/>
      <c r="J41" s="1852"/>
      <c r="K41" s="751"/>
      <c r="L41" s="732"/>
      <c r="M41" s="732"/>
    </row>
    <row r="42" spans="1:18" ht="18" customHeight="1">
      <c r="A42" s="353"/>
      <c r="B42" s="354"/>
      <c r="C42" s="355"/>
      <c r="D42" s="373"/>
      <c r="E42" s="347" t="s">
        <v>1471</v>
      </c>
      <c r="F42" s="357">
        <f ca="1">INDIRECT("'数据-取费表'!v"&amp;$G$1)</f>
        <v>1.4999999999999999E-2</v>
      </c>
      <c r="G42" s="1842"/>
      <c r="H42" s="732"/>
      <c r="I42" s="1851"/>
      <c r="J42" s="1852"/>
      <c r="K42" s="751"/>
      <c r="L42" s="732"/>
      <c r="M42" s="732"/>
    </row>
    <row r="43" spans="1:18" ht="18" customHeight="1" thickBot="1">
      <c r="A43" s="380" t="s">
        <v>1029</v>
      </c>
      <c r="B43" s="381" t="s">
        <v>1481</v>
      </c>
      <c r="C43" s="382">
        <f ca="1">ROUND(C40*10000/F43,0)</f>
        <v>2257</v>
      </c>
      <c r="D43" s="383" t="s">
        <v>1482</v>
      </c>
      <c r="E43" s="384" t="s">
        <v>1483</v>
      </c>
      <c r="F43" s="385">
        <f ca="1">INDIRECT("'数据-取费表'!k"&amp;$G$1)</f>
        <v>15225.21</v>
      </c>
      <c r="G43" s="1842"/>
      <c r="H43" s="732"/>
      <c r="I43" s="732"/>
      <c r="J43" s="732"/>
      <c r="K43" s="751"/>
      <c r="L43" s="732"/>
      <c r="M43" s="732"/>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6"/>
      <c r="O45" s="1860" t="s">
        <v>1513</v>
      </c>
      <c r="P45" s="1830"/>
      <c r="Q45" s="1830"/>
      <c r="R45" s="1830"/>
    </row>
    <row r="46" spans="1:18" s="1833" customFormat="1" ht="13.8" thickBot="1">
      <c r="A46" s="1861" t="s">
        <v>1514</v>
      </c>
      <c r="C46" s="1862">
        <f ca="1">C68-C40</f>
        <v>-11893</v>
      </c>
      <c r="D46" s="1863" t="str">
        <f>C2</f>
        <v>万元</v>
      </c>
      <c r="E46" s="1857"/>
      <c r="F46" s="1857"/>
      <c r="I46" s="1864" t="s">
        <v>1515</v>
      </c>
      <c r="J46" s="1865"/>
      <c r="K46" s="1866"/>
      <c r="L46" s="1867">
        <f ca="1">IF(M47="住宅",0,IF(L48&gt;J51,L60,J60))</f>
        <v>152</v>
      </c>
      <c r="O46" s="1868" t="s">
        <v>1516</v>
      </c>
      <c r="P46" s="1869" t="s">
        <v>1517</v>
      </c>
      <c r="Q46" s="1870" t="s">
        <v>1518</v>
      </c>
      <c r="R46" s="1870" t="s">
        <v>1519</v>
      </c>
    </row>
    <row r="47" spans="1:18" s="1833" customFormat="1" ht="13.8" thickBot="1">
      <c r="A47" s="1165" t="s">
        <v>1390</v>
      </c>
      <c r="B47" s="1197" t="s">
        <v>1391</v>
      </c>
      <c r="C47" s="1367" t="s">
        <v>1392</v>
      </c>
      <c r="D47" s="1197" t="s">
        <v>1393</v>
      </c>
      <c r="E47" s="1279" t="s">
        <v>1394</v>
      </c>
      <c r="F47" s="1280"/>
      <c r="G47" s="792"/>
      <c r="I47" s="1871" t="s">
        <v>1520</v>
      </c>
      <c r="J47" s="1872" t="s">
        <v>3116</v>
      </c>
      <c r="K47" s="1873" t="s">
        <v>1521</v>
      </c>
      <c r="L47" s="1874">
        <f ca="1">INDIRECT("'数据-取费表'!d"&amp;$G$1)</f>
        <v>40</v>
      </c>
      <c r="M47" s="1829" t="str">
        <f>IF(ISNUMBER(FIND("住宅",C1)),"住宅","非住宅")</f>
        <v>非住宅</v>
      </c>
      <c r="O47" s="1875" t="s">
        <v>1036</v>
      </c>
      <c r="P47" s="1876" t="s">
        <v>1522</v>
      </c>
      <c r="Q47" s="1877">
        <f ca="1">C40+J29</f>
        <v>3437</v>
      </c>
      <c r="R47" s="1877" t="s">
        <v>1523</v>
      </c>
    </row>
    <row r="48" spans="1:18" s="1833" customFormat="1" ht="40.200000000000003" thickBot="1">
      <c r="A48" s="1360" t="s">
        <v>1131</v>
      </c>
      <c r="B48" s="345" t="s">
        <v>1395</v>
      </c>
      <c r="C48" s="2971">
        <f ca="1">C49+C53+C55</f>
        <v>0</v>
      </c>
      <c r="D48" s="1362"/>
      <c r="E48" s="1363"/>
      <c r="F48" s="1181"/>
      <c r="G48" s="792"/>
      <c r="H48" s="793"/>
      <c r="I48" s="1878" t="s">
        <v>1524</v>
      </c>
      <c r="J48" s="1879" t="s">
        <v>3172</v>
      </c>
      <c r="K48" s="1880" t="s">
        <v>1525</v>
      </c>
      <c r="L48" s="1881">
        <f ca="1">INDIRECT("'数据-取费表'!f"&amp;$G$1)</f>
        <v>30.26</v>
      </c>
      <c r="O48" s="1875" t="s">
        <v>1037</v>
      </c>
      <c r="P48" s="1876" t="s">
        <v>1526</v>
      </c>
      <c r="Q48" s="1877">
        <f ca="1">J60</f>
        <v>152</v>
      </c>
      <c r="R48" s="1877" t="s">
        <v>1527</v>
      </c>
    </row>
    <row r="49" spans="1:18" s="1833" customFormat="1" ht="13.8" thickBot="1">
      <c r="A49" s="1194" t="s">
        <v>1132</v>
      </c>
      <c r="B49" s="1820" t="s">
        <v>1484</v>
      </c>
      <c r="C49" s="1364">
        <f ca="1">ROUND(F49*F51*F50*(1-F52)/10000,0)</f>
        <v>0</v>
      </c>
      <c r="D49" s="1276" t="s">
        <v>3024</v>
      </c>
      <c r="E49" s="1821" t="s">
        <v>1485</v>
      </c>
      <c r="F49" s="1281"/>
      <c r="G49" s="1882"/>
      <c r="H49" s="793"/>
      <c r="I49" s="1878" t="s">
        <v>1528</v>
      </c>
      <c r="J49" s="1883">
        <v>2011</v>
      </c>
      <c r="K49" s="1880" t="s">
        <v>1529</v>
      </c>
      <c r="L49" s="1884"/>
      <c r="O49" s="1885" t="s">
        <v>1038</v>
      </c>
      <c r="P49" s="1876" t="s">
        <v>1530</v>
      </c>
      <c r="Q49" s="1877">
        <f ca="1">C29</f>
        <v>5147</v>
      </c>
      <c r="R49" s="1877" t="s">
        <v>1523</v>
      </c>
    </row>
    <row r="50" spans="1:18" s="1833" customFormat="1" ht="13.8" thickBot="1">
      <c r="A50" s="1195"/>
      <c r="B50" s="1198"/>
      <c r="C50" s="1368"/>
      <c r="D50" s="1172"/>
      <c r="E50" s="1277" t="s">
        <v>1400</v>
      </c>
      <c r="F50" s="1278">
        <f ca="1">F7</f>
        <v>15225.21</v>
      </c>
      <c r="H50" s="793"/>
      <c r="I50" s="1878" t="s">
        <v>1531</v>
      </c>
      <c r="J50" s="1886">
        <f>SUMPRODUCT((I63:I65=J47)*(J62:L62=J48)*(J63:L65))</f>
        <v>60</v>
      </c>
      <c r="K50" s="1880" t="s">
        <v>1532</v>
      </c>
      <c r="L50" s="1884"/>
      <c r="M50" s="1887"/>
      <c r="O50" s="1885" t="s">
        <v>1039</v>
      </c>
      <c r="P50" s="1876" t="s">
        <v>1533</v>
      </c>
      <c r="Q50" s="1888">
        <f ca="1">J58</f>
        <v>0.4</v>
      </c>
      <c r="R50" s="1877"/>
    </row>
    <row r="51" spans="1:18" s="1833" customFormat="1" ht="13.8" thickBot="1">
      <c r="A51" s="1196"/>
      <c r="B51" s="1198"/>
      <c r="C51" s="1199"/>
      <c r="D51" s="1172"/>
      <c r="E51" s="1200" t="s">
        <v>1401</v>
      </c>
      <c r="F51" s="348">
        <f ca="1">F8</f>
        <v>365</v>
      </c>
      <c r="I51" s="1889" t="s">
        <v>1534</v>
      </c>
      <c r="J51" s="1890">
        <f>IF(J49="",J50,J49+J50-YEAR('数据-取费表'!B2))</f>
        <v>51</v>
      </c>
      <c r="K51" s="1891" t="s">
        <v>1535</v>
      </c>
      <c r="L51" s="1892">
        <f ca="1">ROUND(-PV(INDIRECT("'数据-取费表'!h"&amp;$G$1),J51,(C39-C13*C76),0),0)</f>
        <v>-4206</v>
      </c>
      <c r="M51" s="1893"/>
      <c r="O51" s="1885" t="s">
        <v>1040</v>
      </c>
      <c r="P51" s="1876" t="s">
        <v>1536</v>
      </c>
      <c r="Q51" s="1888">
        <f>J52</f>
        <v>0.09</v>
      </c>
      <c r="R51" s="1877"/>
    </row>
    <row r="52" spans="1:18" s="1833" customFormat="1" ht="13.8" thickBot="1">
      <c r="A52" s="1196"/>
      <c r="B52" s="1198"/>
      <c r="C52" s="1199"/>
      <c r="D52" s="1172"/>
      <c r="E52" s="1200" t="s">
        <v>1402</v>
      </c>
      <c r="F52" s="1275"/>
      <c r="I52" s="1894" t="s">
        <v>1537</v>
      </c>
      <c r="J52" s="1895">
        <v>0.09</v>
      </c>
      <c r="K52" s="1894" t="s">
        <v>1538</v>
      </c>
      <c r="L52" s="1895"/>
      <c r="O52" s="1885" t="s">
        <v>1041</v>
      </c>
      <c r="P52" s="1876" t="s">
        <v>1539</v>
      </c>
      <c r="Q52" s="1877">
        <f ca="1">J53</f>
        <v>30.26</v>
      </c>
      <c r="R52" s="1877" t="s">
        <v>1540</v>
      </c>
    </row>
    <row r="53" spans="1:18" s="1833" customFormat="1" ht="36.6" thickBot="1">
      <c r="A53" s="1405" t="s">
        <v>1133</v>
      </c>
      <c r="B53" s="1822" t="s">
        <v>1403</v>
      </c>
      <c r="C53" s="361">
        <f ca="1">ROUND(IF(F53="押一",C49/12*F11,IF(F53="押二",C49/12*2*F11,IF(F53="押三",C49/12*3*F11,C54*F11))),0)</f>
        <v>0</v>
      </c>
      <c r="D53" s="1815" t="s">
        <v>3033</v>
      </c>
      <c r="E53" s="358" t="s">
        <v>1404</v>
      </c>
      <c r="F53" s="1366"/>
      <c r="I53" s="1896" t="s">
        <v>1541</v>
      </c>
      <c r="J53" s="2943">
        <f ca="1">IF(M47="住宅",IF(D1="——",MAX(J51,L48),MAX(J51,L48-'数据-取费表'!B24)),IF(D1="——",MIN(J51,L48),MIN(J51,L48-'数据-取费表'!B24)))</f>
        <v>30.26</v>
      </c>
      <c r="K53" s="3258" t="s">
        <v>1542</v>
      </c>
      <c r="L53" s="3259"/>
      <c r="O53" s="1875" t="s">
        <v>1042</v>
      </c>
      <c r="P53" s="1876" t="s">
        <v>1543</v>
      </c>
      <c r="Q53" s="1877">
        <f ca="1">Q47+Q48</f>
        <v>3589</v>
      </c>
      <c r="R53" s="1877" t="s">
        <v>1043</v>
      </c>
    </row>
    <row r="54" spans="1:18" s="1833" customFormat="1" ht="24.6" thickBot="1">
      <c r="A54" s="1406"/>
      <c r="B54" s="1816" t="s">
        <v>1382</v>
      </c>
      <c r="C54" s="1178"/>
      <c r="D54" s="1815"/>
      <c r="E54" s="297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33" t="s">
        <v>1071</v>
      </c>
      <c r="B55" s="1818" t="s">
        <v>1407</v>
      </c>
      <c r="C55" s="1334"/>
      <c r="D55" s="1815"/>
      <c r="E55" s="2975"/>
      <c r="F55" s="1897"/>
      <c r="I55" s="1900" t="s">
        <v>1545</v>
      </c>
      <c r="J55" s="1901">
        <f ca="1">ROUND(IF(J47="钢混",J57/J50,1-(1-2%)*(J50-J57)/J50),3)</f>
        <v>0.34599999999999997</v>
      </c>
      <c r="K55" s="1902" t="s">
        <v>1546</v>
      </c>
      <c r="L55" s="1903" t="s">
        <v>1547</v>
      </c>
      <c r="O55" s="1868" t="s">
        <v>1516</v>
      </c>
      <c r="P55" s="1869" t="s">
        <v>1517</v>
      </c>
      <c r="Q55" s="1870" t="s">
        <v>1518</v>
      </c>
      <c r="R55" s="1870" t="s">
        <v>1519</v>
      </c>
    </row>
    <row r="56" spans="1:18" s="1833" customFormat="1" ht="37.200000000000003" thickTop="1" thickBot="1">
      <c r="A56" s="1176">
        <v>2</v>
      </c>
      <c r="B56" s="1177" t="s">
        <v>1408</v>
      </c>
      <c r="C56" s="276">
        <f ca="1">C13</f>
        <v>4632</v>
      </c>
      <c r="D56" s="1904"/>
      <c r="E56" s="1905"/>
      <c r="F56" s="1897"/>
      <c r="I56" s="1906" t="s">
        <v>1548</v>
      </c>
      <c r="J56" s="1907" t="s">
        <v>3173</v>
      </c>
      <c r="K56" s="1878" t="s">
        <v>1549</v>
      </c>
      <c r="L56" s="1881" t="str">
        <f ca="1">IF(L48&lt;J51,"——",L48-J53)</f>
        <v>——</v>
      </c>
      <c r="O56" s="1875" t="s">
        <v>1036</v>
      </c>
      <c r="P56" s="1876" t="s">
        <v>1522</v>
      </c>
      <c r="Q56" s="1877">
        <f ca="1">C40+J29</f>
        <v>3437</v>
      </c>
      <c r="R56" s="1877" t="s">
        <v>1523</v>
      </c>
    </row>
    <row r="57" spans="1:18" s="1833" customFormat="1" ht="24.6" thickBot="1">
      <c r="A57" s="1908"/>
      <c r="B57" s="1169" t="s">
        <v>1472</v>
      </c>
      <c r="C57" s="282">
        <f ca="1">C29</f>
        <v>5147</v>
      </c>
      <c r="D57" s="1909"/>
      <c r="E57" s="1910"/>
      <c r="F57" s="1911"/>
      <c r="I57" s="1912" t="s">
        <v>1550</v>
      </c>
      <c r="J57" s="1913">
        <f ca="1">IF(OR(M47="住宅",J51&lt;L48,J56="是"),"——",J51-L48)</f>
        <v>20.74</v>
      </c>
      <c r="K57" s="1878" t="s">
        <v>1551</v>
      </c>
      <c r="L57" s="1881" t="str">
        <f ca="1">IF(L48&lt;J51,"——",IF(L55="比较法",L49,IF(L55="基准地价",L50,L51)))</f>
        <v>——</v>
      </c>
      <c r="O57" s="1875" t="s">
        <v>1037</v>
      </c>
      <c r="P57" s="1876" t="s">
        <v>1552</v>
      </c>
      <c r="Q57" s="1877">
        <f ca="1">L60</f>
        <v>0</v>
      </c>
      <c r="R57" s="1877" t="s">
        <v>1553</v>
      </c>
    </row>
    <row r="58" spans="1:18" s="1833" customFormat="1" ht="24.6" thickBot="1">
      <c r="A58" s="360" t="s">
        <v>1026</v>
      </c>
      <c r="B58" s="1177" t="s">
        <v>1418</v>
      </c>
      <c r="C58" s="361">
        <f ca="1">ROUND(C59+C64+C65+C66,0)</f>
        <v>517</v>
      </c>
      <c r="D58" s="1179" t="s">
        <v>1419</v>
      </c>
      <c r="E58" s="1180"/>
      <c r="F58" s="1181"/>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201" t="s">
        <v>1031</v>
      </c>
      <c r="B59" s="1169" t="s">
        <v>1423</v>
      </c>
      <c r="C59" s="24">
        <f ca="1">ROUND(IF(项目基本情况!B11="自然人",C48*F59,C60+C61+C62),1)</f>
        <v>433.2</v>
      </c>
      <c r="D59" s="1182" t="s">
        <v>1424</v>
      </c>
      <c r="E59" s="1183" t="s">
        <v>1425</v>
      </c>
      <c r="F59" s="368" t="str">
        <f ca="1">IF(项目基本情况!B11="企业","",IF(INDIRECT("'数据-取费表'!c"&amp;$G$1)="住宅",5%,IF(F49*F50*F51/12/(1+'数据-取费表'!C42)&gt;20000,12%,7%)))</f>
        <v/>
      </c>
      <c r="I59" s="1912" t="s">
        <v>1557</v>
      </c>
      <c r="J59" s="1913">
        <f ca="1">IF(OR(M47="住宅",J51&lt;L48,J56="是"),"——",ROUND(C29*J58,0))</f>
        <v>2059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15" t="s">
        <v>1559</v>
      </c>
      <c r="J60" s="1916">
        <f ca="1">IF(OR(M47="住宅",J51&lt;L48,J56="是"),"0",ROUND(J59/(1+J52)^J53,0))</f>
        <v>152</v>
      </c>
      <c r="K60" s="1917" t="s">
        <v>1560</v>
      </c>
      <c r="L60" s="1916">
        <f ca="1">IF(OR(M47="住宅",L48&lt;J51),0,ROUND(L57*(L58/L59-1),0))</f>
        <v>0</v>
      </c>
      <c r="O60" s="1885" t="s">
        <v>1040</v>
      </c>
      <c r="P60" s="1876" t="s">
        <v>1561</v>
      </c>
      <c r="Q60" s="1877" t="e">
        <f ca="1">L58</f>
        <v>#DIV/0!</v>
      </c>
      <c r="R60" s="1877" t="s">
        <v>1562</v>
      </c>
    </row>
    <row r="61" spans="1:18" s="1833" customFormat="1" ht="13.8" thickBot="1">
      <c r="A61" s="1201" t="s">
        <v>1486</v>
      </c>
      <c r="B61" s="1169" t="s">
        <v>1487</v>
      </c>
      <c r="C61" s="24">
        <f ca="1">IF(项目基本情况!B11="自然人","——",IF(D61="按租金收入计税",ROUND(C48*F61,2),IF(D61="按房产原值计税",ROUND(C57*F61*0.7,2),INDIRECT("'数据-取费表'!Aj"&amp;$G$1))))</f>
        <v>432.35</v>
      </c>
      <c r="D61" s="1819" t="s">
        <v>1432</v>
      </c>
      <c r="E61" s="1169" t="s">
        <v>1488</v>
      </c>
      <c r="F61" s="367">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8" thickBot="1">
      <c r="A62" s="1201" t="s">
        <v>1489</v>
      </c>
      <c r="B62" s="1168" t="s">
        <v>1435</v>
      </c>
      <c r="C62" s="25">
        <f ca="1">IF(项目基本情况!B11="自然人","——",ROUND(F62*F63/10000,2))</f>
        <v>0.88</v>
      </c>
      <c r="D62" s="1184" t="s">
        <v>1436</v>
      </c>
      <c r="E62" s="1169" t="s">
        <v>1437</v>
      </c>
      <c r="F62" s="371">
        <f t="shared" si="0"/>
        <v>4</v>
      </c>
      <c r="I62" s="1919" t="s">
        <v>1564</v>
      </c>
      <c r="J62" s="1920" t="s">
        <v>1565</v>
      </c>
      <c r="K62" s="1920" t="s">
        <v>1566</v>
      </c>
      <c r="L62" s="1920" t="s">
        <v>1567</v>
      </c>
      <c r="M62" s="1921" t="s">
        <v>1568</v>
      </c>
      <c r="O62" s="1875" t="s">
        <v>1042</v>
      </c>
      <c r="P62" s="1876" t="s">
        <v>1543</v>
      </c>
      <c r="Q62" s="1877">
        <f ca="1">Q56+Q57</f>
        <v>3437</v>
      </c>
      <c r="R62" s="1877" t="s">
        <v>1043</v>
      </c>
    </row>
    <row r="63" spans="1:18" s="1833" customFormat="1" ht="13.8" thickBot="1">
      <c r="A63" s="372"/>
      <c r="B63" s="1175"/>
      <c r="C63" s="29"/>
      <c r="D63" s="1185"/>
      <c r="E63" s="1169" t="s">
        <v>1441</v>
      </c>
      <c r="F63" s="348">
        <f t="shared" ca="1" si="0"/>
        <v>2197.17</v>
      </c>
      <c r="I63" s="1919" t="s">
        <v>1570</v>
      </c>
      <c r="J63" s="1920">
        <v>70</v>
      </c>
      <c r="K63" s="1920">
        <v>50</v>
      </c>
      <c r="L63" s="1920">
        <v>80</v>
      </c>
      <c r="M63" s="1922">
        <v>0.02</v>
      </c>
      <c r="O63" s="1860" t="s">
        <v>1571</v>
      </c>
      <c r="P63" s="1830"/>
      <c r="Q63" s="1830"/>
      <c r="R63" s="1830"/>
    </row>
    <row r="64" spans="1:18" s="1833" customFormat="1" ht="13.8" thickBot="1">
      <c r="A64" s="1201" t="s">
        <v>1494</v>
      </c>
      <c r="B64" s="1169" t="s">
        <v>1443</v>
      </c>
      <c r="C64" s="24">
        <f ca="1">ROUND(C57*F64,1)</f>
        <v>77.2</v>
      </c>
      <c r="D64" s="1183" t="s">
        <v>1476</v>
      </c>
      <c r="E64" s="1169" t="s">
        <v>1488</v>
      </c>
      <c r="F64" s="374">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201" t="s">
        <v>1497</v>
      </c>
      <c r="B65" s="1169" t="s">
        <v>1447</v>
      </c>
      <c r="C65" s="24">
        <f ca="1">ROUND(C56*F65,1)</f>
        <v>6.9</v>
      </c>
      <c r="D65" s="1183" t="s">
        <v>1448</v>
      </c>
      <c r="E65" s="1169" t="s">
        <v>1416</v>
      </c>
      <c r="F65" s="376">
        <f t="shared" ca="1" si="0"/>
        <v>1.5E-3</v>
      </c>
      <c r="I65" s="1919" t="s">
        <v>1573</v>
      </c>
      <c r="J65" s="1920">
        <v>40</v>
      </c>
      <c r="K65" s="1920">
        <v>30</v>
      </c>
      <c r="L65" s="1920">
        <v>50</v>
      </c>
      <c r="M65" s="1922">
        <v>0.02</v>
      </c>
      <c r="O65" s="1875" t="s">
        <v>1036</v>
      </c>
      <c r="P65" s="1876" t="s">
        <v>1522</v>
      </c>
      <c r="Q65" s="1877">
        <f ca="1">C40+J29</f>
        <v>3437</v>
      </c>
      <c r="R65" s="1877" t="s">
        <v>1523</v>
      </c>
    </row>
    <row r="66" spans="1:18" s="1833" customFormat="1" ht="16.2" thickBot="1">
      <c r="A66" s="1201" t="s">
        <v>1498</v>
      </c>
      <c r="B66" s="1169" t="s">
        <v>1433</v>
      </c>
      <c r="C66" s="24">
        <f ca="1">ROUND(C48*F66,1)</f>
        <v>0</v>
      </c>
      <c r="D66" s="1183" t="s">
        <v>1499</v>
      </c>
      <c r="E66" s="1169" t="s">
        <v>1416</v>
      </c>
      <c r="F66" s="357">
        <f t="shared" ca="1" si="0"/>
        <v>0.01</v>
      </c>
      <c r="O66" s="1875" t="s">
        <v>1037</v>
      </c>
      <c r="P66" s="1876" t="s">
        <v>1552</v>
      </c>
      <c r="Q66" s="1877">
        <f ca="1">L60</f>
        <v>0</v>
      </c>
      <c r="R66" s="1877" t="s">
        <v>1575</v>
      </c>
    </row>
    <row r="67" spans="1:18" s="1833" customFormat="1" ht="24.6" thickBot="1">
      <c r="A67" s="1176" t="s">
        <v>1027</v>
      </c>
      <c r="B67" s="1186" t="s">
        <v>1457</v>
      </c>
      <c r="C67" s="361">
        <f ca="1">C48-C58</f>
        <v>-517</v>
      </c>
      <c r="D67" s="1182" t="s">
        <v>1458</v>
      </c>
      <c r="E67" s="1187"/>
      <c r="F67" s="1188"/>
      <c r="O67" s="1885" t="s">
        <v>1038</v>
      </c>
      <c r="P67" s="1876" t="s">
        <v>1556</v>
      </c>
      <c r="Q67" s="1923">
        <f ca="1">L51</f>
        <v>-4206</v>
      </c>
      <c r="R67" s="1877" t="s">
        <v>1576</v>
      </c>
    </row>
    <row r="68" spans="1:18" s="1833" customFormat="1" ht="16.2" thickBot="1">
      <c r="A68" s="1166" t="s">
        <v>1028</v>
      </c>
      <c r="B68" s="1167" t="s">
        <v>1479</v>
      </c>
      <c r="C68" s="346">
        <f ca="1">ROUND(C67*(1-((1+F70)/(1+F68))^F69)/(F68-F70),0)</f>
        <v>-8456</v>
      </c>
      <c r="D68" s="1184" t="s">
        <v>1463</v>
      </c>
      <c r="E68" s="1169" t="s">
        <v>1464</v>
      </c>
      <c r="F68" s="357">
        <f ca="1">F40</f>
        <v>4.4999999999999998E-2</v>
      </c>
      <c r="O68" s="1885" t="s">
        <v>1039</v>
      </c>
      <c r="P68" s="1924" t="s">
        <v>1577</v>
      </c>
      <c r="Q68" s="1877">
        <f ca="1">ROUND(Q69-Q70*Q71,0)</f>
        <v>-195</v>
      </c>
      <c r="R68" s="1877" t="s">
        <v>1047</v>
      </c>
    </row>
    <row r="69" spans="1:18" s="1833" customFormat="1" ht="13.8" thickBot="1">
      <c r="A69" s="1170"/>
      <c r="B69" s="1171"/>
      <c r="C69" s="351"/>
      <c r="D69" s="1189" t="s">
        <v>1467</v>
      </c>
      <c r="E69" s="1169" t="s">
        <v>1468</v>
      </c>
      <c r="F69" s="379">
        <f ca="1">F41</f>
        <v>30.26</v>
      </c>
      <c r="O69" s="1885" t="s">
        <v>1044</v>
      </c>
      <c r="P69" s="1924" t="s">
        <v>1578</v>
      </c>
      <c r="Q69" s="1877">
        <f ca="1">C39</f>
        <v>176</v>
      </c>
      <c r="R69" s="1877" t="s">
        <v>1523</v>
      </c>
    </row>
    <row r="70" spans="1:18" s="1833" customFormat="1" ht="13.8" thickBot="1">
      <c r="A70" s="1173"/>
      <c r="B70" s="1174"/>
      <c r="C70" s="355"/>
      <c r="D70" s="1185"/>
      <c r="E70" s="1169" t="s">
        <v>1471</v>
      </c>
      <c r="F70" s="1275"/>
      <c r="O70" s="1885" t="s">
        <v>1045</v>
      </c>
      <c r="P70" s="1924" t="s">
        <v>1579</v>
      </c>
      <c r="Q70" s="1877">
        <f ca="1">C13</f>
        <v>4632</v>
      </c>
      <c r="R70" s="1877" t="s">
        <v>1523</v>
      </c>
    </row>
    <row r="71" spans="1:18" s="1833" customFormat="1" ht="13.8" thickBot="1">
      <c r="A71" s="1190" t="s">
        <v>1029</v>
      </c>
      <c r="B71" s="1191" t="s">
        <v>1481</v>
      </c>
      <c r="C71" s="382">
        <f ca="1">ROUND(C68*10000/F71,0)</f>
        <v>-5554</v>
      </c>
      <c r="D71" s="1192" t="s">
        <v>1482</v>
      </c>
      <c r="E71" s="1193" t="s">
        <v>1483</v>
      </c>
      <c r="F71" s="385">
        <f ca="1">F43</f>
        <v>15225.21</v>
      </c>
      <c r="O71" s="1885" t="s">
        <v>1046</v>
      </c>
      <c r="P71" s="1924" t="s">
        <v>1580</v>
      </c>
      <c r="Q71" s="1888">
        <f ca="1">C76</f>
        <v>0.08</v>
      </c>
      <c r="R71" s="1877"/>
    </row>
    <row r="72" spans="1:18" s="1833" customFormat="1" ht="13.8" thickBot="1">
      <c r="B72" s="796"/>
      <c r="C72" s="796"/>
      <c r="O72" s="1885" t="s">
        <v>1040</v>
      </c>
      <c r="P72" s="1876" t="s">
        <v>1558</v>
      </c>
      <c r="Q72" s="1888">
        <f>L52</f>
        <v>0</v>
      </c>
      <c r="R72" s="1877"/>
    </row>
    <row r="73" spans="1:18" ht="16.2" thickBot="1">
      <c r="A73" s="1833"/>
      <c r="B73" s="796"/>
      <c r="C73" s="796"/>
      <c r="D73" s="1833"/>
      <c r="E73" s="1833"/>
      <c r="F73" s="1833"/>
      <c r="O73" s="1885" t="s">
        <v>1041</v>
      </c>
      <c r="P73" s="1876" t="s">
        <v>1561</v>
      </c>
      <c r="Q73" s="1877" t="e">
        <f ca="1">L58</f>
        <v>#DIV/0!</v>
      </c>
      <c r="R73" s="1877" t="s">
        <v>1562</v>
      </c>
    </row>
    <row r="74" spans="1:18" ht="13.8" thickBot="1">
      <c r="A74" s="1833"/>
      <c r="B74" s="317" t="s">
        <v>1581</v>
      </c>
      <c r="C74" s="1926"/>
      <c r="D74" s="1833"/>
      <c r="E74" s="1833"/>
      <c r="F74" s="1833"/>
      <c r="O74" s="1885" t="s">
        <v>1048</v>
      </c>
      <c r="P74" s="1876" t="str">
        <f>K59</f>
        <v>建筑物剩余耐用年限下的土地年期修正系数Kn</v>
      </c>
      <c r="Q74" s="1877" t="e">
        <f ca="1">L59</f>
        <v>#DIV/0!</v>
      </c>
      <c r="R74" s="1877" t="s">
        <v>1563</v>
      </c>
    </row>
    <row r="75" spans="1:18" ht="13.8" thickBot="1">
      <c r="A75" s="1833"/>
      <c r="B75" s="386" t="s">
        <v>1500</v>
      </c>
      <c r="C75" s="387">
        <f ca="1">ROUND(C13*C76,0)</f>
        <v>371</v>
      </c>
      <c r="D75" s="1833"/>
      <c r="E75" s="1833"/>
      <c r="F75" s="1833"/>
      <c r="K75" s="1859"/>
      <c r="L75" s="1833"/>
      <c r="O75" s="1875" t="s">
        <v>1042</v>
      </c>
      <c r="P75" s="1876" t="s">
        <v>1543</v>
      </c>
      <c r="Q75" s="1877">
        <f ca="1">Q65+Q66</f>
        <v>3437</v>
      </c>
      <c r="R75" s="1877" t="s">
        <v>1043</v>
      </c>
    </row>
    <row r="76" spans="1:18">
      <c r="B76" s="388" t="s">
        <v>1501</v>
      </c>
      <c r="C76" s="389">
        <f ca="1">INDIRECT("'数据-取费表'!j"&amp;$G$1)</f>
        <v>0.08</v>
      </c>
      <c r="I76" s="1833"/>
      <c r="J76" s="1833"/>
      <c r="K76" s="1859"/>
      <c r="L76" s="1833"/>
    </row>
    <row r="77" spans="1:18">
      <c r="B77" s="390" t="s">
        <v>1502</v>
      </c>
      <c r="C77" s="391"/>
      <c r="I77" s="1833"/>
      <c r="J77" s="1833"/>
      <c r="K77" s="1859"/>
      <c r="L77" s="1833"/>
    </row>
    <row r="78" spans="1:18">
      <c r="B78" s="314" t="s">
        <v>1503</v>
      </c>
      <c r="C78" s="392"/>
    </row>
    <row r="79" spans="1:18">
      <c r="B79" s="386" t="s">
        <v>1504</v>
      </c>
      <c r="C79" s="318">
        <f ca="1">1-C80</f>
        <v>-1.1080000000000001</v>
      </c>
    </row>
    <row r="80" spans="1:18">
      <c r="B80" s="386" t="s">
        <v>1505</v>
      </c>
      <c r="C80" s="318">
        <f ca="1">ROUND(C75/C39,3)</f>
        <v>2.1080000000000001</v>
      </c>
    </row>
    <row r="81" spans="2:3">
      <c r="B81" s="314" t="s">
        <v>1506</v>
      </c>
      <c r="C81" s="282"/>
    </row>
    <row r="82" spans="2:3">
      <c r="B82" s="317" t="s">
        <v>1507</v>
      </c>
      <c r="C82" s="319">
        <f ca="1">1-C83</f>
        <v>-0.34800000000000009</v>
      </c>
    </row>
    <row r="83" spans="2:3">
      <c r="B83" s="317" t="s">
        <v>1508</v>
      </c>
      <c r="C83" s="318">
        <f ca="1">ROUND(C13/C40,3)</f>
        <v>1.3480000000000001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4" t="s">
        <v>2524</v>
      </c>
      <c r="B1" s="2555"/>
      <c r="C1" s="2555"/>
      <c r="D1" s="2555"/>
      <c r="E1" s="2556"/>
    </row>
    <row r="2" spans="1:6" ht="15.6">
      <c r="A2" s="2557" t="s">
        <v>2325</v>
      </c>
      <c r="B2" s="2558">
        <f ca="1">SUMIF(B6:B13,"&lt;&gt;#ref!",B6:B13)</f>
        <v>33292</v>
      </c>
      <c r="C2" s="2559" t="s">
        <v>2517</v>
      </c>
      <c r="D2" s="2560" t="s">
        <v>2518</v>
      </c>
      <c r="E2" s="2561">
        <f>SUM(E6:E13)</f>
        <v>73514.720000000016</v>
      </c>
    </row>
    <row r="3" spans="1:6" ht="15.6">
      <c r="A3" s="2557" t="s">
        <v>1389</v>
      </c>
      <c r="B3" s="2558">
        <f ca="1">ROUND(B2*10000/E2,0)</f>
        <v>4529</v>
      </c>
      <c r="C3" s="2559" t="s">
        <v>2525</v>
      </c>
      <c r="D3" s="2562"/>
      <c r="E3" s="2563"/>
    </row>
    <row r="4" spans="1:6" ht="15.6">
      <c r="A4" s="2564"/>
      <c r="B4" s="2562"/>
      <c r="C4" s="2562"/>
      <c r="D4" s="2562"/>
      <c r="E4" s="2563"/>
    </row>
    <row r="5" spans="1:6" ht="14.4">
      <c r="A5" s="2565" t="s">
        <v>2519</v>
      </c>
      <c r="B5" s="3263" t="s">
        <v>2520</v>
      </c>
      <c r="C5" s="3263"/>
      <c r="D5" s="2566"/>
      <c r="E5" s="2567" t="s">
        <v>2521</v>
      </c>
      <c r="F5" s="2568" t="s">
        <v>2522</v>
      </c>
    </row>
    <row r="6" spans="1:6" ht="14.4">
      <c r="A6" s="2569" t="str">
        <f>'数据-取费表'!AN6</f>
        <v>收益法办公</v>
      </c>
      <c r="B6" s="2568">
        <f ca="1">IF(F6="是",'数据-取费表'!AO6,0)</f>
        <v>29703</v>
      </c>
      <c r="C6" s="2559" t="s">
        <v>2517</v>
      </c>
      <c r="D6" s="2562"/>
      <c r="E6" s="2570">
        <f>IF(OR(A6=0,F6="否"),0,'数据-取费表'!K6+'数据-取费表'!S6)</f>
        <v>58289.510000000017</v>
      </c>
      <c r="F6" s="2571" t="s">
        <v>2523</v>
      </c>
    </row>
    <row r="7" spans="1:6" ht="14.4">
      <c r="A7" s="2569" t="str">
        <f>'数据-取费表'!AN7</f>
        <v>收益法车库</v>
      </c>
      <c r="B7" s="2568">
        <f ca="1">IF(F7="是",'数据-取费表'!AO7,0)</f>
        <v>3589</v>
      </c>
      <c r="C7" s="2559" t="s">
        <v>2517</v>
      </c>
      <c r="D7" s="2562"/>
      <c r="E7" s="2570">
        <f>IF(OR(A7=0,F7="否"),0,'数据-取费表'!K7+'数据-取费表'!S7)</f>
        <v>15225.21</v>
      </c>
      <c r="F7" s="2571" t="s">
        <v>2523</v>
      </c>
    </row>
    <row r="8" spans="1:6" ht="14.4">
      <c r="A8" s="2569">
        <f>'数据-取费表'!AN8</f>
        <v>0</v>
      </c>
      <c r="B8" s="2568" t="e">
        <f ca="1">IF(F8="是",'数据-取费表'!AO8,0)</f>
        <v>#REF!</v>
      </c>
      <c r="C8" s="2559" t="s">
        <v>2517</v>
      </c>
      <c r="D8" s="2562"/>
      <c r="E8" s="2570">
        <f>IF(OR(A8=0,F8="否"),0,'数据-取费表'!K8+'数据-取费表'!S8)</f>
        <v>0</v>
      </c>
      <c r="F8" s="2571" t="s">
        <v>2523</v>
      </c>
    </row>
    <row r="9" spans="1:6" ht="14.4">
      <c r="A9" s="2569">
        <f>'数据-取费表'!AN9</f>
        <v>0</v>
      </c>
      <c r="B9" s="2568" t="e">
        <f ca="1">IF(F9="是",'数据-取费表'!AO9,0)</f>
        <v>#REF!</v>
      </c>
      <c r="C9" s="2559" t="s">
        <v>2517</v>
      </c>
      <c r="D9" s="2562"/>
      <c r="E9" s="2570">
        <f>IF(OR(A9=0,F9="否"),0,'数据-取费表'!K9+'数据-取费表'!S9)</f>
        <v>0</v>
      </c>
      <c r="F9" s="2571" t="s">
        <v>2523</v>
      </c>
    </row>
    <row r="10" spans="1:6" ht="14.4">
      <c r="A10" s="2569">
        <f>'数据-取费表'!AN10</f>
        <v>0</v>
      </c>
      <c r="B10" s="2568" t="e">
        <f ca="1">IF(F10="是",'数据-取费表'!AO10,0)</f>
        <v>#REF!</v>
      </c>
      <c r="C10" s="2559" t="s">
        <v>2517</v>
      </c>
      <c r="D10" s="2562"/>
      <c r="E10" s="2570">
        <f>IF(OR(A10=0,F10="否"),0,'数据-取费表'!K10+'数据-取费表'!S10)</f>
        <v>0</v>
      </c>
      <c r="F10" s="2571" t="s">
        <v>2523</v>
      </c>
    </row>
    <row r="11" spans="1:6" ht="14.4">
      <c r="A11" s="2569">
        <f>'数据-取费表'!AN11</f>
        <v>0</v>
      </c>
      <c r="B11" s="2568" t="e">
        <f ca="1">IF(F11="是",'数据-取费表'!AO11,0)</f>
        <v>#REF!</v>
      </c>
      <c r="C11" s="2559" t="s">
        <v>2517</v>
      </c>
      <c r="D11" s="2562"/>
      <c r="E11" s="2570">
        <f>IF(OR(A11=0,F11="否"),0,'数据-取费表'!K11+'数据-取费表'!S11)</f>
        <v>0</v>
      </c>
      <c r="F11" s="2571" t="s">
        <v>2523</v>
      </c>
    </row>
    <row r="12" spans="1:6" ht="14.4">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80" t="s">
        <v>1072</v>
      </c>
      <c r="B1" s="3281"/>
      <c r="C1" s="3282"/>
      <c r="D1" s="3283">
        <f>SUM(I10,I15,I20,I21,I23)</f>
        <v>0</v>
      </c>
      <c r="E1" s="3283"/>
      <c r="F1" s="3283"/>
      <c r="G1" s="3283"/>
      <c r="H1" s="3283"/>
      <c r="I1" s="3284"/>
    </row>
    <row r="2" spans="1:9">
      <c r="A2" s="3270" t="s">
        <v>1073</v>
      </c>
      <c r="B2" s="3271" t="s">
        <v>1074</v>
      </c>
      <c r="C2" s="3271"/>
      <c r="D2" s="1301" t="s">
        <v>1075</v>
      </c>
      <c r="E2" s="1301" t="s">
        <v>1076</v>
      </c>
      <c r="F2" s="1301" t="s">
        <v>1077</v>
      </c>
      <c r="G2" s="1301" t="s">
        <v>1078</v>
      </c>
      <c r="H2" s="1301" t="s">
        <v>1079</v>
      </c>
      <c r="I2" s="1302" t="s">
        <v>1080</v>
      </c>
    </row>
    <row r="3" spans="1:9">
      <c r="A3" s="3270"/>
      <c r="B3" s="3271" t="s">
        <v>1081</v>
      </c>
      <c r="C3" s="3271"/>
      <c r="D3" s="1303"/>
      <c r="E3" s="1301"/>
      <c r="F3" s="1304"/>
      <c r="G3" s="1304"/>
      <c r="H3" s="1305"/>
      <c r="I3" s="1306">
        <f>ROUND(D3*E3*F3*G3*H3/10000,0)</f>
        <v>0</v>
      </c>
    </row>
    <row r="4" spans="1:9">
      <c r="A4" s="3270"/>
      <c r="B4" s="3271" t="s">
        <v>1082</v>
      </c>
      <c r="C4" s="3271"/>
      <c r="D4" s="1303"/>
      <c r="E4" s="1301"/>
      <c r="F4" s="1304"/>
      <c r="G4" s="1304"/>
      <c r="H4" s="1305"/>
      <c r="I4" s="1306">
        <f t="shared" ref="I4:I9" si="0">ROUND(D4*E4*F4*G4*H4/10000,0)</f>
        <v>0</v>
      </c>
    </row>
    <row r="5" spans="1:9">
      <c r="A5" s="3270"/>
      <c r="B5" s="3271" t="s">
        <v>1083</v>
      </c>
      <c r="C5" s="3271"/>
      <c r="D5" s="1303"/>
      <c r="E5" s="1301"/>
      <c r="F5" s="1304"/>
      <c r="G5" s="1304"/>
      <c r="H5" s="1305"/>
      <c r="I5" s="1306">
        <f t="shared" si="0"/>
        <v>0</v>
      </c>
    </row>
    <row r="6" spans="1:9">
      <c r="A6" s="3270"/>
      <c r="B6" s="3271" t="s">
        <v>1084</v>
      </c>
      <c r="C6" s="3271"/>
      <c r="D6" s="1303"/>
      <c r="E6" s="1301"/>
      <c r="F6" s="1304"/>
      <c r="G6" s="1304"/>
      <c r="H6" s="1305"/>
      <c r="I6" s="1306">
        <f t="shared" si="0"/>
        <v>0</v>
      </c>
    </row>
    <row r="7" spans="1:9">
      <c r="A7" s="3270"/>
      <c r="B7" s="3271" t="s">
        <v>1085</v>
      </c>
      <c r="C7" s="3271"/>
      <c r="D7" s="1303"/>
      <c r="E7" s="1301"/>
      <c r="F7" s="1304"/>
      <c r="G7" s="1304"/>
      <c r="H7" s="1305"/>
      <c r="I7" s="1306">
        <f t="shared" si="0"/>
        <v>0</v>
      </c>
    </row>
    <row r="8" spans="1:9">
      <c r="A8" s="3270"/>
      <c r="B8" s="3271" t="s">
        <v>1086</v>
      </c>
      <c r="C8" s="3271"/>
      <c r="D8" s="1303"/>
      <c r="E8" s="1301"/>
      <c r="F8" s="1304"/>
      <c r="G8" s="1304"/>
      <c r="H8" s="1305"/>
      <c r="I8" s="1306">
        <f t="shared" si="0"/>
        <v>0</v>
      </c>
    </row>
    <row r="9" spans="1:9">
      <c r="A9" s="3270"/>
      <c r="B9" s="3271" t="s">
        <v>1087</v>
      </c>
      <c r="C9" s="3271"/>
      <c r="D9" s="1303"/>
      <c r="E9" s="1301"/>
      <c r="F9" s="1304"/>
      <c r="G9" s="1304"/>
      <c r="H9" s="1305"/>
      <c r="I9" s="1306">
        <f t="shared" si="0"/>
        <v>0</v>
      </c>
    </row>
    <row r="10" spans="1:9">
      <c r="A10" s="3270"/>
      <c r="B10" s="3272" t="s">
        <v>1088</v>
      </c>
      <c r="C10" s="3272"/>
      <c r="D10" s="1307"/>
      <c r="E10" s="1307" t="e">
        <f>ROUND(D1*10000/D10/H9,0)</f>
        <v>#DIV/0!</v>
      </c>
      <c r="F10" s="1308"/>
      <c r="G10" s="1308"/>
      <c r="H10" s="1309"/>
      <c r="I10" s="1310">
        <f>SUM(I3:I9)</f>
        <v>0</v>
      </c>
    </row>
    <row r="11" spans="1:9" ht="15.6">
      <c r="A11" s="3270" t="s">
        <v>1089</v>
      </c>
      <c r="B11" s="3271" t="s">
        <v>1090</v>
      </c>
      <c r="C11" s="3271"/>
      <c r="D11" s="1303" t="s">
        <v>1091</v>
      </c>
      <c r="E11" s="1303" t="s">
        <v>1092</v>
      </c>
      <c r="F11" s="1304" t="s">
        <v>1093</v>
      </c>
      <c r="G11" s="1304" t="s">
        <v>1079</v>
      </c>
      <c r="H11" s="1311" t="s">
        <v>1094</v>
      </c>
      <c r="I11" s="1302" t="s">
        <v>1080</v>
      </c>
    </row>
    <row r="12" spans="1:9">
      <c r="A12" s="3270"/>
      <c r="B12" s="3271" t="s">
        <v>1095</v>
      </c>
      <c r="C12" s="3271"/>
      <c r="D12" s="1303"/>
      <c r="E12" s="1303"/>
      <c r="F12" s="1304"/>
      <c r="G12" s="1305"/>
      <c r="H12" s="1312"/>
      <c r="I12" s="1302">
        <f>ROUND(D12*E12*F12*G12/10000,0)</f>
        <v>0</v>
      </c>
    </row>
    <row r="13" spans="1:9">
      <c r="A13" s="3270"/>
      <c r="B13" s="3271" t="s">
        <v>1096</v>
      </c>
      <c r="C13" s="3271"/>
      <c r="D13" s="1303"/>
      <c r="E13" s="1303"/>
      <c r="F13" s="1304"/>
      <c r="G13" s="1305"/>
      <c r="H13" s="1312"/>
      <c r="I13" s="1302">
        <f>ROUND(D13*E13*F13*G13/10000,0)</f>
        <v>0</v>
      </c>
    </row>
    <row r="14" spans="1:9">
      <c r="A14" s="3270"/>
      <c r="B14" s="3271" t="s">
        <v>1097</v>
      </c>
      <c r="C14" s="3271"/>
      <c r="D14" s="1303"/>
      <c r="E14" s="1303"/>
      <c r="F14" s="1304"/>
      <c r="G14" s="1305"/>
      <c r="H14" s="1312"/>
      <c r="I14" s="1302">
        <f>ROUND(D14*E14*F14*G14/10000,0)</f>
        <v>0</v>
      </c>
    </row>
    <row r="15" spans="1:9">
      <c r="A15" s="3270"/>
      <c r="B15" s="3272" t="s">
        <v>1088</v>
      </c>
      <c r="C15" s="3272"/>
      <c r="D15" s="1307"/>
      <c r="E15" s="1307">
        <f>SUM(E12:E14)</f>
        <v>0</v>
      </c>
      <c r="F15" s="1308"/>
      <c r="G15" s="1305"/>
      <c r="H15" s="1312"/>
      <c r="I15" s="1313">
        <f>SUM(I12:I14)</f>
        <v>0</v>
      </c>
    </row>
    <row r="16" spans="1:9" ht="24">
      <c r="A16" s="3270" t="s">
        <v>1098</v>
      </c>
      <c r="B16" s="3271" t="s">
        <v>1099</v>
      </c>
      <c r="C16" s="3271"/>
      <c r="D16" s="1303" t="s">
        <v>1075</v>
      </c>
      <c r="E16" s="1314" t="s">
        <v>1100</v>
      </c>
      <c r="F16" s="1304" t="s">
        <v>1101</v>
      </c>
      <c r="G16" s="1305" t="s">
        <v>1079</v>
      </c>
      <c r="H16" s="1311" t="s">
        <v>1094</v>
      </c>
      <c r="I16" s="1302" t="s">
        <v>1080</v>
      </c>
    </row>
    <row r="17" spans="1:9" ht="15.6">
      <c r="A17" s="3270"/>
      <c r="B17" s="3271" t="s">
        <v>1102</v>
      </c>
      <c r="C17" s="3271"/>
      <c r="D17" s="1303"/>
      <c r="E17" s="1303"/>
      <c r="F17" s="1304"/>
      <c r="G17" s="1305"/>
      <c r="H17" s="1315"/>
      <c r="I17" s="1316">
        <f>ROUND(D17*E17*F17*G17/10000,0)</f>
        <v>0</v>
      </c>
    </row>
    <row r="18" spans="1:9" ht="15.6">
      <c r="A18" s="3270"/>
      <c r="B18" s="3271" t="s">
        <v>1103</v>
      </c>
      <c r="C18" s="3271"/>
      <c r="D18" s="1303"/>
      <c r="E18" s="1303"/>
      <c r="F18" s="1304"/>
      <c r="G18" s="1305"/>
      <c r="H18" s="1315"/>
      <c r="I18" s="1316">
        <f>ROUND(D18*E18*F18*G18/10000,0)</f>
        <v>0</v>
      </c>
    </row>
    <row r="19" spans="1:9" ht="15.6">
      <c r="A19" s="3270"/>
      <c r="B19" s="3271" t="s">
        <v>1104</v>
      </c>
      <c r="C19" s="3271"/>
      <c r="D19" s="1303"/>
      <c r="E19" s="1303"/>
      <c r="F19" s="1304"/>
      <c r="G19" s="1305"/>
      <c r="H19" s="1315"/>
      <c r="I19" s="1316">
        <f>ROUND(D19*E19*F19*G19/10000,0)</f>
        <v>0</v>
      </c>
    </row>
    <row r="20" spans="1:9">
      <c r="A20" s="3270"/>
      <c r="B20" s="3272" t="s">
        <v>1088</v>
      </c>
      <c r="C20" s="3272"/>
      <c r="D20" s="1307">
        <f>SUM(D17:D19)</f>
        <v>0</v>
      </c>
      <c r="E20" s="1307"/>
      <c r="F20" s="1308"/>
      <c r="G20" s="1305"/>
      <c r="H20" s="1312"/>
      <c r="I20" s="1313">
        <f>SUM(I17:I19)</f>
        <v>0</v>
      </c>
    </row>
    <row r="21" spans="1:9">
      <c r="A21" s="3270" t="s">
        <v>1105</v>
      </c>
      <c r="B21" s="3273"/>
      <c r="C21" s="3273"/>
      <c r="D21" s="3273"/>
      <c r="E21" s="3273"/>
      <c r="F21" s="3273"/>
      <c r="G21" s="3273"/>
      <c r="H21" s="1757">
        <v>0.1</v>
      </c>
      <c r="I21" s="1310">
        <f>ROUND(I10*H21,0)</f>
        <v>0</v>
      </c>
    </row>
    <row r="22" spans="1:9" ht="15.6">
      <c r="A22" s="3274" t="s">
        <v>1106</v>
      </c>
      <c r="B22" s="3275"/>
      <c r="C22" s="3276"/>
      <c r="D22" s="1317" t="s">
        <v>1107</v>
      </c>
      <c r="E22" s="1317" t="s">
        <v>1108</v>
      </c>
      <c r="F22" s="1318" t="s">
        <v>1109</v>
      </c>
      <c r="G22" s="1318" t="s">
        <v>1110</v>
      </c>
      <c r="H22" s="1311" t="s">
        <v>1111</v>
      </c>
      <c r="I22" s="1302" t="s">
        <v>1112</v>
      </c>
    </row>
    <row r="23" spans="1:9" ht="15" thickBot="1">
      <c r="A23" s="3277"/>
      <c r="B23" s="3278"/>
      <c r="C23" s="3279"/>
      <c r="D23" s="1319"/>
      <c r="E23" s="1319"/>
      <c r="F23" s="1319"/>
      <c r="G23" s="1320"/>
      <c r="H23" s="1321"/>
      <c r="I23" s="1322">
        <f>ROUND(E23*D23*F23*(1-G23)/10000,0)</f>
        <v>0</v>
      </c>
    </row>
    <row r="26" spans="1:9">
      <c r="A26" s="1323" t="s">
        <v>1113</v>
      </c>
      <c r="B26" s="1323"/>
      <c r="C26" s="1323"/>
      <c r="D26" s="1323"/>
      <c r="E26" s="3267">
        <f>C27-C30-C31-C32</f>
        <v>0</v>
      </c>
      <c r="F26" s="3267"/>
      <c r="G26" s="3267"/>
      <c r="H26" s="1737" t="s">
        <v>1335</v>
      </c>
    </row>
    <row r="27" spans="1:9">
      <c r="A27" s="1324">
        <v>1</v>
      </c>
      <c r="B27" s="1325" t="s">
        <v>1114</v>
      </c>
      <c r="C27" s="1325">
        <f>C28+C29</f>
        <v>0</v>
      </c>
      <c r="D27" s="1325"/>
      <c r="E27" s="3268"/>
      <c r="F27" s="3268"/>
      <c r="G27" s="3268"/>
    </row>
    <row r="28" spans="1:9">
      <c r="A28" s="1326" t="s">
        <v>1115</v>
      </c>
      <c r="B28" s="1325" t="s">
        <v>1116</v>
      </c>
      <c r="C28" s="1325"/>
      <c r="D28" s="1325"/>
      <c r="E28" s="3268"/>
      <c r="F28" s="3268"/>
      <c r="G28" s="326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9"/>
      <c r="F32" s="3269"/>
      <c r="G32" s="3269"/>
    </row>
    <row r="33" spans="1:7" hidden="1">
      <c r="A33" s="3264" t="s">
        <v>1125</v>
      </c>
      <c r="B33" s="3265"/>
      <c r="C33" s="3265"/>
      <c r="D33" s="3266"/>
      <c r="E33" s="3267"/>
      <c r="F33" s="3267"/>
      <c r="G33" s="3267"/>
    </row>
    <row r="34" spans="1:7" hidden="1">
      <c r="A34" s="1328">
        <v>1</v>
      </c>
      <c r="B34" s="1325" t="s">
        <v>1126</v>
      </c>
      <c r="C34" s="1325"/>
      <c r="D34" s="1325"/>
      <c r="E34" s="3268"/>
      <c r="F34" s="3268"/>
      <c r="G34" s="3268"/>
    </row>
    <row r="35" spans="1:7" hidden="1">
      <c r="A35" s="1328">
        <v>2</v>
      </c>
      <c r="B35" s="1325" t="s">
        <v>1127</v>
      </c>
      <c r="C35" s="1325"/>
      <c r="D35" s="1325"/>
      <c r="E35" s="3268"/>
      <c r="F35" s="3268"/>
      <c r="G35" s="3268"/>
    </row>
    <row r="36" spans="1:7" hidden="1">
      <c r="A36" s="1328">
        <v>3</v>
      </c>
      <c r="B36" s="1325" t="s">
        <v>1128</v>
      </c>
      <c r="C36" s="1325"/>
      <c r="D36" s="1325"/>
      <c r="E36" s="3268"/>
      <c r="F36" s="3268"/>
      <c r="G36" s="3268"/>
    </row>
    <row r="37" spans="1:7" hidden="1">
      <c r="A37" s="1328">
        <v>4</v>
      </c>
      <c r="B37" s="1325" t="s">
        <v>1129</v>
      </c>
      <c r="C37" s="1325"/>
      <c r="D37" s="1325"/>
      <c r="E37" s="3268"/>
      <c r="F37" s="3268"/>
      <c r="G37" s="3268"/>
    </row>
    <row r="38" spans="1:7" hidden="1">
      <c r="A38" s="3264" t="s">
        <v>1130</v>
      </c>
      <c r="B38" s="3265"/>
      <c r="C38" s="3265"/>
      <c r="D38" s="3266"/>
      <c r="E38" s="3267"/>
      <c r="F38" s="3267"/>
      <c r="G38" s="32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575" t="s">
        <v>2527</v>
      </c>
      <c r="C1" s="1634" t="s">
        <v>2528</v>
      </c>
      <c r="D1" s="1621"/>
      <c r="E1" s="2576"/>
      <c r="F1" s="2577" t="s">
        <v>2529</v>
      </c>
      <c r="G1" s="1631" t="s">
        <v>2530</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2531</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2532</v>
      </c>
      <c r="D3" s="399">
        <f>IF(D1="",'数据-汇总表'!E3,SUMIF('数据-汇总表'!$C19:$C33,D1,'数据-汇总表'!$E19:$E33))</f>
        <v>73514.720000000016</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4.4">
      <c r="A4" s="401" t="s">
        <v>2533</v>
      </c>
      <c r="B4" s="402"/>
      <c r="C4" s="3208" t="s">
        <v>2534</v>
      </c>
      <c r="D4" s="3221"/>
      <c r="E4" s="3222" t="s">
        <v>2535</v>
      </c>
      <c r="F4" s="3223"/>
      <c r="G4" s="3208" t="s">
        <v>2536</v>
      </c>
      <c r="H4" s="3221"/>
      <c r="I4" s="3208" t="s">
        <v>2537</v>
      </c>
      <c r="J4" s="3221"/>
      <c r="K4" s="2589" t="s">
        <v>2538</v>
      </c>
      <c r="L4" s="1130"/>
      <c r="M4" s="1131"/>
      <c r="N4" s="1131"/>
      <c r="O4" s="1131"/>
      <c r="P4" s="3224" t="s">
        <v>2539</v>
      </c>
      <c r="Q4" s="3225"/>
      <c r="R4" s="3230" t="s">
        <v>2535</v>
      </c>
      <c r="S4" s="3231"/>
      <c r="T4" s="3230" t="s">
        <v>2536</v>
      </c>
      <c r="U4" s="3231"/>
      <c r="V4" s="3217" t="s">
        <v>2537</v>
      </c>
      <c r="W4" s="3217"/>
      <c r="X4" s="1804"/>
      <c r="Y4" s="3230" t="s">
        <v>2539</v>
      </c>
      <c r="Z4" s="3231"/>
      <c r="AA4" s="3218" t="s">
        <v>2535</v>
      </c>
      <c r="AB4" s="3218" t="s">
        <v>2536</v>
      </c>
      <c r="AC4" s="3218" t="s">
        <v>2537</v>
      </c>
    </row>
    <row r="5" spans="1:29">
      <c r="A5" s="404"/>
      <c r="B5" s="405"/>
      <c r="C5" s="3238" t="s">
        <v>2540</v>
      </c>
      <c r="D5" s="3239"/>
      <c r="E5" s="3245" t="s">
        <v>2541</v>
      </c>
      <c r="F5" s="3246"/>
      <c r="G5" s="3238" t="s">
        <v>2542</v>
      </c>
      <c r="H5" s="3239"/>
      <c r="I5" s="3238" t="s">
        <v>2543</v>
      </c>
      <c r="J5" s="3239"/>
      <c r="K5" s="2590"/>
      <c r="L5" s="1130"/>
      <c r="M5" s="1131"/>
      <c r="N5" s="1131"/>
      <c r="O5" s="1131"/>
      <c r="P5" s="3226"/>
      <c r="Q5" s="3227"/>
      <c r="R5" s="3232"/>
      <c r="S5" s="3233"/>
      <c r="T5" s="3232"/>
      <c r="U5" s="3233"/>
      <c r="V5" s="3217"/>
      <c r="W5" s="3217"/>
      <c r="X5" s="1804"/>
      <c r="Y5" s="3232"/>
      <c r="Z5" s="3233"/>
      <c r="AA5" s="3219"/>
      <c r="AB5" s="3219"/>
      <c r="AC5" s="3219"/>
    </row>
    <row r="6" spans="1:29" ht="15" thickBot="1">
      <c r="A6" s="406"/>
      <c r="B6" s="407"/>
      <c r="C6" s="3236" t="s">
        <v>2544</v>
      </c>
      <c r="D6" s="3237"/>
      <c r="E6" s="3243" t="s">
        <v>2544</v>
      </c>
      <c r="F6" s="3244"/>
      <c r="G6" s="3236" t="s">
        <v>2544</v>
      </c>
      <c r="H6" s="3237"/>
      <c r="I6" s="3236" t="s">
        <v>2544</v>
      </c>
      <c r="J6" s="3237"/>
      <c r="K6" s="2590" t="s">
        <v>2545</v>
      </c>
      <c r="L6" s="1130"/>
      <c r="M6" s="1131"/>
      <c r="N6" s="1131"/>
      <c r="O6" s="1131"/>
      <c r="P6" s="3228"/>
      <c r="Q6" s="3229"/>
      <c r="R6" s="3232"/>
      <c r="S6" s="3233"/>
      <c r="T6" s="3234"/>
      <c r="U6" s="3235"/>
      <c r="V6" s="3217"/>
      <c r="W6" s="3217"/>
      <c r="X6" s="1804"/>
      <c r="Y6" s="3234"/>
      <c r="Z6" s="3235"/>
      <c r="AA6" s="3220"/>
      <c r="AB6" s="3220"/>
      <c r="AC6" s="3220"/>
    </row>
    <row r="7" spans="1:29" s="117" customFormat="1" ht="15" thickBot="1">
      <c r="A7" s="408" t="s">
        <v>2546</v>
      </c>
      <c r="B7" s="409"/>
      <c r="C7" s="410">
        <f>'数据-取费表'!B2</f>
        <v>43980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40" t="s">
        <v>2547</v>
      </c>
      <c r="Q7" s="3242"/>
      <c r="R7" s="770" t="s">
        <v>23</v>
      </c>
      <c r="S7" s="771">
        <f t="shared" ref="S7:S15" si="0">F7</f>
        <v>0</v>
      </c>
      <c r="T7" s="770" t="s">
        <v>23</v>
      </c>
      <c r="U7" s="771">
        <f t="shared" ref="U7:U15" si="1">H7</f>
        <v>0</v>
      </c>
      <c r="V7" s="770" t="s">
        <v>23</v>
      </c>
      <c r="W7" s="771">
        <f t="shared" ref="W7:W15" si="2">J7</f>
        <v>0</v>
      </c>
      <c r="X7" s="772"/>
      <c r="Y7" s="3240" t="s">
        <v>2547</v>
      </c>
      <c r="Z7" s="3241"/>
      <c r="AA7" s="773" t="e">
        <f>D7/F7</f>
        <v>#DIV/0!</v>
      </c>
      <c r="AB7" s="773" t="e">
        <f>D7/H7</f>
        <v>#DIV/0!</v>
      </c>
      <c r="AC7" s="773" t="e">
        <f>D7/J7</f>
        <v>#DIV/0!</v>
      </c>
    </row>
    <row r="8" spans="1:29" s="117" customFormat="1" ht="15" thickBot="1">
      <c r="A8" s="408" t="s">
        <v>2548</v>
      </c>
      <c r="B8" s="409"/>
      <c r="C8" s="414" t="s">
        <v>2549</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40" t="s">
        <v>2550</v>
      </c>
      <c r="Q8" s="3241"/>
      <c r="R8" s="770" t="s">
        <v>23</v>
      </c>
      <c r="S8" s="771">
        <f t="shared" si="0"/>
        <v>0</v>
      </c>
      <c r="T8" s="770" t="s">
        <v>23</v>
      </c>
      <c r="U8" s="771">
        <f t="shared" si="1"/>
        <v>0</v>
      </c>
      <c r="V8" s="770" t="s">
        <v>23</v>
      </c>
      <c r="W8" s="771">
        <f t="shared" si="2"/>
        <v>0</v>
      </c>
      <c r="X8" s="772"/>
      <c r="Y8" s="3240" t="s">
        <v>2550</v>
      </c>
      <c r="Z8" s="3241"/>
      <c r="AA8" s="773" t="e">
        <f t="shared" ref="AA8:AA19" si="3">D8/F8</f>
        <v>#DIV/0!</v>
      </c>
      <c r="AB8" s="773" t="e">
        <f t="shared" ref="AB8:AB19" si="4">D8/H8</f>
        <v>#DIV/0!</v>
      </c>
      <c r="AC8" s="773" t="e">
        <f t="shared" ref="AC8:AC19" si="5">D8/J8</f>
        <v>#DIV/0!</v>
      </c>
    </row>
    <row r="9" spans="1:29" s="117" customFormat="1" ht="14.4">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10"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0"/>
      <c r="Q11" s="1786" t="str">
        <f t="shared" si="6"/>
        <v>容积率</v>
      </c>
      <c r="R11" s="770" t="s">
        <v>21</v>
      </c>
      <c r="S11" s="771" t="e">
        <f t="shared" si="0"/>
        <v>#N/A</v>
      </c>
      <c r="T11" s="770" t="s">
        <v>21</v>
      </c>
      <c r="U11" s="771" t="e">
        <f t="shared" si="1"/>
        <v>#N/A</v>
      </c>
      <c r="V11" s="770" t="s">
        <v>21</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10"/>
      <c r="Q12" s="1786">
        <f t="shared" si="6"/>
        <v>111</v>
      </c>
      <c r="R12" s="770" t="s">
        <v>21</v>
      </c>
      <c r="S12" s="771">
        <f t="shared" si="0"/>
        <v>100</v>
      </c>
      <c r="T12" s="770" t="s">
        <v>21</v>
      </c>
      <c r="U12" s="771">
        <f t="shared" si="1"/>
        <v>100</v>
      </c>
      <c r="V12" s="770" t="s">
        <v>21</v>
      </c>
      <c r="W12" s="771">
        <f t="shared" si="2"/>
        <v>100</v>
      </c>
      <c r="X12" s="772"/>
      <c r="Y12" s="3057"/>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10"/>
      <c r="Q13" s="1786">
        <f t="shared" si="6"/>
        <v>111</v>
      </c>
      <c r="R13" s="770" t="s">
        <v>21</v>
      </c>
      <c r="S13" s="771">
        <f t="shared" si="0"/>
        <v>100</v>
      </c>
      <c r="T13" s="770" t="s">
        <v>21</v>
      </c>
      <c r="U13" s="771">
        <f t="shared" si="1"/>
        <v>100</v>
      </c>
      <c r="V13" s="770" t="s">
        <v>21</v>
      </c>
      <c r="W13" s="771">
        <f t="shared" si="2"/>
        <v>100</v>
      </c>
      <c r="X13" s="772"/>
      <c r="Y13" s="3057"/>
      <c r="Z13" s="55">
        <f t="shared" si="7"/>
        <v>111</v>
      </c>
      <c r="AA13" s="773">
        <f t="shared" si="3"/>
        <v>1</v>
      </c>
      <c r="AB13" s="773">
        <f t="shared" si="4"/>
        <v>1</v>
      </c>
      <c r="AC13" s="773">
        <f t="shared" si="5"/>
        <v>1</v>
      </c>
    </row>
    <row r="14" spans="1:29" ht="15.6"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10"/>
      <c r="Q14" s="1786">
        <f t="shared" si="6"/>
        <v>111</v>
      </c>
      <c r="R14" s="770" t="s">
        <v>21</v>
      </c>
      <c r="S14" s="771">
        <f t="shared" si="0"/>
        <v>100</v>
      </c>
      <c r="T14" s="770" t="s">
        <v>21</v>
      </c>
      <c r="U14" s="771">
        <f t="shared" si="1"/>
        <v>100</v>
      </c>
      <c r="V14" s="770" t="s">
        <v>21</v>
      </c>
      <c r="W14" s="771">
        <f t="shared" si="2"/>
        <v>100</v>
      </c>
      <c r="X14" s="772"/>
      <c r="Y14" s="3057"/>
      <c r="Z14" s="55">
        <f t="shared" si="7"/>
        <v>111</v>
      </c>
      <c r="AA14" s="773">
        <f t="shared" si="3"/>
        <v>1</v>
      </c>
      <c r="AB14" s="773">
        <f t="shared" si="4"/>
        <v>1</v>
      </c>
      <c r="AC14" s="773">
        <f t="shared" si="5"/>
        <v>1</v>
      </c>
    </row>
    <row r="15" spans="1:29" ht="96.6">
      <c r="A15" s="440" t="s">
        <v>2557</v>
      </c>
      <c r="B15" s="69" t="s">
        <v>2082</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9" t="s">
        <v>2558</v>
      </c>
      <c r="Q15" s="1801" t="str">
        <f t="shared" si="6"/>
        <v>居住社区成熟度</v>
      </c>
      <c r="R15" s="774" t="s">
        <v>21</v>
      </c>
      <c r="S15" s="775">
        <f t="shared" si="0"/>
        <v>100</v>
      </c>
      <c r="T15" s="774" t="s">
        <v>21</v>
      </c>
      <c r="U15" s="775">
        <f t="shared" si="1"/>
        <v>100</v>
      </c>
      <c r="V15" s="774" t="s">
        <v>21</v>
      </c>
      <c r="W15" s="775">
        <f t="shared" si="2"/>
        <v>100</v>
      </c>
      <c r="X15" s="1804"/>
      <c r="Y15" s="3213" t="s">
        <v>2558</v>
      </c>
      <c r="Z15" s="1805" t="str">
        <f t="shared" si="7"/>
        <v>居住社区成熟度</v>
      </c>
      <c r="AA15" s="1802">
        <f t="shared" si="3"/>
        <v>1</v>
      </c>
      <c r="AB15" s="1802">
        <f t="shared" si="4"/>
        <v>1</v>
      </c>
      <c r="AC15" s="1802">
        <f t="shared" si="5"/>
        <v>1</v>
      </c>
    </row>
    <row r="16" spans="1:29" ht="15">
      <c r="A16" s="428"/>
      <c r="B16" s="446"/>
      <c r="C16" s="447"/>
      <c r="D16" s="448"/>
      <c r="E16" s="2597"/>
      <c r="F16" s="448"/>
      <c r="G16" s="2598"/>
      <c r="H16" s="450"/>
      <c r="I16" s="2598"/>
      <c r="J16" s="448"/>
      <c r="K16" s="2599"/>
      <c r="L16" s="1140"/>
      <c r="M16" s="1131"/>
      <c r="N16" s="1131"/>
      <c r="O16" s="1131"/>
      <c r="P16" s="3250"/>
      <c r="Q16" s="1801"/>
      <c r="R16" s="774"/>
      <c r="S16" s="775"/>
      <c r="T16" s="774"/>
      <c r="U16" s="775"/>
      <c r="V16" s="774"/>
      <c r="W16" s="775"/>
      <c r="X16" s="1804"/>
      <c r="Y16" s="3214"/>
      <c r="Z16" s="1805"/>
      <c r="AA16" s="1802">
        <v>1</v>
      </c>
      <c r="AB16" s="1802">
        <v>1</v>
      </c>
      <c r="AC16" s="1802">
        <v>1</v>
      </c>
    </row>
    <row r="17" spans="1:29" ht="82.8">
      <c r="A17" s="428"/>
      <c r="B17" s="451" t="s">
        <v>2094</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0"/>
      <c r="Q17" s="1801" t="str">
        <f>B17</f>
        <v>交通便捷度</v>
      </c>
      <c r="R17" s="774" t="s">
        <v>21</v>
      </c>
      <c r="S17" s="775">
        <f>F17</f>
        <v>100</v>
      </c>
      <c r="T17" s="774" t="s">
        <v>21</v>
      </c>
      <c r="U17" s="775">
        <f>H17</f>
        <v>100</v>
      </c>
      <c r="V17" s="774" t="s">
        <v>21</v>
      </c>
      <c r="W17" s="775">
        <f>J17</f>
        <v>100</v>
      </c>
      <c r="X17" s="1804"/>
      <c r="Y17" s="3214"/>
      <c r="Z17" s="1805" t="str">
        <f>Q17</f>
        <v>交通便捷度</v>
      </c>
      <c r="AA17" s="1802">
        <f t="shared" si="3"/>
        <v>1</v>
      </c>
      <c r="AB17" s="1802">
        <f t="shared" si="4"/>
        <v>1</v>
      </c>
      <c r="AC17" s="1802">
        <f t="shared" si="5"/>
        <v>1</v>
      </c>
    </row>
    <row r="18" spans="1:29" ht="15">
      <c r="A18" s="428"/>
      <c r="B18" s="456"/>
      <c r="C18" s="2601"/>
      <c r="D18" s="450"/>
      <c r="E18" s="2602"/>
      <c r="F18" s="450"/>
      <c r="G18" s="2603"/>
      <c r="H18" s="448"/>
      <c r="I18" s="2603"/>
      <c r="J18" s="448"/>
      <c r="K18" s="2599"/>
      <c r="L18" s="1140"/>
      <c r="M18" s="1131"/>
      <c r="N18" s="1131"/>
      <c r="O18" s="1131"/>
      <c r="P18" s="3250"/>
      <c r="Q18" s="1801"/>
      <c r="R18" s="774"/>
      <c r="S18" s="775"/>
      <c r="T18" s="774"/>
      <c r="U18" s="775"/>
      <c r="V18" s="774"/>
      <c r="W18" s="775"/>
      <c r="X18" s="1804"/>
      <c r="Y18" s="3214"/>
      <c r="Z18" s="1805"/>
      <c r="AA18" s="1802">
        <v>1</v>
      </c>
      <c r="AB18" s="1802">
        <v>1</v>
      </c>
      <c r="AC18" s="1802">
        <v>1</v>
      </c>
    </row>
    <row r="19" spans="1:29" ht="41.4">
      <c r="A19" s="428"/>
      <c r="B19" s="451" t="s">
        <v>2092</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0"/>
      <c r="Q19" s="1801" t="str">
        <f>B19</f>
        <v>公共配套设施</v>
      </c>
      <c r="R19" s="774" t="s">
        <v>21</v>
      </c>
      <c r="S19" s="775">
        <f>F19</f>
        <v>100</v>
      </c>
      <c r="T19" s="774" t="s">
        <v>21</v>
      </c>
      <c r="U19" s="775">
        <f>H19</f>
        <v>100</v>
      </c>
      <c r="V19" s="774" t="s">
        <v>21</v>
      </c>
      <c r="W19" s="775">
        <f>J19</f>
        <v>100</v>
      </c>
      <c r="X19" s="1804"/>
      <c r="Y19" s="3214"/>
      <c r="Z19" s="1805" t="str">
        <f>Q19</f>
        <v>公共配套设施</v>
      </c>
      <c r="AA19" s="1802">
        <f t="shared" si="3"/>
        <v>1</v>
      </c>
      <c r="AB19" s="1802">
        <f t="shared" si="4"/>
        <v>1</v>
      </c>
      <c r="AC19" s="1802">
        <f t="shared" si="5"/>
        <v>1</v>
      </c>
    </row>
    <row r="20" spans="1:29" ht="15">
      <c r="A20" s="428"/>
      <c r="B20" s="456"/>
      <c r="C20" s="447"/>
      <c r="D20" s="448"/>
      <c r="E20" s="2597"/>
      <c r="F20" s="448"/>
      <c r="G20" s="2598"/>
      <c r="H20" s="448"/>
      <c r="I20" s="2598"/>
      <c r="J20" s="448"/>
      <c r="K20" s="2599"/>
      <c r="L20" s="1140"/>
      <c r="M20" s="1131"/>
      <c r="N20" s="1131"/>
      <c r="O20" s="1131"/>
      <c r="P20" s="3250"/>
      <c r="Q20" s="1801"/>
      <c r="R20" s="774"/>
      <c r="S20" s="775"/>
      <c r="T20" s="774"/>
      <c r="U20" s="775"/>
      <c r="V20" s="774"/>
      <c r="W20" s="775"/>
      <c r="X20" s="1804"/>
      <c r="Y20" s="3214"/>
      <c r="Z20" s="1805"/>
      <c r="AA20" s="1802">
        <v>1</v>
      </c>
      <c r="AB20" s="1802">
        <v>1</v>
      </c>
      <c r="AC20" s="1802">
        <v>1</v>
      </c>
    </row>
    <row r="21" spans="1:29" ht="27.6">
      <c r="A21" s="428"/>
      <c r="B21" s="1384" t="s">
        <v>2095</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0"/>
      <c r="Q21" s="1801" t="str">
        <f>B21</f>
        <v>基础设施水平</v>
      </c>
      <c r="R21" s="774" t="s">
        <v>17</v>
      </c>
      <c r="S21" s="775">
        <f>F21</f>
        <v>100</v>
      </c>
      <c r="T21" s="774" t="s">
        <v>17</v>
      </c>
      <c r="U21" s="775">
        <f>H21</f>
        <v>100</v>
      </c>
      <c r="V21" s="774" t="s">
        <v>17</v>
      </c>
      <c r="W21" s="775">
        <f>J21</f>
        <v>100</v>
      </c>
      <c r="X21" s="1804"/>
      <c r="Y21" s="3214"/>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8"/>
      <c r="G22" s="2604"/>
      <c r="H22" s="448"/>
      <c r="I22" s="447"/>
      <c r="J22" s="448"/>
      <c r="K22" s="2605"/>
      <c r="L22" s="1140"/>
      <c r="M22" s="1131"/>
      <c r="N22" s="1131"/>
      <c r="O22" s="1131"/>
      <c r="P22" s="3250"/>
      <c r="Q22" s="1801"/>
      <c r="R22" s="774"/>
      <c r="S22" s="775"/>
      <c r="T22" s="774"/>
      <c r="U22" s="775"/>
      <c r="V22" s="774"/>
      <c r="W22" s="775"/>
      <c r="X22" s="1804"/>
      <c r="Y22" s="3214"/>
      <c r="Z22" s="1805"/>
      <c r="AA22" s="1802">
        <v>1</v>
      </c>
      <c r="AB22" s="1802">
        <v>1</v>
      </c>
      <c r="AC22" s="1802">
        <v>1</v>
      </c>
    </row>
    <row r="23" spans="1:29" ht="55.2">
      <c r="A23" s="428"/>
      <c r="B23" s="451" t="s">
        <v>2099</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0"/>
      <c r="Q23" s="1801" t="str">
        <f>B23</f>
        <v>自然及人文环境</v>
      </c>
      <c r="R23" s="774" t="s">
        <v>21</v>
      </c>
      <c r="S23" s="775">
        <f>F23</f>
        <v>100</v>
      </c>
      <c r="T23" s="774" t="s">
        <v>21</v>
      </c>
      <c r="U23" s="775">
        <f>H23</f>
        <v>100</v>
      </c>
      <c r="V23" s="774" t="s">
        <v>21</v>
      </c>
      <c r="W23" s="775">
        <f>J23</f>
        <v>100</v>
      </c>
      <c r="X23" s="1804"/>
      <c r="Y23" s="3214"/>
      <c r="Z23" s="1805" t="str">
        <f>Q23</f>
        <v>自然及人文环境</v>
      </c>
      <c r="AA23" s="1802">
        <f>D23/F23</f>
        <v>1</v>
      </c>
      <c r="AB23" s="1802">
        <f>D23/H23</f>
        <v>1</v>
      </c>
      <c r="AC23" s="1802">
        <f>D23/J23</f>
        <v>1</v>
      </c>
    </row>
    <row r="24" spans="1:29" ht="15">
      <c r="A24" s="428"/>
      <c r="B24" s="456"/>
      <c r="C24" s="447"/>
      <c r="D24" s="448"/>
      <c r="E24" s="2597"/>
      <c r="F24" s="448"/>
      <c r="G24" s="2598"/>
      <c r="H24" s="448"/>
      <c r="I24" s="2598"/>
      <c r="J24" s="448"/>
      <c r="K24" s="2599"/>
      <c r="L24" s="1140"/>
      <c r="M24" s="1131"/>
      <c r="N24" s="1131"/>
      <c r="O24" s="1131"/>
      <c r="P24" s="3250"/>
      <c r="Q24" s="1801"/>
      <c r="R24" s="774"/>
      <c r="S24" s="775"/>
      <c r="T24" s="774"/>
      <c r="U24" s="775"/>
      <c r="V24" s="774"/>
      <c r="W24" s="775"/>
      <c r="X24" s="1804"/>
      <c r="Y24" s="3214"/>
      <c r="Z24" s="1805"/>
      <c r="AA24" s="1802">
        <v>1</v>
      </c>
      <c r="AB24" s="1802">
        <v>1</v>
      </c>
      <c r="AC24" s="1802">
        <v>1</v>
      </c>
    </row>
    <row r="25" spans="1:29" ht="15">
      <c r="A25" s="428"/>
      <c r="B25" s="422" t="s">
        <v>2559</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50"/>
      <c r="Q25" s="1801" t="str">
        <f t="shared" ref="Q25:Q46" si="11">B25</f>
        <v>楼层-1</v>
      </c>
      <c r="R25" s="774" t="s">
        <v>21</v>
      </c>
      <c r="S25" s="775">
        <f t="shared" ref="S25:S46" si="12">F25</f>
        <v>100</v>
      </c>
      <c r="T25" s="774" t="s">
        <v>21</v>
      </c>
      <c r="U25" s="775">
        <f t="shared" ref="U25:U46" si="13">H25</f>
        <v>100</v>
      </c>
      <c r="V25" s="774" t="s">
        <v>21</v>
      </c>
      <c r="W25" s="775">
        <f t="shared" ref="W25:W46" si="14">J25</f>
        <v>100</v>
      </c>
      <c r="X25" s="1804"/>
      <c r="Y25" s="3214"/>
      <c r="Z25" s="1805" t="str">
        <f>Q25</f>
        <v>楼层-1</v>
      </c>
      <c r="AA25" s="1802">
        <f t="shared" ref="AA25:AA46" si="15">D25/F25</f>
        <v>1</v>
      </c>
      <c r="AB25" s="1802">
        <f t="shared" ref="AB25:AB46" si="16">D25/H25</f>
        <v>1</v>
      </c>
      <c r="AC25" s="1802">
        <f t="shared" ref="AC25:AC46" si="17">D25/J25</f>
        <v>1</v>
      </c>
    </row>
    <row r="26" spans="1:29" ht="15">
      <c r="A26" s="428"/>
      <c r="B26" s="422" t="s">
        <v>2560</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50"/>
      <c r="Q26" s="1801" t="str">
        <f t="shared" si="11"/>
        <v>朝向</v>
      </c>
      <c r="R26" s="774" t="s">
        <v>21</v>
      </c>
      <c r="S26" s="775">
        <f t="shared" si="12"/>
        <v>100</v>
      </c>
      <c r="T26" s="774" t="s">
        <v>21</v>
      </c>
      <c r="U26" s="775">
        <f t="shared" si="13"/>
        <v>100</v>
      </c>
      <c r="V26" s="774" t="s">
        <v>21</v>
      </c>
      <c r="W26" s="775">
        <f t="shared" si="14"/>
        <v>100</v>
      </c>
      <c r="X26" s="1804"/>
      <c r="Y26" s="3214"/>
      <c r="Z26" s="1805" t="str">
        <f>Q26</f>
        <v>朝向</v>
      </c>
      <c r="AA26" s="1802">
        <f t="shared" si="15"/>
        <v>1</v>
      </c>
      <c r="AB26" s="1802">
        <f t="shared" si="16"/>
        <v>1</v>
      </c>
      <c r="AC26" s="1802">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50"/>
      <c r="Q27" s="1786">
        <f t="shared" si="11"/>
        <v>111</v>
      </c>
      <c r="R27" s="770" t="s">
        <v>21</v>
      </c>
      <c r="S27" s="771">
        <f t="shared" si="12"/>
        <v>100</v>
      </c>
      <c r="T27" s="770" t="s">
        <v>21</v>
      </c>
      <c r="U27" s="771">
        <f t="shared" si="13"/>
        <v>100</v>
      </c>
      <c r="V27" s="770" t="s">
        <v>21</v>
      </c>
      <c r="W27" s="771">
        <f t="shared" si="14"/>
        <v>100</v>
      </c>
      <c r="X27" s="772"/>
      <c r="Y27" s="3214"/>
      <c r="Z27" s="55">
        <f>Q27</f>
        <v>111</v>
      </c>
      <c r="AA27" s="1802">
        <f t="shared" si="15"/>
        <v>1</v>
      </c>
      <c r="AB27" s="1802">
        <f t="shared" si="16"/>
        <v>1</v>
      </c>
      <c r="AC27" s="1802">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50"/>
      <c r="Q28" s="1801">
        <f t="shared" si="11"/>
        <v>111</v>
      </c>
      <c r="R28" s="774" t="s">
        <v>21</v>
      </c>
      <c r="S28" s="775">
        <f t="shared" si="12"/>
        <v>100</v>
      </c>
      <c r="T28" s="774" t="s">
        <v>21</v>
      </c>
      <c r="U28" s="775">
        <f t="shared" si="13"/>
        <v>100</v>
      </c>
      <c r="V28" s="774" t="s">
        <v>21</v>
      </c>
      <c r="W28" s="775">
        <f t="shared" si="14"/>
        <v>100</v>
      </c>
      <c r="X28" s="1804"/>
      <c r="Y28" s="3214"/>
      <c r="Z28" s="1805">
        <f t="shared" ref="Z28:Z46" si="18">Q28</f>
        <v>111</v>
      </c>
      <c r="AA28" s="1802">
        <f t="shared" si="15"/>
        <v>1</v>
      </c>
      <c r="AB28" s="1802">
        <f t="shared" si="16"/>
        <v>1</v>
      </c>
      <c r="AC28" s="1802">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50"/>
      <c r="Q29" s="1801">
        <f t="shared" si="11"/>
        <v>111</v>
      </c>
      <c r="R29" s="774" t="s">
        <v>21</v>
      </c>
      <c r="S29" s="775">
        <f t="shared" si="12"/>
        <v>100</v>
      </c>
      <c r="T29" s="774" t="s">
        <v>21</v>
      </c>
      <c r="U29" s="775">
        <f t="shared" si="13"/>
        <v>100</v>
      </c>
      <c r="V29" s="774" t="s">
        <v>21</v>
      </c>
      <c r="W29" s="775">
        <f t="shared" si="14"/>
        <v>100</v>
      </c>
      <c r="X29" s="1804"/>
      <c r="Y29" s="3214"/>
      <c r="Z29" s="1805">
        <f t="shared" si="18"/>
        <v>111</v>
      </c>
      <c r="AA29" s="1802">
        <f t="shared" si="15"/>
        <v>1</v>
      </c>
      <c r="AB29" s="1802">
        <f t="shared" si="16"/>
        <v>1</v>
      </c>
      <c r="AC29" s="1802">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50"/>
      <c r="Q30" s="1801">
        <f t="shared" si="11"/>
        <v>111</v>
      </c>
      <c r="R30" s="774" t="s">
        <v>21</v>
      </c>
      <c r="S30" s="775">
        <f t="shared" si="12"/>
        <v>100</v>
      </c>
      <c r="T30" s="774" t="s">
        <v>21</v>
      </c>
      <c r="U30" s="775">
        <f t="shared" si="13"/>
        <v>100</v>
      </c>
      <c r="V30" s="774" t="s">
        <v>21</v>
      </c>
      <c r="W30" s="775">
        <f t="shared" si="14"/>
        <v>100</v>
      </c>
      <c r="X30" s="1804"/>
      <c r="Y30" s="3214"/>
      <c r="Z30" s="1805">
        <f t="shared" si="18"/>
        <v>111</v>
      </c>
      <c r="AA30" s="1802">
        <f t="shared" si="15"/>
        <v>1</v>
      </c>
      <c r="AB30" s="1802">
        <f t="shared" si="16"/>
        <v>1</v>
      </c>
      <c r="AC30" s="1802">
        <f t="shared" si="17"/>
        <v>1</v>
      </c>
    </row>
    <row r="31" spans="1:29" ht="15.6"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50"/>
      <c r="Q31" s="1801">
        <f t="shared" si="11"/>
        <v>111</v>
      </c>
      <c r="R31" s="774" t="s">
        <v>21</v>
      </c>
      <c r="S31" s="775">
        <f t="shared" si="12"/>
        <v>100</v>
      </c>
      <c r="T31" s="774" t="s">
        <v>21</v>
      </c>
      <c r="U31" s="775">
        <f t="shared" si="13"/>
        <v>100</v>
      </c>
      <c r="V31" s="774" t="s">
        <v>21</v>
      </c>
      <c r="W31" s="775">
        <f t="shared" si="14"/>
        <v>100</v>
      </c>
      <c r="X31" s="1804"/>
      <c r="Y31" s="3214"/>
      <c r="Z31" s="1805">
        <f t="shared" si="18"/>
        <v>111</v>
      </c>
      <c r="AA31" s="1802">
        <f t="shared" si="15"/>
        <v>1</v>
      </c>
      <c r="AB31" s="1802">
        <f t="shared" si="16"/>
        <v>1</v>
      </c>
      <c r="AC31" s="1802">
        <f t="shared" si="17"/>
        <v>1</v>
      </c>
    </row>
    <row r="32" spans="1:29" ht="15">
      <c r="A32" s="440" t="s">
        <v>2561</v>
      </c>
      <c r="B32" s="71" t="s">
        <v>2562</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51" t="s">
        <v>2563</v>
      </c>
      <c r="Q32" s="1801" t="str">
        <f t="shared" si="11"/>
        <v>建筑类型</v>
      </c>
      <c r="R32" s="774" t="s">
        <v>21</v>
      </c>
      <c r="S32" s="775">
        <f t="shared" si="12"/>
        <v>100</v>
      </c>
      <c r="T32" s="774" t="s">
        <v>21</v>
      </c>
      <c r="U32" s="775">
        <f t="shared" si="13"/>
        <v>100</v>
      </c>
      <c r="V32" s="774" t="s">
        <v>21</v>
      </c>
      <c r="W32" s="775">
        <f t="shared" si="14"/>
        <v>100</v>
      </c>
      <c r="X32" s="1804"/>
      <c r="Y32" s="3216" t="s">
        <v>2563</v>
      </c>
      <c r="Z32" s="1805" t="str">
        <f t="shared" si="18"/>
        <v>建筑类型</v>
      </c>
      <c r="AA32" s="1802">
        <f t="shared" si="15"/>
        <v>1</v>
      </c>
      <c r="AB32" s="1802">
        <f t="shared" si="16"/>
        <v>1</v>
      </c>
      <c r="AC32" s="1802">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52"/>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02" t="e">
        <f t="shared" si="15"/>
        <v>#N/A</v>
      </c>
      <c r="AB33" s="1802" t="e">
        <f t="shared" si="16"/>
        <v>#N/A</v>
      </c>
      <c r="AC33" s="1802" t="e">
        <f t="shared" si="17"/>
        <v>#N/A</v>
      </c>
    </row>
    <row r="34" spans="1:29" ht="15">
      <c r="A34" s="472"/>
      <c r="B34" s="422" t="s">
        <v>2565</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52"/>
      <c r="Q34" s="1801" t="str">
        <f t="shared" si="11"/>
        <v>建筑结构</v>
      </c>
      <c r="R34" s="774" t="s">
        <v>21</v>
      </c>
      <c r="S34" s="775">
        <f t="shared" si="12"/>
        <v>100</v>
      </c>
      <c r="T34" s="774" t="s">
        <v>21</v>
      </c>
      <c r="U34" s="775">
        <f t="shared" si="13"/>
        <v>100</v>
      </c>
      <c r="V34" s="774" t="s">
        <v>21</v>
      </c>
      <c r="W34" s="775">
        <f t="shared" si="14"/>
        <v>100</v>
      </c>
      <c r="X34" s="1804"/>
      <c r="Y34" s="3216"/>
      <c r="Z34" s="1805" t="str">
        <f t="shared" si="18"/>
        <v>建筑结构</v>
      </c>
      <c r="AA34" s="1802">
        <f t="shared" si="15"/>
        <v>1</v>
      </c>
      <c r="AB34" s="1802">
        <f t="shared" si="16"/>
        <v>1</v>
      </c>
      <c r="AC34" s="1802">
        <f t="shared" si="17"/>
        <v>1</v>
      </c>
    </row>
    <row r="35" spans="1:29" ht="15">
      <c r="A35" s="472"/>
      <c r="B35" s="422" t="s">
        <v>2566</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52"/>
      <c r="Q35" s="1801" t="str">
        <f t="shared" si="11"/>
        <v>建筑品质</v>
      </c>
      <c r="R35" s="774" t="s">
        <v>21</v>
      </c>
      <c r="S35" s="775">
        <f t="shared" si="12"/>
        <v>100</v>
      </c>
      <c r="T35" s="774" t="s">
        <v>21</v>
      </c>
      <c r="U35" s="775">
        <f t="shared" si="13"/>
        <v>100</v>
      </c>
      <c r="V35" s="774" t="s">
        <v>21</v>
      </c>
      <c r="W35" s="775">
        <f t="shared" si="14"/>
        <v>100</v>
      </c>
      <c r="X35" s="1804"/>
      <c r="Y35" s="3216"/>
      <c r="Z35" s="1805" t="str">
        <f t="shared" si="18"/>
        <v>建筑品质</v>
      </c>
      <c r="AA35" s="1802">
        <f t="shared" si="15"/>
        <v>1</v>
      </c>
      <c r="AB35" s="1802">
        <f t="shared" si="16"/>
        <v>1</v>
      </c>
      <c r="AC35" s="1802">
        <f t="shared" si="17"/>
        <v>1</v>
      </c>
    </row>
    <row r="36" spans="1:29" ht="15">
      <c r="A36" s="472"/>
      <c r="B36" s="422" t="s">
        <v>2567</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52"/>
      <c r="Q36" s="1801" t="str">
        <f t="shared" si="11"/>
        <v>公共部分装修</v>
      </c>
      <c r="R36" s="774" t="s">
        <v>21</v>
      </c>
      <c r="S36" s="775">
        <f t="shared" si="12"/>
        <v>100</v>
      </c>
      <c r="T36" s="774" t="s">
        <v>21</v>
      </c>
      <c r="U36" s="775">
        <f t="shared" si="13"/>
        <v>100</v>
      </c>
      <c r="V36" s="774" t="s">
        <v>21</v>
      </c>
      <c r="W36" s="775">
        <f t="shared" si="14"/>
        <v>100</v>
      </c>
      <c r="X36" s="1804"/>
      <c r="Y36" s="3216"/>
      <c r="Z36" s="1805" t="str">
        <f t="shared" si="18"/>
        <v>公共部分装修</v>
      </c>
      <c r="AA36" s="1802">
        <f t="shared" si="15"/>
        <v>1</v>
      </c>
      <c r="AB36" s="1802">
        <f t="shared" si="16"/>
        <v>1</v>
      </c>
      <c r="AC36" s="1802">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2"/>
      <c r="Q37" s="1786"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2569</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52" t="s">
        <v>2563</v>
      </c>
      <c r="Q38" s="1801" t="str">
        <f t="shared" si="11"/>
        <v>物业管理</v>
      </c>
      <c r="R38" s="774" t="s">
        <v>21</v>
      </c>
      <c r="S38" s="775">
        <f t="shared" si="12"/>
        <v>100</v>
      </c>
      <c r="T38" s="774" t="s">
        <v>21</v>
      </c>
      <c r="U38" s="775">
        <f t="shared" si="13"/>
        <v>100</v>
      </c>
      <c r="V38" s="774" t="s">
        <v>21</v>
      </c>
      <c r="W38" s="775">
        <f t="shared" si="14"/>
        <v>100</v>
      </c>
      <c r="X38" s="1804"/>
      <c r="Y38" s="3216" t="s">
        <v>2563</v>
      </c>
      <c r="Z38" s="1805" t="str">
        <f t="shared" si="18"/>
        <v>物业管理</v>
      </c>
      <c r="AA38" s="1802">
        <f t="shared" si="15"/>
        <v>1</v>
      </c>
      <c r="AB38" s="1802">
        <f t="shared" si="16"/>
        <v>1</v>
      </c>
      <c r="AC38" s="1802">
        <f t="shared" si="17"/>
        <v>1</v>
      </c>
    </row>
    <row r="39" spans="1:29" ht="15">
      <c r="A39" s="472"/>
      <c r="B39" s="422" t="s">
        <v>2570</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52"/>
      <c r="Q39" s="1801" t="str">
        <f t="shared" si="11"/>
        <v>市政基础设施</v>
      </c>
      <c r="R39" s="774" t="s">
        <v>21</v>
      </c>
      <c r="S39" s="775">
        <f t="shared" si="12"/>
        <v>100</v>
      </c>
      <c r="T39" s="774" t="s">
        <v>21</v>
      </c>
      <c r="U39" s="775">
        <f t="shared" si="13"/>
        <v>100</v>
      </c>
      <c r="V39" s="774" t="s">
        <v>21</v>
      </c>
      <c r="W39" s="775">
        <f t="shared" si="14"/>
        <v>100</v>
      </c>
      <c r="X39" s="1804"/>
      <c r="Y39" s="3216"/>
      <c r="Z39" s="1805" t="str">
        <f t="shared" si="18"/>
        <v>市政基础设施</v>
      </c>
      <c r="AA39" s="1802">
        <f t="shared" si="15"/>
        <v>1</v>
      </c>
      <c r="AB39" s="1802">
        <f t="shared" si="16"/>
        <v>1</v>
      </c>
      <c r="AC39" s="1802">
        <f t="shared" si="17"/>
        <v>1</v>
      </c>
    </row>
    <row r="40" spans="1:29" ht="15">
      <c r="A40" s="472"/>
      <c r="B40" s="422" t="s">
        <v>2571</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52"/>
      <c r="Q40" s="1801" t="str">
        <f t="shared" si="11"/>
        <v>房型</v>
      </c>
      <c r="R40" s="774" t="s">
        <v>21</v>
      </c>
      <c r="S40" s="775">
        <f t="shared" si="12"/>
        <v>100</v>
      </c>
      <c r="T40" s="774" t="s">
        <v>21</v>
      </c>
      <c r="U40" s="775">
        <f t="shared" si="13"/>
        <v>100</v>
      </c>
      <c r="V40" s="774" t="s">
        <v>21</v>
      </c>
      <c r="W40" s="775">
        <f t="shared" si="14"/>
        <v>100</v>
      </c>
      <c r="X40" s="1804"/>
      <c r="Y40" s="3216"/>
      <c r="Z40" s="1805" t="str">
        <f t="shared" si="18"/>
        <v>房型</v>
      </c>
      <c r="AA40" s="1802">
        <f t="shared" si="15"/>
        <v>1</v>
      </c>
      <c r="AB40" s="1802">
        <f t="shared" si="16"/>
        <v>1</v>
      </c>
      <c r="AC40" s="1802">
        <f t="shared" si="17"/>
        <v>1</v>
      </c>
    </row>
    <row r="41" spans="1:29" s="471" customFormat="1" ht="28.8">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52"/>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02">
        <f t="shared" si="15"/>
        <v>1</v>
      </c>
      <c r="AB41" s="1802">
        <f t="shared" si="16"/>
        <v>1</v>
      </c>
      <c r="AC41" s="1802">
        <f t="shared" si="17"/>
        <v>1</v>
      </c>
    </row>
    <row r="42" spans="1:29" ht="15">
      <c r="A42" s="472"/>
      <c r="B42" s="422" t="s">
        <v>2573</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52"/>
      <c r="Q42" s="1801" t="str">
        <f t="shared" si="11"/>
        <v>内部装修</v>
      </c>
      <c r="R42" s="774" t="s">
        <v>21</v>
      </c>
      <c r="S42" s="775">
        <f t="shared" si="12"/>
        <v>100</v>
      </c>
      <c r="T42" s="774" t="s">
        <v>21</v>
      </c>
      <c r="U42" s="775">
        <f t="shared" si="13"/>
        <v>100</v>
      </c>
      <c r="V42" s="774" t="s">
        <v>21</v>
      </c>
      <c r="W42" s="775">
        <f t="shared" si="14"/>
        <v>100</v>
      </c>
      <c r="X42" s="1804"/>
      <c r="Y42" s="3216"/>
      <c r="Z42" s="1805" t="str">
        <f t="shared" si="18"/>
        <v>内部装修</v>
      </c>
      <c r="AA42" s="1802">
        <f t="shared" si="15"/>
        <v>1</v>
      </c>
      <c r="AB42" s="1802">
        <f t="shared" si="16"/>
        <v>1</v>
      </c>
      <c r="AC42" s="1802">
        <f t="shared" si="17"/>
        <v>1</v>
      </c>
    </row>
    <row r="43" spans="1:29" ht="28.8">
      <c r="A43" s="472"/>
      <c r="B43" s="422" t="s">
        <v>2574</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52"/>
      <c r="Q43" s="1801" t="str">
        <f t="shared" si="11"/>
        <v>内部装修维护情况</v>
      </c>
      <c r="R43" s="774" t="s">
        <v>21</v>
      </c>
      <c r="S43" s="775">
        <f t="shared" si="12"/>
        <v>100</v>
      </c>
      <c r="T43" s="774" t="s">
        <v>21</v>
      </c>
      <c r="U43" s="775">
        <f t="shared" si="13"/>
        <v>100</v>
      </c>
      <c r="V43" s="774" t="s">
        <v>21</v>
      </c>
      <c r="W43" s="775">
        <f t="shared" si="14"/>
        <v>100</v>
      </c>
      <c r="X43" s="1804"/>
      <c r="Y43" s="3216"/>
      <c r="Z43" s="1805" t="str">
        <f t="shared" si="18"/>
        <v>内部装修维护情况</v>
      </c>
      <c r="AA43" s="1802">
        <f t="shared" si="15"/>
        <v>1</v>
      </c>
      <c r="AB43" s="1802">
        <f t="shared" si="16"/>
        <v>1</v>
      </c>
      <c r="AC43" s="1802">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52"/>
      <c r="Q44" s="1786">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52"/>
      <c r="Q45" s="1801">
        <f t="shared" si="11"/>
        <v>111</v>
      </c>
      <c r="R45" s="774" t="s">
        <v>21</v>
      </c>
      <c r="S45" s="775">
        <f t="shared" si="12"/>
        <v>100</v>
      </c>
      <c r="T45" s="774" t="s">
        <v>21</v>
      </c>
      <c r="U45" s="775">
        <f t="shared" si="13"/>
        <v>100</v>
      </c>
      <c r="V45" s="774" t="s">
        <v>21</v>
      </c>
      <c r="W45" s="775">
        <f t="shared" si="14"/>
        <v>100</v>
      </c>
      <c r="X45" s="1804"/>
      <c r="Y45" s="3216"/>
      <c r="Z45" s="1805">
        <f t="shared" si="18"/>
        <v>111</v>
      </c>
      <c r="AA45" s="1802">
        <f t="shared" si="15"/>
        <v>1</v>
      </c>
      <c r="AB45" s="1802">
        <f t="shared" si="16"/>
        <v>1</v>
      </c>
      <c r="AC45" s="1802">
        <f t="shared" si="17"/>
        <v>1</v>
      </c>
    </row>
    <row r="46" spans="1:29" ht="15.6"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53"/>
      <c r="Q46" s="1801">
        <f t="shared" si="11"/>
        <v>111</v>
      </c>
      <c r="R46" s="774" t="s">
        <v>20</v>
      </c>
      <c r="S46" s="775">
        <f t="shared" si="12"/>
        <v>100</v>
      </c>
      <c r="T46" s="774" t="s">
        <v>20</v>
      </c>
      <c r="U46" s="775">
        <f t="shared" si="13"/>
        <v>100</v>
      </c>
      <c r="V46" s="774" t="s">
        <v>20</v>
      </c>
      <c r="W46" s="775">
        <f t="shared" si="14"/>
        <v>100</v>
      </c>
      <c r="X46" s="1804"/>
      <c r="Y46" s="3254"/>
      <c r="Z46" s="1805">
        <f t="shared" si="18"/>
        <v>111</v>
      </c>
      <c r="AA46" s="1802">
        <f t="shared" si="15"/>
        <v>1</v>
      </c>
      <c r="AB46" s="1802">
        <f t="shared" si="16"/>
        <v>1</v>
      </c>
      <c r="AC46" s="1802">
        <f t="shared" si="17"/>
        <v>1</v>
      </c>
    </row>
    <row r="47" spans="1:29" ht="14.4">
      <c r="A47" s="479" t="s">
        <v>2575</v>
      </c>
      <c r="B47" s="480"/>
      <c r="C47" s="1407" t="s">
        <v>19</v>
      </c>
      <c r="D47" s="1408"/>
      <c r="E47" s="1409"/>
      <c r="F47" s="1410"/>
      <c r="G47" s="1411"/>
      <c r="H47" s="1412"/>
      <c r="I47" s="1409"/>
      <c r="J47" s="1412"/>
      <c r="K47" s="2614"/>
      <c r="L47" s="1143"/>
      <c r="M47" s="1144"/>
      <c r="N47" s="1131"/>
      <c r="O47" s="1144"/>
      <c r="P47" s="3211" t="str">
        <f>A47</f>
        <v>成交单价（元/平方米）</v>
      </c>
      <c r="Q47" s="3211"/>
      <c r="R47" s="3247">
        <f>E47</f>
        <v>0</v>
      </c>
      <c r="S47" s="3247"/>
      <c r="T47" s="3247">
        <f>G47</f>
        <v>0</v>
      </c>
      <c r="U47" s="3247"/>
      <c r="V47" s="3247">
        <f>I47</f>
        <v>0</v>
      </c>
      <c r="W47" s="3247"/>
      <c r="X47" s="759"/>
      <c r="Y47" s="781"/>
      <c r="Z47" s="759"/>
      <c r="AA47" s="759"/>
      <c r="AB47" s="759"/>
      <c r="AC47" s="759"/>
    </row>
    <row r="48" spans="1:29" ht="15" thickBot="1">
      <c r="A48" s="486" t="s">
        <v>2576</v>
      </c>
      <c r="B48" s="487"/>
      <c r="C48" s="1413" t="e">
        <f>R49</f>
        <v>#DIV/0!</v>
      </c>
      <c r="D48" s="1414"/>
      <c r="E48" s="1415" t="e">
        <f>R48</f>
        <v>#DIV/0!</v>
      </c>
      <c r="F48" s="1415"/>
      <c r="G48" s="1413" t="e">
        <f>T48</f>
        <v>#DIV/0!</v>
      </c>
      <c r="H48" s="1414"/>
      <c r="I48" s="1415" t="e">
        <f>V48</f>
        <v>#DIV/0!</v>
      </c>
      <c r="J48" s="1414"/>
      <c r="K48" s="2615"/>
      <c r="L48" s="1143"/>
      <c r="M48" s="1144"/>
      <c r="N48" s="1144"/>
      <c r="O48" s="1144"/>
      <c r="P48" s="3211" t="str">
        <f>A48</f>
        <v>比较价值（元/平方米）</v>
      </c>
      <c r="Q48" s="3211"/>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 thickBot="1">
      <c r="A49" s="492" t="s">
        <v>2577</v>
      </c>
      <c r="B49" s="493"/>
      <c r="C49" s="1416" t="e">
        <f>R49</f>
        <v>#DIV/0!</v>
      </c>
      <c r="D49" s="1417"/>
      <c r="E49" s="1417"/>
      <c r="F49" s="1417"/>
      <c r="G49" s="1417"/>
      <c r="H49" s="1417"/>
      <c r="I49" s="1417"/>
      <c r="J49" s="1417"/>
      <c r="K49" s="2616"/>
      <c r="L49" s="1143"/>
      <c r="M49" s="1144"/>
      <c r="N49" s="1144"/>
      <c r="O49" s="1144"/>
      <c r="P49" s="3205" t="str">
        <f>A49</f>
        <v>估价对象XX用房的比较价值（楼面单价，元/平方米）</v>
      </c>
      <c r="Q49" s="3206"/>
      <c r="R49" s="3248" t="e">
        <f>IF(F1="售价",ROUND(AVERAGE(R48:V48),0),ROUND(AVERAGE(R48:V48),1))</f>
        <v>#DIV/0!</v>
      </c>
      <c r="S49" s="3248"/>
      <c r="T49" s="3248"/>
      <c r="U49" s="3248"/>
      <c r="V49" s="3248"/>
      <c r="W49" s="324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19"/>
      <c r="Q57" s="504"/>
    </row>
    <row r="58" spans="1:29" s="508" customFormat="1" ht="14.4">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c r="A59" s="509"/>
      <c r="B59" s="2620"/>
      <c r="C59" s="1573">
        <v>100</v>
      </c>
      <c r="D59" s="511"/>
      <c r="E59" s="512"/>
      <c r="F59" s="512"/>
      <c r="G59" s="512"/>
      <c r="H59" s="512"/>
      <c r="I59" s="512"/>
      <c r="J59" s="512"/>
      <c r="K59" s="512"/>
      <c r="L59" s="512"/>
      <c r="M59" s="513"/>
      <c r="N59" s="512"/>
      <c r="O59" s="513"/>
      <c r="P59" s="2621"/>
    </row>
    <row r="60" spans="1:29" s="117" customFormat="1" ht="15" thickBot="1">
      <c r="A60" s="515" t="s">
        <v>2583</v>
      </c>
      <c r="B60" s="516"/>
      <c r="C60" s="517"/>
      <c r="D60" s="518"/>
      <c r="E60" s="518"/>
      <c r="F60" s="518"/>
      <c r="G60" s="518"/>
      <c r="H60" s="518"/>
      <c r="I60" s="518"/>
      <c r="J60" s="518"/>
      <c r="K60" s="518"/>
      <c r="L60" s="518"/>
      <c r="M60" s="519"/>
      <c r="N60" s="518"/>
      <c r="O60" s="519"/>
      <c r="P60" s="2621"/>
      <c r="Q60" s="504"/>
    </row>
    <row r="61" spans="1:29" s="117" customFormat="1" ht="14.4">
      <c r="A61" s="521" t="s">
        <v>2584</v>
      </c>
      <c r="B61" s="510"/>
      <c r="C61" s="522" t="s">
        <v>2585</v>
      </c>
      <c r="D61" s="523"/>
      <c r="E61" s="523"/>
      <c r="F61" s="523"/>
      <c r="G61" s="523"/>
      <c r="H61" s="523"/>
      <c r="I61" s="523"/>
      <c r="J61" s="523"/>
      <c r="K61" s="523"/>
      <c r="L61" s="524"/>
      <c r="M61" s="525"/>
      <c r="N61" s="1151"/>
      <c r="O61" s="1151"/>
      <c r="P61" s="2622"/>
      <c r="Q61" s="504"/>
    </row>
    <row r="62" spans="1:29" s="117" customFormat="1" ht="14.4" thickBot="1">
      <c r="A62" s="521"/>
      <c r="B62" s="510"/>
      <c r="C62" s="511">
        <v>100</v>
      </c>
      <c r="D62" s="512"/>
      <c r="E62" s="512"/>
      <c r="F62" s="512"/>
      <c r="G62" s="512"/>
      <c r="H62" s="512"/>
      <c r="I62" s="512"/>
      <c r="J62" s="512"/>
      <c r="K62" s="512"/>
      <c r="L62" s="512"/>
      <c r="M62" s="514"/>
      <c r="N62" s="1151"/>
      <c r="O62" s="1151"/>
      <c r="P62" s="2621"/>
      <c r="Q62" s="504"/>
    </row>
    <row r="63" spans="1:29" ht="14.4">
      <c r="A63" s="527" t="s">
        <v>2586</v>
      </c>
      <c r="B63" s="528" t="s">
        <v>2552</v>
      </c>
      <c r="C63" s="529">
        <f>C9</f>
        <v>0</v>
      </c>
      <c r="D63" s="530"/>
      <c r="E63" s="530"/>
      <c r="F63" s="530"/>
      <c r="G63" s="530"/>
      <c r="H63" s="530"/>
      <c r="I63" s="530"/>
      <c r="J63" s="530"/>
      <c r="K63" s="531"/>
      <c r="L63" s="532"/>
      <c r="M63" s="533"/>
      <c r="N63" s="1152"/>
      <c r="O63" s="1152"/>
      <c r="P63" s="2623"/>
      <c r="Q63" s="504"/>
    </row>
    <row r="64" spans="1:29" ht="14.4" thickBot="1">
      <c r="A64" s="534"/>
      <c r="B64" s="535"/>
      <c r="C64" s="536">
        <v>100</v>
      </c>
      <c r="D64" s="536"/>
      <c r="E64" s="536"/>
      <c r="F64" s="536"/>
      <c r="G64" s="536"/>
      <c r="H64" s="536"/>
      <c r="I64" s="536"/>
      <c r="J64" s="536"/>
      <c r="K64" s="536"/>
      <c r="L64" s="536"/>
      <c r="M64" s="537"/>
      <c r="N64" s="1153"/>
      <c r="O64" s="1153"/>
      <c r="P64" s="2623"/>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c r="A68" s="534"/>
      <c r="B68" s="548"/>
      <c r="C68" s="549"/>
      <c r="D68" s="549"/>
      <c r="E68" s="549"/>
      <c r="F68" s="549"/>
      <c r="G68" s="549"/>
      <c r="H68" s="549"/>
      <c r="I68" s="549"/>
      <c r="J68" s="549"/>
      <c r="K68" s="550"/>
      <c r="L68" s="551"/>
      <c r="M68" s="552"/>
      <c r="N68" s="1152"/>
      <c r="O68" s="1152"/>
      <c r="P68" s="262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4.4" thickTop="1">
      <c r="A70" s="553"/>
      <c r="B70" s="538">
        <f>B12</f>
        <v>111</v>
      </c>
      <c r="C70" s="554"/>
      <c r="D70" s="554"/>
      <c r="E70" s="554"/>
      <c r="F70" s="554"/>
      <c r="G70" s="554"/>
      <c r="H70" s="555"/>
      <c r="I70" s="555"/>
      <c r="J70" s="555"/>
      <c r="K70" s="555"/>
      <c r="L70" s="556"/>
      <c r="M70" s="557"/>
      <c r="N70" s="1154"/>
      <c r="O70" s="1154"/>
      <c r="P70" s="2624"/>
      <c r="Q70" s="559"/>
    </row>
    <row r="71" spans="1:17" s="471" customFormat="1" ht="14.4" thickBot="1">
      <c r="A71" s="553"/>
      <c r="B71" s="543"/>
      <c r="C71" s="560"/>
      <c r="D71" s="536"/>
      <c r="E71" s="536"/>
      <c r="F71" s="536"/>
      <c r="G71" s="536"/>
      <c r="H71" s="536"/>
      <c r="I71" s="536"/>
      <c r="J71" s="536"/>
      <c r="K71" s="536"/>
      <c r="L71" s="536"/>
      <c r="M71" s="537"/>
      <c r="N71" s="1153"/>
      <c r="O71" s="1153"/>
      <c r="P71" s="2624"/>
      <c r="Q71" s="559"/>
    </row>
    <row r="72" spans="1:17" s="471" customFormat="1" ht="14.4" thickTop="1">
      <c r="A72" s="553"/>
      <c r="B72" s="538">
        <f>B13</f>
        <v>111</v>
      </c>
      <c r="C72" s="554"/>
      <c r="D72" s="554"/>
      <c r="E72" s="554"/>
      <c r="F72" s="554"/>
      <c r="G72" s="554"/>
      <c r="H72" s="555"/>
      <c r="I72" s="555"/>
      <c r="J72" s="555"/>
      <c r="K72" s="555"/>
      <c r="L72" s="556"/>
      <c r="M72" s="557"/>
      <c r="N72" s="1154"/>
      <c r="O72" s="1154"/>
      <c r="P72" s="2625"/>
      <c r="Q72" s="561"/>
    </row>
    <row r="73" spans="1:17" s="471" customFormat="1" ht="14.4" thickBot="1">
      <c r="A73" s="553"/>
      <c r="B73" s="543"/>
      <c r="C73" s="560"/>
      <c r="D73" s="560"/>
      <c r="E73" s="560"/>
      <c r="F73" s="560"/>
      <c r="G73" s="560"/>
      <c r="H73" s="562"/>
      <c r="I73" s="562"/>
      <c r="J73" s="562"/>
      <c r="K73" s="562"/>
      <c r="L73" s="562"/>
      <c r="M73" s="563"/>
      <c r="N73" s="1154"/>
      <c r="O73" s="1154"/>
      <c r="P73" s="2624"/>
      <c r="Q73" s="559"/>
    </row>
    <row r="74" spans="1:17" s="471" customFormat="1" ht="14.4" thickTop="1">
      <c r="A74" s="553"/>
      <c r="B74" s="546">
        <f>B14</f>
        <v>111</v>
      </c>
      <c r="C74" s="554"/>
      <c r="D74" s="554"/>
      <c r="E74" s="554"/>
      <c r="F74" s="554"/>
      <c r="G74" s="523"/>
      <c r="H74" s="564"/>
      <c r="I74" s="564"/>
      <c r="J74" s="564"/>
      <c r="K74" s="564"/>
      <c r="L74" s="565"/>
      <c r="M74" s="566"/>
      <c r="N74" s="1154"/>
      <c r="O74" s="1154"/>
      <c r="P74" s="2626"/>
      <c r="Q74" s="559"/>
    </row>
    <row r="75" spans="1:17" s="471" customFormat="1" ht="14.4" thickBot="1">
      <c r="A75" s="568"/>
      <c r="B75" s="569"/>
      <c r="C75" s="570"/>
      <c r="D75" s="570"/>
      <c r="E75" s="570"/>
      <c r="F75" s="570"/>
      <c r="G75" s="570"/>
      <c r="H75" s="571"/>
      <c r="I75" s="571"/>
      <c r="J75" s="571"/>
      <c r="K75" s="571"/>
      <c r="L75" s="571"/>
      <c r="M75" s="572"/>
      <c r="N75" s="1154"/>
      <c r="O75" s="1154"/>
      <c r="P75" s="2624"/>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2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 thickTop="1">
      <c r="A82" s="534"/>
      <c r="B82" s="546" t="s">
        <v>2095</v>
      </c>
      <c r="C82" s="539" t="s">
        <v>2602</v>
      </c>
      <c r="D82" s="539" t="s">
        <v>2603</v>
      </c>
      <c r="E82" s="539" t="s">
        <v>2604</v>
      </c>
      <c r="F82" s="539" t="s">
        <v>2605</v>
      </c>
      <c r="G82" s="539" t="s">
        <v>2606</v>
      </c>
      <c r="H82" s="539"/>
      <c r="I82" s="539"/>
      <c r="J82" s="539"/>
      <c r="K82" s="539"/>
      <c r="L82" s="539"/>
      <c r="M82" s="1382"/>
      <c r="N82" s="1153"/>
      <c r="O82" s="1153"/>
      <c r="P82" s="262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 thickTop="1">
      <c r="A86" s="579"/>
      <c r="B86" s="538" t="s">
        <v>2608</v>
      </c>
      <c r="C86" s="554"/>
      <c r="D86" s="554"/>
      <c r="E86" s="554"/>
      <c r="F86" s="554"/>
      <c r="G86" s="554"/>
      <c r="H86" s="554"/>
      <c r="I86" s="554"/>
      <c r="J86" s="554"/>
      <c r="K86" s="554"/>
      <c r="L86" s="580"/>
      <c r="M86" s="581"/>
      <c r="N86" s="1151"/>
      <c r="O86" s="1151"/>
      <c r="P86" s="262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 thickTop="1">
      <c r="A88" s="579"/>
      <c r="B88" s="538" t="s">
        <v>2609</v>
      </c>
      <c r="C88" s="554"/>
      <c r="D88" s="554"/>
      <c r="E88" s="554"/>
      <c r="F88" s="2628"/>
      <c r="G88" s="554"/>
      <c r="H88" s="554"/>
      <c r="I88" s="554"/>
      <c r="J88" s="554"/>
      <c r="K88" s="554"/>
      <c r="L88" s="554"/>
      <c r="M88" s="581"/>
      <c r="N88" s="1151"/>
      <c r="O88" s="1151"/>
      <c r="P88" s="262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4.4" thickTop="1">
      <c r="A90" s="553"/>
      <c r="B90" s="538">
        <f>B27</f>
        <v>111</v>
      </c>
      <c r="C90" s="554"/>
      <c r="D90" s="554"/>
      <c r="E90" s="554"/>
      <c r="F90" s="554"/>
      <c r="G90" s="554"/>
      <c r="H90" s="555"/>
      <c r="I90" s="555"/>
      <c r="J90" s="555"/>
      <c r="K90" s="555"/>
      <c r="L90" s="556"/>
      <c r="M90" s="557"/>
      <c r="N90" s="1154"/>
      <c r="O90" s="1154"/>
      <c r="P90" s="2624"/>
      <c r="Q90" s="559"/>
    </row>
    <row r="91" spans="1:17" s="471" customFormat="1" ht="14.4" thickBot="1">
      <c r="A91" s="553"/>
      <c r="B91" s="543"/>
      <c r="C91" s="560"/>
      <c r="D91" s="560"/>
      <c r="E91" s="560"/>
      <c r="F91" s="560"/>
      <c r="G91" s="560"/>
      <c r="H91" s="562"/>
      <c r="I91" s="562"/>
      <c r="J91" s="562"/>
      <c r="K91" s="562"/>
      <c r="L91" s="562"/>
      <c r="M91" s="563"/>
      <c r="N91" s="1154"/>
      <c r="O91" s="1154"/>
      <c r="P91" s="2624"/>
      <c r="Q91" s="559"/>
    </row>
    <row r="92" spans="1:17" ht="14.4" thickTop="1">
      <c r="A92" s="534"/>
      <c r="B92" s="538">
        <f>B28</f>
        <v>111</v>
      </c>
      <c r="C92" s="554"/>
      <c r="D92" s="554"/>
      <c r="E92" s="554"/>
      <c r="F92" s="554"/>
      <c r="G92" s="583"/>
      <c r="H92" s="583"/>
      <c r="I92" s="583"/>
      <c r="J92" s="583"/>
      <c r="K92" s="584"/>
      <c r="L92" s="585"/>
      <c r="M92" s="586"/>
      <c r="N92" s="1152"/>
      <c r="O92" s="1152"/>
      <c r="P92" s="2623"/>
      <c r="Q92" s="504"/>
    </row>
    <row r="93" spans="1:17" ht="14.4" thickBot="1">
      <c r="A93" s="534"/>
      <c r="B93" s="543"/>
      <c r="C93" s="560"/>
      <c r="D93" s="536"/>
      <c r="E93" s="536"/>
      <c r="F93" s="536"/>
      <c r="G93" s="536"/>
      <c r="H93" s="536"/>
      <c r="I93" s="536"/>
      <c r="J93" s="536"/>
      <c r="K93" s="536"/>
      <c r="L93" s="536"/>
      <c r="M93" s="537"/>
      <c r="N93" s="1153"/>
      <c r="O93" s="1153"/>
      <c r="P93" s="2623"/>
      <c r="Q93" s="504"/>
    </row>
    <row r="94" spans="1:17" ht="14.4" thickTop="1">
      <c r="A94" s="534"/>
      <c r="B94" s="538">
        <f>B29</f>
        <v>111</v>
      </c>
      <c r="C94" s="554"/>
      <c r="D94" s="554"/>
      <c r="E94" s="554"/>
      <c r="F94" s="554"/>
      <c r="G94" s="583"/>
      <c r="H94" s="583"/>
      <c r="I94" s="583"/>
      <c r="J94" s="583"/>
      <c r="K94" s="584"/>
      <c r="L94" s="585"/>
      <c r="M94" s="586"/>
      <c r="N94" s="1152"/>
      <c r="O94" s="1152"/>
      <c r="P94" s="2623"/>
      <c r="Q94" s="504"/>
    </row>
    <row r="95" spans="1:17" ht="14.4" thickBot="1">
      <c r="A95" s="534"/>
      <c r="B95" s="543"/>
      <c r="C95" s="560"/>
      <c r="D95" s="560"/>
      <c r="E95" s="560"/>
      <c r="F95" s="560"/>
      <c r="G95" s="536"/>
      <c r="H95" s="536"/>
      <c r="I95" s="536"/>
      <c r="J95" s="536"/>
      <c r="K95" s="536"/>
      <c r="L95" s="536"/>
      <c r="M95" s="537"/>
      <c r="N95" s="1153"/>
      <c r="O95" s="1153"/>
      <c r="P95" s="2623"/>
      <c r="Q95" s="504"/>
    </row>
    <row r="96" spans="1:17" ht="14.4" thickTop="1">
      <c r="A96" s="534"/>
      <c r="B96" s="538">
        <f>B30</f>
        <v>111</v>
      </c>
      <c r="C96" s="554"/>
      <c r="D96" s="554"/>
      <c r="E96" s="554"/>
      <c r="F96" s="554"/>
      <c r="G96" s="583"/>
      <c r="H96" s="583"/>
      <c r="I96" s="583"/>
      <c r="J96" s="583"/>
      <c r="K96" s="584"/>
      <c r="L96" s="585"/>
      <c r="M96" s="586"/>
      <c r="N96" s="1152"/>
      <c r="O96" s="1152"/>
      <c r="P96" s="2623"/>
      <c r="Q96" s="504"/>
    </row>
    <row r="97" spans="1:17" ht="14.4" thickBot="1">
      <c r="A97" s="534"/>
      <c r="B97" s="543"/>
      <c r="C97" s="570"/>
      <c r="D97" s="570"/>
      <c r="E97" s="570"/>
      <c r="F97" s="570"/>
      <c r="G97" s="536"/>
      <c r="H97" s="536"/>
      <c r="I97" s="536"/>
      <c r="J97" s="536"/>
      <c r="K97" s="536"/>
      <c r="L97" s="536"/>
      <c r="M97" s="537"/>
      <c r="N97" s="1153"/>
      <c r="O97" s="1153"/>
      <c r="P97" s="2623"/>
      <c r="Q97" s="504"/>
    </row>
    <row r="98" spans="1:17" ht="14.4" thickTop="1">
      <c r="A98" s="534"/>
      <c r="B98" s="546">
        <f>B31</f>
        <v>111</v>
      </c>
      <c r="C98" s="587"/>
      <c r="D98" s="587"/>
      <c r="E98" s="587"/>
      <c r="F98" s="587"/>
      <c r="G98" s="587"/>
      <c r="H98" s="587"/>
      <c r="I98" s="587"/>
      <c r="J98" s="587"/>
      <c r="K98" s="588"/>
      <c r="L98" s="589"/>
      <c r="M98" s="590"/>
      <c r="N98" s="1152"/>
      <c r="O98" s="1152"/>
      <c r="P98" s="2623"/>
      <c r="Q98" s="504"/>
    </row>
    <row r="99" spans="1:17" ht="14.4" thickBot="1">
      <c r="A99" s="2629"/>
      <c r="B99" s="569"/>
      <c r="C99" s="591"/>
      <c r="D99" s="591"/>
      <c r="E99" s="591"/>
      <c r="F99" s="591"/>
      <c r="G99" s="591"/>
      <c r="H99" s="591"/>
      <c r="I99" s="591"/>
      <c r="J99" s="591"/>
      <c r="K99" s="591"/>
      <c r="L99" s="591"/>
      <c r="M99" s="592"/>
      <c r="N99" s="1153"/>
      <c r="O99" s="1153"/>
      <c r="P99" s="2623"/>
      <c r="Q99" s="504"/>
    </row>
    <row r="100" spans="1:17" ht="14.4">
      <c r="A100" s="527" t="s">
        <v>2561</v>
      </c>
      <c r="B100" s="528" t="s">
        <v>2610</v>
      </c>
      <c r="C100" s="530"/>
      <c r="D100" s="530"/>
      <c r="E100" s="530"/>
      <c r="F100" s="530"/>
      <c r="G100" s="530"/>
      <c r="H100" s="530"/>
      <c r="I100" s="530"/>
      <c r="J100" s="530"/>
      <c r="K100" s="531"/>
      <c r="L100" s="532"/>
      <c r="M100" s="533"/>
      <c r="N100" s="1152"/>
      <c r="O100" s="1152"/>
      <c r="P100" s="262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4.4"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2612</v>
      </c>
      <c r="C105" s="554"/>
      <c r="D105" s="554"/>
      <c r="E105" s="583"/>
      <c r="F105" s="583"/>
      <c r="G105" s="583"/>
      <c r="H105" s="583"/>
      <c r="I105" s="583"/>
      <c r="J105" s="583"/>
      <c r="K105" s="584"/>
      <c r="L105" s="585"/>
      <c r="M105" s="586"/>
      <c r="N105" s="1152"/>
      <c r="O105" s="1152"/>
      <c r="P105" s="262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2613</v>
      </c>
      <c r="C107" s="583"/>
      <c r="D107" s="583"/>
      <c r="E107" s="583"/>
      <c r="F107" s="583"/>
      <c r="G107" s="583"/>
      <c r="H107" s="583"/>
      <c r="I107" s="583"/>
      <c r="J107" s="583"/>
      <c r="K107" s="584"/>
      <c r="L107" s="585"/>
      <c r="M107" s="586"/>
      <c r="N107" s="1152"/>
      <c r="O107" s="1152"/>
      <c r="P107" s="262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2614</v>
      </c>
      <c r="C109" s="554"/>
      <c r="D109" s="554"/>
      <c r="E109" s="554"/>
      <c r="F109" s="583"/>
      <c r="G109" s="583"/>
      <c r="H109" s="583"/>
      <c r="I109" s="583"/>
      <c r="J109" s="583"/>
      <c r="K109" s="584"/>
      <c r="L109" s="585"/>
      <c r="M109" s="586"/>
      <c r="N109" s="1152"/>
      <c r="O109" s="1152"/>
      <c r="P109" s="262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2615</v>
      </c>
      <c r="C114" s="554"/>
      <c r="D114" s="554"/>
      <c r="E114" s="583"/>
      <c r="F114" s="583"/>
      <c r="G114" s="583"/>
      <c r="H114" s="583"/>
      <c r="I114" s="583"/>
      <c r="J114" s="583"/>
      <c r="K114" s="584"/>
      <c r="L114" s="585"/>
      <c r="M114" s="586"/>
      <c r="N114" s="1152"/>
      <c r="O114" s="1152"/>
      <c r="P114" s="262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2616</v>
      </c>
      <c r="C116" s="554"/>
      <c r="D116" s="554"/>
      <c r="E116" s="554"/>
      <c r="F116" s="554"/>
      <c r="G116" s="554"/>
      <c r="H116" s="583"/>
      <c r="I116" s="583"/>
      <c r="J116" s="583"/>
      <c r="K116" s="584"/>
      <c r="L116" s="585"/>
      <c r="M116" s="586"/>
      <c r="N116" s="1152"/>
      <c r="O116" s="1152"/>
      <c r="P116" s="262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2617</v>
      </c>
      <c r="C118" s="583"/>
      <c r="D118" s="583"/>
      <c r="E118" s="583"/>
      <c r="F118" s="583"/>
      <c r="G118" s="583"/>
      <c r="H118" s="583"/>
      <c r="I118" s="583"/>
      <c r="J118" s="583"/>
      <c r="K118" s="584"/>
      <c r="L118" s="585"/>
      <c r="M118" s="586"/>
      <c r="N118" s="1152"/>
      <c r="O118" s="1152"/>
      <c r="P118" s="262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4"/>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2618</v>
      </c>
      <c r="C122" s="554"/>
      <c r="D122" s="554"/>
      <c r="E122" s="554"/>
      <c r="F122" s="583"/>
      <c r="G122" s="583"/>
      <c r="H122" s="583"/>
      <c r="I122" s="583"/>
      <c r="J122" s="583"/>
      <c r="K122" s="584"/>
      <c r="L122" s="585"/>
      <c r="M122" s="586"/>
      <c r="N122" s="1152"/>
      <c r="O122" s="1152"/>
      <c r="P122" s="262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4"/>
      <c r="Q127" s="559"/>
    </row>
    <row r="128" spans="1:17" ht="14.4" thickTop="1">
      <c r="A128" s="599"/>
      <c r="B128" s="538">
        <f>B45</f>
        <v>111</v>
      </c>
      <c r="C128" s="554"/>
      <c r="D128" s="554"/>
      <c r="E128" s="554"/>
      <c r="F128" s="554"/>
      <c r="G128" s="583"/>
      <c r="H128" s="583"/>
      <c r="I128" s="583"/>
      <c r="J128" s="583"/>
      <c r="K128" s="584"/>
      <c r="L128" s="585"/>
      <c r="M128" s="586"/>
      <c r="N128" s="1152"/>
      <c r="O128" s="1152"/>
      <c r="P128" s="2623"/>
      <c r="Q128" s="504"/>
    </row>
    <row r="129" spans="1:17" ht="14.4" thickBot="1">
      <c r="A129" s="534"/>
      <c r="B129" s="543"/>
      <c r="C129" s="560"/>
      <c r="D129" s="560"/>
      <c r="E129" s="560"/>
      <c r="F129" s="560"/>
      <c r="G129" s="536"/>
      <c r="H129" s="536"/>
      <c r="I129" s="536"/>
      <c r="J129" s="536"/>
      <c r="K129" s="536"/>
      <c r="L129" s="536"/>
      <c r="M129" s="537"/>
      <c r="N129" s="1153"/>
      <c r="O129" s="1153"/>
      <c r="P129" s="2623"/>
      <c r="Q129" s="504"/>
    </row>
    <row r="130" spans="1:17" ht="14.4" thickTop="1">
      <c r="A130" s="599"/>
      <c r="B130" s="546">
        <f>B46</f>
        <v>111</v>
      </c>
      <c r="C130" s="554"/>
      <c r="D130" s="554"/>
      <c r="E130" s="554"/>
      <c r="F130" s="554"/>
      <c r="G130" s="587"/>
      <c r="H130" s="587"/>
      <c r="I130" s="587"/>
      <c r="J130" s="587"/>
      <c r="K130" s="523"/>
      <c r="L130" s="524"/>
      <c r="M130" s="590"/>
      <c r="N130" s="1152"/>
      <c r="O130" s="1152"/>
      <c r="P130" s="2623"/>
      <c r="Q130" s="504"/>
    </row>
    <row r="131" spans="1:17" ht="14.4"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6" t="s">
        <v>2623</v>
      </c>
      <c r="D138" s="146" t="s">
        <v>2624</v>
      </c>
      <c r="E138" s="2638" t="s">
        <v>2625</v>
      </c>
      <c r="F138" s="2639" t="s">
        <v>2626</v>
      </c>
      <c r="G138" s="146" t="s">
        <v>2624</v>
      </c>
      <c r="H138" s="147" t="s">
        <v>2625</v>
      </c>
      <c r="I138" s="2640"/>
      <c r="J138" s="146" t="s">
        <v>2627</v>
      </c>
      <c r="K138" s="147" t="s">
        <v>2628</v>
      </c>
    </row>
    <row r="139" spans="1:17" ht="15">
      <c r="B139" s="1084">
        <v>6</v>
      </c>
      <c r="C139" s="1085">
        <v>96</v>
      </c>
      <c r="D139" s="2641" t="s">
        <v>2629</v>
      </c>
      <c r="E139" s="1086">
        <v>100</v>
      </c>
      <c r="F139" s="1087">
        <v>102.5</v>
      </c>
      <c r="G139" s="2641" t="s">
        <v>2629</v>
      </c>
      <c r="H139" s="1088">
        <v>105</v>
      </c>
      <c r="I139" s="2642" t="s">
        <v>2630</v>
      </c>
      <c r="J139" s="1085">
        <v>20</v>
      </c>
      <c r="K139" s="1089">
        <f>C145/(J139-2)</f>
        <v>4.0555555555555553E-3</v>
      </c>
    </row>
    <row r="140" spans="1:17" ht="15">
      <c r="B140" s="1090">
        <v>5</v>
      </c>
      <c r="C140" s="1091">
        <v>100</v>
      </c>
      <c r="D140" s="1091"/>
      <c r="E140" s="1092"/>
      <c r="F140" s="1093">
        <v>102</v>
      </c>
      <c r="G140" s="1091"/>
      <c r="H140" s="1094"/>
      <c r="I140" s="2643" t="s">
        <v>2631</v>
      </c>
      <c r="J140" s="315">
        <f>ROUNDUP((J139-1)/2,0)</f>
        <v>10</v>
      </c>
      <c r="K140" s="1095">
        <v>100</v>
      </c>
    </row>
    <row r="141" spans="1:17" ht="15">
      <c r="B141" s="1090">
        <v>4</v>
      </c>
      <c r="C141" s="1091">
        <v>102</v>
      </c>
      <c r="D141" s="1091"/>
      <c r="E141" s="1092"/>
      <c r="F141" s="1093">
        <v>101.5</v>
      </c>
      <c r="G141" s="1091"/>
      <c r="H141" s="1094"/>
      <c r="I141" s="2643" t="s">
        <v>2632</v>
      </c>
      <c r="J141" s="315">
        <v>1</v>
      </c>
      <c r="K141" s="1096">
        <f>ROUND(100+(J141-J140)*K139*100,1)</f>
        <v>96.4</v>
      </c>
    </row>
    <row r="142" spans="1:17" ht="15">
      <c r="B142" s="1090">
        <v>3</v>
      </c>
      <c r="C142" s="1091">
        <v>103</v>
      </c>
      <c r="D142" s="1091"/>
      <c r="E142" s="1092"/>
      <c r="F142" s="1093">
        <v>101</v>
      </c>
      <c r="G142" s="1091"/>
      <c r="H142" s="1094"/>
      <c r="I142" s="2643" t="s">
        <v>2633</v>
      </c>
      <c r="J142" s="315">
        <f>J139</f>
        <v>20</v>
      </c>
      <c r="K142" s="1097">
        <v>95</v>
      </c>
    </row>
    <row r="143" spans="1:17" ht="15">
      <c r="B143" s="1090">
        <v>2</v>
      </c>
      <c r="C143" s="1091">
        <v>100</v>
      </c>
      <c r="D143" s="1091"/>
      <c r="E143" s="1092"/>
      <c r="F143" s="1093">
        <v>100.5</v>
      </c>
      <c r="G143" s="1091"/>
      <c r="H143" s="1094"/>
      <c r="I143" s="2643" t="s">
        <v>2634</v>
      </c>
      <c r="J143" s="1091">
        <v>15</v>
      </c>
      <c r="K143" s="1096">
        <f>ROUND(100+(J143-J140)*K139*100,1)</f>
        <v>102</v>
      </c>
    </row>
    <row r="144" spans="1:17" ht="15">
      <c r="B144" s="1090">
        <v>1</v>
      </c>
      <c r="C144" s="1091">
        <v>98</v>
      </c>
      <c r="D144" s="2644" t="s">
        <v>2635</v>
      </c>
      <c r="E144" s="1092">
        <v>102</v>
      </c>
      <c r="F144" s="1098">
        <v>100</v>
      </c>
      <c r="G144" s="2644" t="s">
        <v>2635</v>
      </c>
      <c r="H144" s="1094">
        <v>105</v>
      </c>
      <c r="I144" s="2643" t="s">
        <v>2634</v>
      </c>
      <c r="J144" s="1091">
        <v>18</v>
      </c>
      <c r="K144" s="1096">
        <f>ROUND(100+(J144-J140)*K139*100,1)</f>
        <v>103.2</v>
      </c>
    </row>
    <row r="145" spans="2:11" ht="16.2" thickBot="1">
      <c r="B145" s="2645" t="s">
        <v>2636</v>
      </c>
      <c r="C145" s="1099">
        <f>ROUND(MAX(C139:C144)/MIN(C139:C144)-1,3)</f>
        <v>7.2999999999999995E-2</v>
      </c>
      <c r="D145" s="1100"/>
      <c r="E145" s="1100"/>
      <c r="F145" s="2646" t="s">
        <v>2637</v>
      </c>
      <c r="G145" s="2647"/>
      <c r="H145" s="2648"/>
      <c r="I145" s="2649" t="s">
        <v>2634</v>
      </c>
      <c r="J145" s="1101">
        <v>8</v>
      </c>
      <c r="K145" s="1102">
        <f>ROUND(100+(J145-J140)*K139*100,1)</f>
        <v>99.2</v>
      </c>
    </row>
    <row r="147" spans="2:11" ht="14.4">
      <c r="B147" s="2630" t="s">
        <v>2638</v>
      </c>
    </row>
    <row r="148" spans="2:11" ht="14.4">
      <c r="B148" s="2630"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17.399999999999999">
      <c r="A4" s="1938" t="str">
        <f>"受贵公司委托，我公司对"&amp;项目基本情况!S1&amp;"进行了预评估。"</f>
        <v>受贵公司委托，我公司对房地产抵押价值进行了预评估。</v>
      </c>
    </row>
    <row r="5" spans="1:1" ht="17.399999999999999">
      <c r="A5" s="1939" t="s">
        <v>1606</v>
      </c>
    </row>
    <row r="6" spans="1:1" ht="17.399999999999999">
      <c r="A6" s="1940" t="s">
        <v>1607</v>
      </c>
    </row>
    <row r="7" spans="1:1" ht="52.2">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估价对象为房地产，为所有。根据《国有土地使用证》[]，估价对象（分摊）出让国有建设用地使用权面积为10609平方米，建筑面积为73514.72平方米。</v>
      </c>
    </row>
    <row r="8" spans="1:1" ht="54.6">
      <c r="A8" s="1941" t="s">
        <v>1608</v>
      </c>
    </row>
    <row r="9" spans="1:1" ht="17.399999999999999">
      <c r="A9" s="1940" t="s">
        <v>1609</v>
      </c>
    </row>
    <row r="10" spans="1:1" ht="52.2">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估价对象为房地产,属开发建设的，该项目尚在开发建设中。根据《国有土地使用证》[]，估价对象（分摊）出让国有建设用地使用权面积为10609平方米，规划建筑面积为73514.72平方米。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2020年5月29日（评估专业人员实地查勘之日）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本次评估采用的主估价方法为成本法和收益法。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2" t="s">
        <v>2684</v>
      </c>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79"/>
      <c r="D2" s="1365" t="e">
        <f ca="1">SUMIF(INDIRECT("'"&amp;F2&amp;"'"&amp;"!A:A"),"承租人权益价值",INDIRECT("'"&amp;F2&amp;"'"&amp;"!c:c"))</f>
        <v>#REF!</v>
      </c>
      <c r="E2" s="2580" t="s">
        <v>2326</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73514.720000000016</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91" t="s">
        <v>2649</v>
      </c>
      <c r="Q4" s="3292"/>
      <c r="R4" s="3295" t="s">
        <v>2645</v>
      </c>
      <c r="S4" s="3296"/>
      <c r="T4" s="3295" t="s">
        <v>2646</v>
      </c>
      <c r="U4" s="3296"/>
      <c r="V4" s="3297" t="s">
        <v>2647</v>
      </c>
      <c r="W4" s="3297"/>
      <c r="X4" s="2663"/>
      <c r="Y4" s="3295" t="s">
        <v>2649</v>
      </c>
      <c r="Z4" s="3296"/>
      <c r="AA4" s="3299" t="s">
        <v>2645</v>
      </c>
      <c r="AB4" s="3299" t="s">
        <v>2646</v>
      </c>
      <c r="AC4" s="3288" t="s">
        <v>2647</v>
      </c>
    </row>
    <row r="5" spans="1:29">
      <c r="A5" s="404"/>
      <c r="B5" s="405"/>
      <c r="C5" s="3238" t="s">
        <v>2540</v>
      </c>
      <c r="D5" s="3239"/>
      <c r="E5" s="3245" t="s">
        <v>2541</v>
      </c>
      <c r="F5" s="3246"/>
      <c r="G5" s="3238" t="s">
        <v>2542</v>
      </c>
      <c r="H5" s="3239"/>
      <c r="I5" s="3238" t="s">
        <v>2543</v>
      </c>
      <c r="J5" s="3239"/>
      <c r="K5" s="610"/>
      <c r="L5" s="1130"/>
      <c r="M5" s="1131"/>
      <c r="N5" s="1131"/>
      <c r="O5" s="1131"/>
      <c r="P5" s="3293"/>
      <c r="Q5" s="3227"/>
      <c r="R5" s="3232"/>
      <c r="S5" s="3233"/>
      <c r="T5" s="3232"/>
      <c r="U5" s="3233"/>
      <c r="V5" s="3217"/>
      <c r="W5" s="3217"/>
      <c r="X5" s="1804"/>
      <c r="Y5" s="3232"/>
      <c r="Z5" s="3233"/>
      <c r="AA5" s="3219"/>
      <c r="AB5" s="3219"/>
      <c r="AC5" s="3289"/>
    </row>
    <row r="6" spans="1:29" ht="15" thickBot="1">
      <c r="A6" s="406"/>
      <c r="B6" s="407"/>
      <c r="C6" s="3236" t="s">
        <v>2544</v>
      </c>
      <c r="D6" s="3237"/>
      <c r="E6" s="3243" t="s">
        <v>2544</v>
      </c>
      <c r="F6" s="3244"/>
      <c r="G6" s="3236" t="s">
        <v>2544</v>
      </c>
      <c r="H6" s="3237"/>
      <c r="I6" s="3236" t="s">
        <v>2544</v>
      </c>
      <c r="J6" s="3237"/>
      <c r="K6" s="610" t="s">
        <v>2545</v>
      </c>
      <c r="L6" s="1130"/>
      <c r="M6" s="1131"/>
      <c r="N6" s="1131"/>
      <c r="O6" s="1131"/>
      <c r="P6" s="3294"/>
      <c r="Q6" s="3229"/>
      <c r="R6" s="3232"/>
      <c r="S6" s="3233"/>
      <c r="T6" s="3234"/>
      <c r="U6" s="3235"/>
      <c r="V6" s="3217"/>
      <c r="W6" s="3217"/>
      <c r="X6" s="1804"/>
      <c r="Y6" s="3234"/>
      <c r="Z6" s="3235"/>
      <c r="AA6" s="3220"/>
      <c r="AB6" s="3220"/>
      <c r="AC6" s="3290"/>
    </row>
    <row r="7" spans="1:29" s="117" customFormat="1" ht="15" thickBot="1">
      <c r="A7" s="408" t="s">
        <v>2546</v>
      </c>
      <c r="B7" s="409"/>
      <c r="C7" s="410">
        <f>'数据-取费表'!B2</f>
        <v>43980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98" t="s">
        <v>2547</v>
      </c>
      <c r="Q7" s="3242"/>
      <c r="R7" s="770" t="s">
        <v>17</v>
      </c>
      <c r="S7" s="771">
        <f t="shared" ref="S7:S15" si="0">F7</f>
        <v>0</v>
      </c>
      <c r="T7" s="770" t="s">
        <v>17</v>
      </c>
      <c r="U7" s="771">
        <f t="shared" ref="U7:U15" si="1">H7</f>
        <v>0</v>
      </c>
      <c r="V7" s="770" t="s">
        <v>17</v>
      </c>
      <c r="W7" s="771">
        <f t="shared" ref="W7:W15" si="2">J7</f>
        <v>0</v>
      </c>
      <c r="X7" s="772"/>
      <c r="Y7" s="3240" t="s">
        <v>2547</v>
      </c>
      <c r="Z7" s="3241"/>
      <c r="AA7" s="773" t="e">
        <f>D7/F7</f>
        <v>#DIV/0!</v>
      </c>
      <c r="AB7" s="773" t="e">
        <f>D7/H7</f>
        <v>#DIV/0!</v>
      </c>
      <c r="AC7" s="2664" t="e">
        <f>D7/J7</f>
        <v>#DIV/0!</v>
      </c>
    </row>
    <row r="8" spans="1:29" s="117" customFormat="1" ht="1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98" t="s">
        <v>2550</v>
      </c>
      <c r="Q8" s="3241"/>
      <c r="R8" s="770" t="s">
        <v>17</v>
      </c>
      <c r="S8" s="771">
        <f t="shared" si="0"/>
        <v>0</v>
      </c>
      <c r="T8" s="770" t="s">
        <v>17</v>
      </c>
      <c r="U8" s="771">
        <f t="shared" si="1"/>
        <v>0</v>
      </c>
      <c r="V8" s="770" t="s">
        <v>17</v>
      </c>
      <c r="W8" s="771">
        <f t="shared" si="2"/>
        <v>0</v>
      </c>
      <c r="X8" s="772"/>
      <c r="Y8" s="3240" t="s">
        <v>2550</v>
      </c>
      <c r="Z8" s="3241"/>
      <c r="AA8" s="773" t="e">
        <f t="shared" ref="AA8:AA47" si="3">D8/F8</f>
        <v>#DIV/0!</v>
      </c>
      <c r="AB8" s="773" t="e">
        <f t="shared" ref="AB8:AB47" si="4">D8/H8</f>
        <v>#DIV/0!</v>
      </c>
      <c r="AC8" s="2664" t="e">
        <f t="shared" ref="AC8:AC47" si="5">D8/J8</f>
        <v>#DIV/0!</v>
      </c>
    </row>
    <row r="9" spans="1:29" s="117" customFormat="1" ht="14.4">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0"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2664">
        <f t="shared" si="5"/>
        <v>1</v>
      </c>
    </row>
    <row r="10" spans="1:29" s="427" customFormat="1" ht="28.8">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0"/>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2664">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0"/>
      <c r="Q11" s="1786"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10"/>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10"/>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2664">
        <f t="shared" si="5"/>
        <v>1</v>
      </c>
    </row>
    <row r="14" spans="1:29" ht="15.6"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10"/>
      <c r="Q14" s="1786">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2664">
        <f t="shared" si="5"/>
        <v>1</v>
      </c>
    </row>
    <row r="15" spans="1:29" ht="69">
      <c r="A15" s="440" t="s">
        <v>2557</v>
      </c>
      <c r="B15" s="629" t="s">
        <v>2685</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9" t="s">
        <v>2558</v>
      </c>
      <c r="Q15" s="1801" t="str">
        <f t="shared" si="6"/>
        <v>办公集聚程度</v>
      </c>
      <c r="R15" s="774" t="s">
        <v>17</v>
      </c>
      <c r="S15" s="775">
        <f t="shared" si="0"/>
        <v>100</v>
      </c>
      <c r="T15" s="774" t="s">
        <v>17</v>
      </c>
      <c r="U15" s="775">
        <f t="shared" si="1"/>
        <v>100</v>
      </c>
      <c r="V15" s="774" t="s">
        <v>17</v>
      </c>
      <c r="W15" s="775">
        <f t="shared" si="2"/>
        <v>100</v>
      </c>
      <c r="X15" s="1804"/>
      <c r="Y15" s="3213" t="s">
        <v>2558</v>
      </c>
      <c r="Z15" s="1805" t="str">
        <f t="shared" si="7"/>
        <v>办公集聚程度</v>
      </c>
      <c r="AA15" s="1802">
        <f t="shared" si="3"/>
        <v>1</v>
      </c>
      <c r="AB15" s="1802">
        <f t="shared" si="4"/>
        <v>1</v>
      </c>
      <c r="AC15" s="2667">
        <f t="shared" si="5"/>
        <v>1</v>
      </c>
    </row>
    <row r="16" spans="1:29" ht="15">
      <c r="A16" s="428"/>
      <c r="B16" s="630"/>
      <c r="C16" s="2604"/>
      <c r="D16" s="448"/>
      <c r="E16" s="447"/>
      <c r="F16" s="448"/>
      <c r="G16" s="2604"/>
      <c r="H16" s="450"/>
      <c r="I16" s="447"/>
      <c r="J16" s="448"/>
      <c r="K16" s="615"/>
      <c r="L16" s="1140"/>
      <c r="M16" s="1131"/>
      <c r="N16" s="1131"/>
      <c r="O16" s="1131"/>
      <c r="P16" s="3250"/>
      <c r="Q16" s="1801"/>
      <c r="R16" s="774"/>
      <c r="S16" s="775"/>
      <c r="T16" s="774"/>
      <c r="U16" s="775"/>
      <c r="V16" s="774"/>
      <c r="W16" s="775"/>
      <c r="X16" s="1804"/>
      <c r="Y16" s="3214"/>
      <c r="Z16" s="1805"/>
      <c r="AA16" s="1802">
        <v>1</v>
      </c>
      <c r="AB16" s="1802">
        <v>1</v>
      </c>
      <c r="AC16" s="2667">
        <v>1</v>
      </c>
    </row>
    <row r="17" spans="1:29" ht="82.8">
      <c r="A17" s="428"/>
      <c r="B17" s="631" t="s">
        <v>2094</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0"/>
      <c r="Q17" s="1801" t="str">
        <f>B17</f>
        <v>交通便捷度</v>
      </c>
      <c r="R17" s="774" t="s">
        <v>17</v>
      </c>
      <c r="S17" s="775">
        <f>F17</f>
        <v>100</v>
      </c>
      <c r="T17" s="774" t="s">
        <v>17</v>
      </c>
      <c r="U17" s="775">
        <f>H17</f>
        <v>100</v>
      </c>
      <c r="V17" s="774" t="s">
        <v>17</v>
      </c>
      <c r="W17" s="775">
        <f>J17</f>
        <v>100</v>
      </c>
      <c r="X17" s="1804"/>
      <c r="Y17" s="3214"/>
      <c r="Z17" s="1805" t="str">
        <f>Q17</f>
        <v>交通便捷度</v>
      </c>
      <c r="AA17" s="1802">
        <f t="shared" si="3"/>
        <v>1</v>
      </c>
      <c r="AB17" s="1802">
        <f t="shared" si="4"/>
        <v>1</v>
      </c>
      <c r="AC17" s="2667">
        <f t="shared" si="5"/>
        <v>1</v>
      </c>
    </row>
    <row r="18" spans="1:29" ht="15">
      <c r="A18" s="428"/>
      <c r="B18" s="632"/>
      <c r="C18" s="2669"/>
      <c r="D18" s="450"/>
      <c r="E18" s="2602"/>
      <c r="F18" s="450"/>
      <c r="G18" s="2603"/>
      <c r="H18" s="448"/>
      <c r="I18" s="2603"/>
      <c r="J18" s="448"/>
      <c r="K18" s="615"/>
      <c r="L18" s="1140"/>
      <c r="M18" s="1131"/>
      <c r="N18" s="1131"/>
      <c r="O18" s="1131"/>
      <c r="P18" s="3250"/>
      <c r="Q18" s="1801"/>
      <c r="R18" s="774"/>
      <c r="S18" s="775"/>
      <c r="T18" s="774"/>
      <c r="U18" s="775"/>
      <c r="V18" s="774"/>
      <c r="W18" s="775"/>
      <c r="X18" s="1804"/>
      <c r="Y18" s="3214"/>
      <c r="Z18" s="1805"/>
      <c r="AA18" s="1802">
        <v>1</v>
      </c>
      <c r="AB18" s="1802">
        <v>1</v>
      </c>
      <c r="AC18" s="2667">
        <v>1</v>
      </c>
    </row>
    <row r="19" spans="1:29" ht="41.4">
      <c r="A19" s="428"/>
      <c r="B19" s="631" t="s">
        <v>2686</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0"/>
      <c r="Q19" s="1801" t="str">
        <f>B19</f>
        <v>公共配套设施</v>
      </c>
      <c r="R19" s="774" t="s">
        <v>17</v>
      </c>
      <c r="S19" s="775">
        <f>F19</f>
        <v>100</v>
      </c>
      <c r="T19" s="774" t="s">
        <v>17</v>
      </c>
      <c r="U19" s="775">
        <f>H19</f>
        <v>100</v>
      </c>
      <c r="V19" s="774" t="s">
        <v>17</v>
      </c>
      <c r="W19" s="775">
        <f>J19</f>
        <v>100</v>
      </c>
      <c r="X19" s="1804"/>
      <c r="Y19" s="3214"/>
      <c r="Z19" s="1805" t="str">
        <f>Q19</f>
        <v>公共配套设施</v>
      </c>
      <c r="AA19" s="1802">
        <f t="shared" si="3"/>
        <v>1</v>
      </c>
      <c r="AB19" s="1802">
        <f t="shared" si="4"/>
        <v>1</v>
      </c>
      <c r="AC19" s="2667">
        <f t="shared" si="5"/>
        <v>1</v>
      </c>
    </row>
    <row r="20" spans="1:29" ht="15">
      <c r="A20" s="428"/>
      <c r="B20" s="632"/>
      <c r="C20" s="2604"/>
      <c r="D20" s="448"/>
      <c r="E20" s="2597"/>
      <c r="F20" s="448"/>
      <c r="G20" s="2598"/>
      <c r="H20" s="448"/>
      <c r="I20" s="2598"/>
      <c r="J20" s="448"/>
      <c r="K20" s="615"/>
      <c r="L20" s="1140"/>
      <c r="M20" s="1131"/>
      <c r="N20" s="1131"/>
      <c r="O20" s="1131"/>
      <c r="P20" s="3250"/>
      <c r="Q20" s="1801"/>
      <c r="R20" s="774"/>
      <c r="S20" s="775"/>
      <c r="T20" s="774"/>
      <c r="U20" s="775"/>
      <c r="V20" s="774"/>
      <c r="W20" s="775"/>
      <c r="X20" s="1804"/>
      <c r="Y20" s="3214"/>
      <c r="Z20" s="1805"/>
      <c r="AA20" s="1802">
        <v>1</v>
      </c>
      <c r="AB20" s="1802">
        <v>1</v>
      </c>
      <c r="AC20" s="2667">
        <v>1</v>
      </c>
    </row>
    <row r="21" spans="1:29" ht="27.6">
      <c r="A21" s="428"/>
      <c r="B21" s="633" t="s">
        <v>2687</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0"/>
      <c r="Q21" s="1801" t="str">
        <f>B21</f>
        <v>基础设施水平</v>
      </c>
      <c r="R21" s="774" t="s">
        <v>17</v>
      </c>
      <c r="S21" s="775">
        <f>F21</f>
        <v>100</v>
      </c>
      <c r="T21" s="774" t="s">
        <v>17</v>
      </c>
      <c r="U21" s="775">
        <f>H21</f>
        <v>100</v>
      </c>
      <c r="V21" s="774" t="s">
        <v>17</v>
      </c>
      <c r="W21" s="775">
        <f>J21</f>
        <v>100</v>
      </c>
      <c r="X21" s="1804"/>
      <c r="Y21" s="3214"/>
      <c r="Z21" s="1805" t="str">
        <f>Q21</f>
        <v>基础设施水平</v>
      </c>
      <c r="AA21" s="1802">
        <f t="shared" ref="AA21" si="8">D21/F21</f>
        <v>1</v>
      </c>
      <c r="AB21" s="1802">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50"/>
      <c r="Q22" s="1801"/>
      <c r="R22" s="774"/>
      <c r="S22" s="775"/>
      <c r="T22" s="774"/>
      <c r="U22" s="775"/>
      <c r="V22" s="774"/>
      <c r="W22" s="775"/>
      <c r="X22" s="1804"/>
      <c r="Y22" s="3214"/>
      <c r="Z22" s="1805"/>
      <c r="AA22" s="1802">
        <v>1</v>
      </c>
      <c r="AB22" s="1802">
        <v>1</v>
      </c>
      <c r="AC22" s="2667">
        <v>1</v>
      </c>
    </row>
    <row r="23" spans="1:29" ht="55.2">
      <c r="A23" s="428"/>
      <c r="B23" s="631" t="s">
        <v>2688</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0"/>
      <c r="Q23" s="1801" t="str">
        <f>B23</f>
        <v>环境质量</v>
      </c>
      <c r="R23" s="774" t="s">
        <v>17</v>
      </c>
      <c r="S23" s="775">
        <f>F23</f>
        <v>100</v>
      </c>
      <c r="T23" s="774" t="s">
        <v>17</v>
      </c>
      <c r="U23" s="775">
        <f>H23</f>
        <v>100</v>
      </c>
      <c r="V23" s="774" t="s">
        <v>17</v>
      </c>
      <c r="W23" s="775">
        <f>J23</f>
        <v>100</v>
      </c>
      <c r="X23" s="1804"/>
      <c r="Y23" s="3214"/>
      <c r="Z23" s="1805" t="str">
        <f>Q23</f>
        <v>环境质量</v>
      </c>
      <c r="AA23" s="1802">
        <f t="shared" si="3"/>
        <v>1</v>
      </c>
      <c r="AB23" s="1802">
        <f t="shared" si="4"/>
        <v>1</v>
      </c>
      <c r="AC23" s="2667">
        <f t="shared" si="5"/>
        <v>1</v>
      </c>
    </row>
    <row r="24" spans="1:29" ht="15">
      <c r="A24" s="428"/>
      <c r="B24" s="633"/>
      <c r="C24" s="2604"/>
      <c r="D24" s="448"/>
      <c r="E24" s="2597"/>
      <c r="F24" s="448"/>
      <c r="G24" s="2598"/>
      <c r="H24" s="448"/>
      <c r="I24" s="2598"/>
      <c r="J24" s="448"/>
      <c r="K24" s="615"/>
      <c r="L24" s="1140"/>
      <c r="M24" s="1131"/>
      <c r="N24" s="1131"/>
      <c r="O24" s="1131"/>
      <c r="P24" s="3250"/>
      <c r="Q24" s="1801"/>
      <c r="R24" s="774"/>
      <c r="S24" s="775"/>
      <c r="T24" s="774"/>
      <c r="U24" s="775"/>
      <c r="V24" s="774"/>
      <c r="W24" s="775"/>
      <c r="X24" s="1804"/>
      <c r="Y24" s="3214"/>
      <c r="Z24" s="1805"/>
      <c r="AA24" s="1802">
        <v>1</v>
      </c>
      <c r="AB24" s="1802">
        <v>1</v>
      </c>
      <c r="AC24" s="2667">
        <v>1</v>
      </c>
    </row>
    <row r="25" spans="1:29" ht="28.8">
      <c r="A25" s="404"/>
      <c r="B25" s="631" t="s">
        <v>2689</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50"/>
      <c r="Q25" s="1801" t="str">
        <f>B25</f>
        <v>毗邻道路的类型与等级</v>
      </c>
      <c r="R25" s="774" t="s">
        <v>17</v>
      </c>
      <c r="S25" s="775">
        <f>F25</f>
        <v>100</v>
      </c>
      <c r="T25" s="774" t="s">
        <v>17</v>
      </c>
      <c r="U25" s="775">
        <f>H25</f>
        <v>100</v>
      </c>
      <c r="V25" s="774" t="s">
        <v>17</v>
      </c>
      <c r="W25" s="775">
        <f>J25</f>
        <v>100</v>
      </c>
      <c r="X25" s="1804"/>
      <c r="Y25" s="3214"/>
      <c r="Z25" s="1805" t="str">
        <f>Q25</f>
        <v>毗邻道路的类型与等级</v>
      </c>
      <c r="AA25" s="1802">
        <f t="shared" si="3"/>
        <v>1</v>
      </c>
      <c r="AB25" s="1802">
        <f t="shared" si="4"/>
        <v>1</v>
      </c>
      <c r="AC25" s="2667">
        <f t="shared" si="5"/>
        <v>1</v>
      </c>
    </row>
    <row r="26" spans="1:29" ht="15">
      <c r="A26" s="404"/>
      <c r="B26" s="632"/>
      <c r="C26" s="634"/>
      <c r="D26" s="435"/>
      <c r="E26" s="616"/>
      <c r="F26" s="435"/>
      <c r="G26" s="634"/>
      <c r="H26" s="435"/>
      <c r="I26" s="616"/>
      <c r="J26" s="435"/>
      <c r="K26" s="615"/>
      <c r="L26" s="1140"/>
      <c r="M26" s="1131"/>
      <c r="N26" s="1131"/>
      <c r="O26" s="1131"/>
      <c r="P26" s="3250"/>
      <c r="Q26" s="1801"/>
      <c r="R26" s="774"/>
      <c r="S26" s="775"/>
      <c r="T26" s="774"/>
      <c r="U26" s="775"/>
      <c r="V26" s="774"/>
      <c r="W26" s="775"/>
      <c r="X26" s="1804"/>
      <c r="Y26" s="3214"/>
      <c r="Z26" s="1805"/>
      <c r="AA26" s="1802">
        <v>1</v>
      </c>
      <c r="AB26" s="1802">
        <v>1</v>
      </c>
      <c r="AC26" s="2667">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0"/>
      <c r="Q27" s="1801" t="str">
        <f t="shared" ref="Q27:Q47" si="11">B27</f>
        <v>楼层</v>
      </c>
      <c r="R27" s="774" t="s">
        <v>17</v>
      </c>
      <c r="S27" s="775">
        <f>F27</f>
        <v>100</v>
      </c>
      <c r="T27" s="774" t="s">
        <v>17</v>
      </c>
      <c r="U27" s="775">
        <f>H27</f>
        <v>100</v>
      </c>
      <c r="V27" s="774" t="s">
        <v>17</v>
      </c>
      <c r="W27" s="775">
        <f>J27</f>
        <v>100</v>
      </c>
      <c r="X27" s="1804"/>
      <c r="Y27" s="3214"/>
      <c r="Z27" s="1805" t="str">
        <f>Q27</f>
        <v>楼层</v>
      </c>
      <c r="AA27" s="1802">
        <f t="shared" si="3"/>
        <v>1</v>
      </c>
      <c r="AB27" s="1802">
        <f t="shared" si="4"/>
        <v>1</v>
      </c>
      <c r="AC27" s="2667">
        <f t="shared" si="5"/>
        <v>1</v>
      </c>
    </row>
    <row r="28" spans="1:29" s="117" customFormat="1" ht="15">
      <c r="A28" s="431"/>
      <c r="B28" s="631" t="s">
        <v>2690</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50"/>
      <c r="Q28" s="1786" t="str">
        <f t="shared" si="11"/>
        <v>朝向</v>
      </c>
      <c r="R28" s="770" t="s">
        <v>17</v>
      </c>
      <c r="S28" s="771">
        <f>F28</f>
        <v>100</v>
      </c>
      <c r="T28" s="770" t="s">
        <v>17</v>
      </c>
      <c r="U28" s="771">
        <f>H28</f>
        <v>100</v>
      </c>
      <c r="V28" s="770" t="s">
        <v>17</v>
      </c>
      <c r="W28" s="771">
        <f>J28</f>
        <v>100</v>
      </c>
      <c r="X28" s="772"/>
      <c r="Y28" s="3214"/>
      <c r="Z28" s="55" t="str">
        <f>Q28</f>
        <v>朝向</v>
      </c>
      <c r="AA28" s="1802">
        <f>D28/F28</f>
        <v>1</v>
      </c>
      <c r="AB28" s="1802">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50"/>
      <c r="Q29" s="1801">
        <f t="shared" si="11"/>
        <v>111</v>
      </c>
      <c r="R29" s="774" t="s">
        <v>17</v>
      </c>
      <c r="S29" s="775">
        <f t="shared" ref="S29:S47" si="12">F29</f>
        <v>100</v>
      </c>
      <c r="T29" s="774" t="s">
        <v>17</v>
      </c>
      <c r="U29" s="775">
        <f t="shared" ref="U29:U47" si="13">H29</f>
        <v>100</v>
      </c>
      <c r="V29" s="774" t="s">
        <v>17</v>
      </c>
      <c r="W29" s="775">
        <f t="shared" ref="W29:W47" si="14">J29</f>
        <v>100</v>
      </c>
      <c r="X29" s="1804"/>
      <c r="Y29" s="3214"/>
      <c r="Z29" s="1805">
        <f t="shared" ref="Z29:Z47" si="15">Q29</f>
        <v>111</v>
      </c>
      <c r="AA29" s="1802">
        <f t="shared" si="3"/>
        <v>1</v>
      </c>
      <c r="AB29" s="1802">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50"/>
      <c r="Q30" s="1801">
        <f t="shared" si="11"/>
        <v>111</v>
      </c>
      <c r="R30" s="774" t="s">
        <v>17</v>
      </c>
      <c r="S30" s="775">
        <f t="shared" si="12"/>
        <v>100</v>
      </c>
      <c r="T30" s="774" t="s">
        <v>17</v>
      </c>
      <c r="U30" s="775">
        <f t="shared" si="13"/>
        <v>100</v>
      </c>
      <c r="V30" s="774" t="s">
        <v>17</v>
      </c>
      <c r="W30" s="775">
        <f t="shared" si="14"/>
        <v>100</v>
      </c>
      <c r="X30" s="1804"/>
      <c r="Y30" s="3214"/>
      <c r="Z30" s="1805">
        <f t="shared" si="15"/>
        <v>111</v>
      </c>
      <c r="AA30" s="1802">
        <f t="shared" si="3"/>
        <v>1</v>
      </c>
      <c r="AB30" s="1802">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50"/>
      <c r="Q31" s="1801">
        <f t="shared" si="11"/>
        <v>111</v>
      </c>
      <c r="R31" s="774" t="s">
        <v>17</v>
      </c>
      <c r="S31" s="775">
        <f t="shared" si="12"/>
        <v>100</v>
      </c>
      <c r="T31" s="774" t="s">
        <v>17</v>
      </c>
      <c r="U31" s="775">
        <f t="shared" si="13"/>
        <v>100</v>
      </c>
      <c r="V31" s="774" t="s">
        <v>17</v>
      </c>
      <c r="W31" s="775">
        <f t="shared" si="14"/>
        <v>100</v>
      </c>
      <c r="X31" s="1804"/>
      <c r="Y31" s="3214"/>
      <c r="Z31" s="1805">
        <f t="shared" si="15"/>
        <v>111</v>
      </c>
      <c r="AA31" s="1802">
        <f t="shared" si="3"/>
        <v>1</v>
      </c>
      <c r="AB31" s="1802">
        <f t="shared" si="4"/>
        <v>1</v>
      </c>
      <c r="AC31" s="2667">
        <f t="shared" si="5"/>
        <v>1</v>
      </c>
    </row>
    <row r="32" spans="1:29" ht="15.6"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50"/>
      <c r="Q32" s="1801">
        <f t="shared" si="11"/>
        <v>111</v>
      </c>
      <c r="R32" s="774" t="s">
        <v>17</v>
      </c>
      <c r="S32" s="775">
        <f t="shared" si="12"/>
        <v>100</v>
      </c>
      <c r="T32" s="774" t="s">
        <v>17</v>
      </c>
      <c r="U32" s="775">
        <f t="shared" si="13"/>
        <v>100</v>
      </c>
      <c r="V32" s="774" t="s">
        <v>17</v>
      </c>
      <c r="W32" s="775">
        <f t="shared" si="14"/>
        <v>100</v>
      </c>
      <c r="X32" s="1804"/>
      <c r="Y32" s="3214"/>
      <c r="Z32" s="1805">
        <f t="shared" si="15"/>
        <v>111</v>
      </c>
      <c r="AA32" s="1802">
        <f t="shared" si="3"/>
        <v>1</v>
      </c>
      <c r="AB32" s="1802">
        <f t="shared" si="4"/>
        <v>1</v>
      </c>
      <c r="AC32" s="2667">
        <f t="shared" si="5"/>
        <v>1</v>
      </c>
    </row>
    <row r="33" spans="1:29" ht="15">
      <c r="A33" s="440" t="s">
        <v>2561</v>
      </c>
      <c r="B33" s="71" t="s">
        <v>2691</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51" t="s">
        <v>2563</v>
      </c>
      <c r="Q33" s="1801" t="str">
        <f t="shared" si="11"/>
        <v>建筑类型</v>
      </c>
      <c r="R33" s="774" t="s">
        <v>17</v>
      </c>
      <c r="S33" s="775">
        <f t="shared" si="12"/>
        <v>100</v>
      </c>
      <c r="T33" s="774" t="s">
        <v>17</v>
      </c>
      <c r="U33" s="775">
        <f t="shared" si="13"/>
        <v>100</v>
      </c>
      <c r="V33" s="774" t="s">
        <v>17</v>
      </c>
      <c r="W33" s="775">
        <f t="shared" si="14"/>
        <v>100</v>
      </c>
      <c r="X33" s="1804"/>
      <c r="Y33" s="3216" t="s">
        <v>2563</v>
      </c>
      <c r="Z33" s="1805" t="str">
        <f t="shared" si="15"/>
        <v>建筑类型</v>
      </c>
      <c r="AA33" s="1802">
        <f t="shared" si="3"/>
        <v>1</v>
      </c>
      <c r="AB33" s="1802">
        <f t="shared" si="4"/>
        <v>1</v>
      </c>
      <c r="AC33" s="2667">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2"/>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02" t="e">
        <f t="shared" si="3"/>
        <v>#N/A</v>
      </c>
      <c r="AB34" s="1802" t="e">
        <f t="shared" si="4"/>
        <v>#N/A</v>
      </c>
      <c r="AC34" s="2667"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2"/>
      <c r="Q35" s="1801" t="str">
        <f t="shared" si="11"/>
        <v>建筑结构</v>
      </c>
      <c r="R35" s="774" t="s">
        <v>17</v>
      </c>
      <c r="S35" s="775">
        <f t="shared" si="12"/>
        <v>100</v>
      </c>
      <c r="T35" s="774" t="s">
        <v>17</v>
      </c>
      <c r="U35" s="775">
        <f t="shared" si="13"/>
        <v>100</v>
      </c>
      <c r="V35" s="774" t="s">
        <v>17</v>
      </c>
      <c r="W35" s="775">
        <f t="shared" si="14"/>
        <v>100</v>
      </c>
      <c r="X35" s="1804"/>
      <c r="Y35" s="3216"/>
      <c r="Z35" s="1805" t="str">
        <f t="shared" si="15"/>
        <v>建筑结构</v>
      </c>
      <c r="AA35" s="1802">
        <f t="shared" si="3"/>
        <v>1</v>
      </c>
      <c r="AB35" s="1802">
        <f t="shared" si="4"/>
        <v>1</v>
      </c>
      <c r="AC35" s="2667">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2"/>
      <c r="Q36" s="1801" t="str">
        <f t="shared" si="11"/>
        <v>公共部分装修</v>
      </c>
      <c r="R36" s="774" t="s">
        <v>17</v>
      </c>
      <c r="S36" s="775">
        <f t="shared" si="12"/>
        <v>100</v>
      </c>
      <c r="T36" s="774" t="s">
        <v>17</v>
      </c>
      <c r="U36" s="775">
        <f t="shared" si="13"/>
        <v>100</v>
      </c>
      <c r="V36" s="774" t="s">
        <v>17</v>
      </c>
      <c r="W36" s="775">
        <f t="shared" si="14"/>
        <v>100</v>
      </c>
      <c r="X36" s="1804"/>
      <c r="Y36" s="3216"/>
      <c r="Z36" s="1805" t="str">
        <f t="shared" si="15"/>
        <v>公共部分装修</v>
      </c>
      <c r="AA36" s="1802">
        <f t="shared" si="3"/>
        <v>1</v>
      </c>
      <c r="AB36" s="1802">
        <f t="shared" si="4"/>
        <v>1</v>
      </c>
      <c r="AC36" s="2667">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2"/>
      <c r="Q37" s="1801" t="str">
        <f t="shared" si="11"/>
        <v>成新度</v>
      </c>
      <c r="R37" s="774" t="s">
        <v>17</v>
      </c>
      <c r="S37" s="775" t="e">
        <f t="shared" si="12"/>
        <v>#N/A</v>
      </c>
      <c r="T37" s="774" t="s">
        <v>17</v>
      </c>
      <c r="U37" s="775" t="e">
        <f t="shared" si="13"/>
        <v>#N/A</v>
      </c>
      <c r="V37" s="774" t="s">
        <v>17</v>
      </c>
      <c r="W37" s="775" t="e">
        <f t="shared" si="14"/>
        <v>#N/A</v>
      </c>
      <c r="X37" s="1804"/>
      <c r="Y37" s="3216"/>
      <c r="Z37" s="1805" t="str">
        <f t="shared" si="15"/>
        <v>成新度</v>
      </c>
      <c r="AA37" s="1802" t="e">
        <f t="shared" si="3"/>
        <v>#N/A</v>
      </c>
      <c r="AB37" s="1802" t="e">
        <f t="shared" si="4"/>
        <v>#N/A</v>
      </c>
      <c r="AC37" s="2667"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2"/>
      <c r="Q38" s="1786"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6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2" t="s">
        <v>2563</v>
      </c>
      <c r="Q39" s="1801" t="str">
        <f t="shared" si="11"/>
        <v>物业管理</v>
      </c>
      <c r="R39" s="774" t="s">
        <v>17</v>
      </c>
      <c r="S39" s="775">
        <f t="shared" si="12"/>
        <v>100</v>
      </c>
      <c r="T39" s="774" t="s">
        <v>17</v>
      </c>
      <c r="U39" s="775">
        <f t="shared" si="13"/>
        <v>100</v>
      </c>
      <c r="V39" s="774" t="s">
        <v>17</v>
      </c>
      <c r="W39" s="775">
        <f t="shared" si="14"/>
        <v>100</v>
      </c>
      <c r="X39" s="1804"/>
      <c r="Y39" s="3216" t="s">
        <v>2563</v>
      </c>
      <c r="Z39" s="1805" t="str">
        <f t="shared" si="15"/>
        <v>物业管理</v>
      </c>
      <c r="AA39" s="1802">
        <f t="shared" si="3"/>
        <v>1</v>
      </c>
      <c r="AB39" s="1802">
        <f t="shared" si="4"/>
        <v>1</v>
      </c>
      <c r="AC39" s="2667">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2"/>
      <c r="Q40" s="1801" t="str">
        <f t="shared" si="11"/>
        <v>市政基础设施</v>
      </c>
      <c r="R40" s="774" t="s">
        <v>17</v>
      </c>
      <c r="S40" s="775">
        <f t="shared" si="12"/>
        <v>100</v>
      </c>
      <c r="T40" s="774" t="s">
        <v>17</v>
      </c>
      <c r="U40" s="775">
        <f t="shared" si="13"/>
        <v>100</v>
      </c>
      <c r="V40" s="774" t="s">
        <v>17</v>
      </c>
      <c r="W40" s="775">
        <f t="shared" si="14"/>
        <v>100</v>
      </c>
      <c r="X40" s="1804"/>
      <c r="Y40" s="3216"/>
      <c r="Z40" s="1805" t="str">
        <f t="shared" si="15"/>
        <v>市政基础设施</v>
      </c>
      <c r="AA40" s="1802">
        <f t="shared" si="3"/>
        <v>1</v>
      </c>
      <c r="AB40" s="1802">
        <f t="shared" si="4"/>
        <v>1</v>
      </c>
      <c r="AC40" s="2667">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2"/>
      <c r="Q41" s="1801" t="str">
        <f t="shared" si="11"/>
        <v>层高</v>
      </c>
      <c r="R41" s="774" t="s">
        <v>17</v>
      </c>
      <c r="S41" s="775">
        <f t="shared" si="12"/>
        <v>100</v>
      </c>
      <c r="T41" s="774" t="s">
        <v>17</v>
      </c>
      <c r="U41" s="775">
        <f t="shared" si="13"/>
        <v>100</v>
      </c>
      <c r="V41" s="774" t="s">
        <v>17</v>
      </c>
      <c r="W41" s="775">
        <f t="shared" si="14"/>
        <v>100</v>
      </c>
      <c r="X41" s="1804"/>
      <c r="Y41" s="3216"/>
      <c r="Z41" s="1805" t="str">
        <f t="shared" si="15"/>
        <v>层高</v>
      </c>
      <c r="AA41" s="1802">
        <f t="shared" si="3"/>
        <v>1</v>
      </c>
      <c r="AB41" s="1802">
        <f t="shared" si="4"/>
        <v>1</v>
      </c>
      <c r="AC41" s="2667">
        <f t="shared" si="5"/>
        <v>1</v>
      </c>
    </row>
    <row r="42" spans="1:29" s="471" customFormat="1" ht="15">
      <c r="A42" s="468"/>
      <c r="B42" s="180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2"/>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02">
        <f t="shared" si="3"/>
        <v>1</v>
      </c>
      <c r="AB42" s="1802">
        <f t="shared" si="4"/>
        <v>1</v>
      </c>
      <c r="AC42" s="2667">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2"/>
      <c r="Q43" s="1801" t="str">
        <f t="shared" si="11"/>
        <v>内部装修</v>
      </c>
      <c r="R43" s="774" t="s">
        <v>17</v>
      </c>
      <c r="S43" s="775">
        <f t="shared" si="12"/>
        <v>100</v>
      </c>
      <c r="T43" s="774" t="s">
        <v>17</v>
      </c>
      <c r="U43" s="775">
        <f t="shared" si="13"/>
        <v>100</v>
      </c>
      <c r="V43" s="774" t="s">
        <v>17</v>
      </c>
      <c r="W43" s="775">
        <f t="shared" si="14"/>
        <v>100</v>
      </c>
      <c r="X43" s="1804"/>
      <c r="Y43" s="3216"/>
      <c r="Z43" s="1805" t="str">
        <f t="shared" si="15"/>
        <v>内部装修</v>
      </c>
      <c r="AA43" s="1802">
        <f t="shared" si="3"/>
        <v>1</v>
      </c>
      <c r="AB43" s="1802">
        <f t="shared" si="4"/>
        <v>1</v>
      </c>
      <c r="AC43" s="2667">
        <f t="shared" si="5"/>
        <v>1</v>
      </c>
    </row>
    <row r="44" spans="1:29" ht="28.8">
      <c r="A44" s="472"/>
      <c r="B44" s="422" t="s">
        <v>2574</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52"/>
      <c r="Q44" s="1801" t="str">
        <f t="shared" si="11"/>
        <v>内部装修维护情况</v>
      </c>
      <c r="R44" s="774" t="s">
        <v>17</v>
      </c>
      <c r="S44" s="775">
        <f t="shared" si="12"/>
        <v>100</v>
      </c>
      <c r="T44" s="774" t="s">
        <v>17</v>
      </c>
      <c r="U44" s="775">
        <f t="shared" si="13"/>
        <v>100</v>
      </c>
      <c r="V44" s="774" t="s">
        <v>17</v>
      </c>
      <c r="W44" s="775">
        <f t="shared" si="14"/>
        <v>100</v>
      </c>
      <c r="X44" s="1804"/>
      <c r="Y44" s="3216"/>
      <c r="Z44" s="1805" t="str">
        <f t="shared" si="15"/>
        <v>内部装修维护情况</v>
      </c>
      <c r="AA44" s="1802">
        <f t="shared" si="3"/>
        <v>1</v>
      </c>
      <c r="AB44" s="1802">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2"/>
      <c r="Q45" s="1786">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2"/>
      <c r="Q46" s="1801">
        <f t="shared" si="11"/>
        <v>111</v>
      </c>
      <c r="R46" s="774" t="s">
        <v>17</v>
      </c>
      <c r="S46" s="775">
        <f t="shared" si="12"/>
        <v>100</v>
      </c>
      <c r="T46" s="774" t="s">
        <v>17</v>
      </c>
      <c r="U46" s="775">
        <f t="shared" si="13"/>
        <v>100</v>
      </c>
      <c r="V46" s="774" t="s">
        <v>17</v>
      </c>
      <c r="W46" s="775">
        <f t="shared" si="14"/>
        <v>100</v>
      </c>
      <c r="X46" s="1804"/>
      <c r="Y46" s="3216"/>
      <c r="Z46" s="1805">
        <f t="shared" si="15"/>
        <v>111</v>
      </c>
      <c r="AA46" s="1802">
        <f t="shared" si="3"/>
        <v>1</v>
      </c>
      <c r="AB46" s="1802">
        <f t="shared" si="4"/>
        <v>1</v>
      </c>
      <c r="AC46" s="2667">
        <f t="shared" si="5"/>
        <v>1</v>
      </c>
    </row>
    <row r="47" spans="1:29" ht="15.6"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3"/>
      <c r="Q47" s="1801">
        <f t="shared" si="11"/>
        <v>111</v>
      </c>
      <c r="R47" s="774" t="s">
        <v>17</v>
      </c>
      <c r="S47" s="775">
        <f t="shared" si="12"/>
        <v>100</v>
      </c>
      <c r="T47" s="774" t="s">
        <v>17</v>
      </c>
      <c r="U47" s="775">
        <f t="shared" si="13"/>
        <v>100</v>
      </c>
      <c r="V47" s="774" t="s">
        <v>17</v>
      </c>
      <c r="W47" s="775">
        <f t="shared" si="14"/>
        <v>100</v>
      </c>
      <c r="X47" s="1804"/>
      <c r="Y47" s="3254"/>
      <c r="Z47" s="1805">
        <f t="shared" si="15"/>
        <v>111</v>
      </c>
      <c r="AA47" s="1802">
        <f t="shared" si="3"/>
        <v>1</v>
      </c>
      <c r="AB47" s="1802">
        <f t="shared" si="4"/>
        <v>1</v>
      </c>
      <c r="AC47" s="2667">
        <f t="shared" si="5"/>
        <v>1</v>
      </c>
    </row>
    <row r="48" spans="1:29" ht="14.4">
      <c r="A48" s="479" t="s">
        <v>2575</v>
      </c>
      <c r="B48" s="480"/>
      <c r="C48" s="1407" t="s">
        <v>1</v>
      </c>
      <c r="D48" s="1408"/>
      <c r="E48" s="1409"/>
      <c r="F48" s="1410"/>
      <c r="G48" s="1411"/>
      <c r="H48" s="1412"/>
      <c r="I48" s="1409"/>
      <c r="J48" s="485"/>
      <c r="K48" s="783"/>
      <c r="L48" s="1143"/>
      <c r="M48" s="1131"/>
      <c r="N48" s="1131"/>
      <c r="O48" s="1131"/>
      <c r="P48" s="3210" t="str">
        <f>A48</f>
        <v>成交单价（元/平方米）</v>
      </c>
      <c r="Q48" s="3211"/>
      <c r="R48" s="3247">
        <f>E48</f>
        <v>0</v>
      </c>
      <c r="S48" s="3247"/>
      <c r="T48" s="3247">
        <f>G48</f>
        <v>0</v>
      </c>
      <c r="U48" s="3247"/>
      <c r="V48" s="3247">
        <f>I48</f>
        <v>0</v>
      </c>
      <c r="W48" s="3247"/>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10" t="str">
        <f>A49</f>
        <v>比较价值（元/平方米）</v>
      </c>
      <c r="Q49" s="3211"/>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85" t="str">
        <f>A50</f>
        <v>估价对象XX用房的比较价值（楼面单价，元/平方米）</v>
      </c>
      <c r="Q50" s="3286"/>
      <c r="R50" s="3287" t="e">
        <f>IF(F1="售价",ROUND(AVERAGE(R49:V49),0),ROUND(AVERAGE(R49:V49),1))</f>
        <v>#DIV/0!</v>
      </c>
      <c r="S50" s="3287"/>
      <c r="T50" s="3287"/>
      <c r="U50" s="3287"/>
      <c r="V50" s="3287"/>
      <c r="W50" s="3287"/>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4"/>
      <c r="Q58" s="504"/>
    </row>
    <row r="59" spans="1:29" s="508" customFormat="1" ht="14.4">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c r="A60" s="509"/>
      <c r="B60" s="510"/>
      <c r="C60" s="1573">
        <v>100</v>
      </c>
      <c r="D60" s="512"/>
      <c r="E60" s="512"/>
      <c r="F60" s="512"/>
      <c r="G60" s="512"/>
      <c r="H60" s="512"/>
      <c r="I60" s="512"/>
      <c r="J60" s="512"/>
      <c r="K60" s="512"/>
      <c r="L60" s="512"/>
      <c r="M60" s="513"/>
      <c r="N60" s="512"/>
      <c r="O60" s="513"/>
      <c r="P60" s="2675"/>
    </row>
    <row r="61" spans="1:29" s="117" customFormat="1" ht="15" thickBot="1">
      <c r="A61" s="515" t="s">
        <v>2583</v>
      </c>
      <c r="B61" s="516"/>
      <c r="C61" s="517"/>
      <c r="D61" s="518"/>
      <c r="E61" s="518"/>
      <c r="F61" s="518"/>
      <c r="G61" s="518"/>
      <c r="H61" s="518"/>
      <c r="I61" s="518"/>
      <c r="J61" s="518"/>
      <c r="K61" s="518"/>
      <c r="L61" s="518"/>
      <c r="M61" s="519"/>
      <c r="N61" s="518"/>
      <c r="O61" s="519"/>
      <c r="P61" s="2675"/>
      <c r="Q61" s="504"/>
    </row>
    <row r="62" spans="1:29" s="117" customFormat="1" ht="14.4">
      <c r="A62" s="521" t="s">
        <v>2548</v>
      </c>
      <c r="B62" s="510"/>
      <c r="C62" s="522" t="s">
        <v>2650</v>
      </c>
      <c r="D62" s="523"/>
      <c r="E62" s="523"/>
      <c r="F62" s="523"/>
      <c r="G62" s="523"/>
      <c r="H62" s="523"/>
      <c r="I62" s="523"/>
      <c r="J62" s="523"/>
      <c r="K62" s="523"/>
      <c r="L62" s="524"/>
      <c r="M62" s="525"/>
      <c r="N62" s="1151"/>
      <c r="O62" s="1151"/>
      <c r="P62" s="2676"/>
      <c r="Q62" s="504"/>
    </row>
    <row r="63" spans="1:29" s="117" customFormat="1" ht="14.4" thickBot="1">
      <c r="A63" s="521"/>
      <c r="B63" s="510"/>
      <c r="C63" s="511">
        <v>100</v>
      </c>
      <c r="D63" s="512"/>
      <c r="E63" s="512"/>
      <c r="F63" s="512"/>
      <c r="G63" s="512"/>
      <c r="H63" s="512"/>
      <c r="I63" s="512"/>
      <c r="J63" s="512"/>
      <c r="K63" s="512"/>
      <c r="L63" s="512"/>
      <c r="M63" s="514"/>
      <c r="N63" s="1151"/>
      <c r="O63" s="1151"/>
      <c r="P63" s="2675"/>
      <c r="Q63" s="504"/>
    </row>
    <row r="64" spans="1:29" ht="14.4">
      <c r="A64" s="527" t="s">
        <v>2586</v>
      </c>
      <c r="B64" s="528" t="s">
        <v>2552</v>
      </c>
      <c r="C64" s="529">
        <f>C9</f>
        <v>0</v>
      </c>
      <c r="D64" s="530"/>
      <c r="E64" s="530"/>
      <c r="F64" s="530"/>
      <c r="G64" s="530"/>
      <c r="H64" s="530"/>
      <c r="I64" s="530"/>
      <c r="J64" s="530"/>
      <c r="K64" s="531"/>
      <c r="L64" s="532"/>
      <c r="M64" s="533"/>
      <c r="N64" s="1152"/>
      <c r="O64" s="1152"/>
      <c r="P64" s="2677"/>
      <c r="Q64" s="504"/>
    </row>
    <row r="65" spans="1:17" ht="14.4" thickBot="1">
      <c r="A65" s="534"/>
      <c r="B65" s="535"/>
      <c r="C65" s="536">
        <v>100</v>
      </c>
      <c r="D65" s="536"/>
      <c r="E65" s="536"/>
      <c r="F65" s="536"/>
      <c r="G65" s="536"/>
      <c r="H65" s="536"/>
      <c r="I65" s="536"/>
      <c r="J65" s="536"/>
      <c r="K65" s="536"/>
      <c r="L65" s="536"/>
      <c r="M65" s="537"/>
      <c r="N65" s="1153"/>
      <c r="O65" s="1153"/>
      <c r="P65" s="2677"/>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7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c r="A69" s="534"/>
      <c r="B69" s="548"/>
      <c r="C69" s="549"/>
      <c r="D69" s="549"/>
      <c r="E69" s="549"/>
      <c r="F69" s="549"/>
      <c r="G69" s="549"/>
      <c r="H69" s="549"/>
      <c r="I69" s="549"/>
      <c r="J69" s="549"/>
      <c r="K69" s="550"/>
      <c r="L69" s="551"/>
      <c r="M69" s="552"/>
      <c r="N69" s="1152"/>
      <c r="O69" s="1152"/>
      <c r="P69" s="267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4.4" thickTop="1">
      <c r="A71" s="553"/>
      <c r="B71" s="538">
        <f>B12</f>
        <v>111</v>
      </c>
      <c r="C71" s="554"/>
      <c r="D71" s="554"/>
      <c r="E71" s="554"/>
      <c r="F71" s="554"/>
      <c r="G71" s="554"/>
      <c r="H71" s="555"/>
      <c r="I71" s="555"/>
      <c r="J71" s="555"/>
      <c r="K71" s="555"/>
      <c r="L71" s="556"/>
      <c r="M71" s="557"/>
      <c r="N71" s="1154"/>
      <c r="O71" s="1154"/>
      <c r="P71" s="2678"/>
      <c r="Q71" s="559"/>
    </row>
    <row r="72" spans="1:17" s="471" customFormat="1" ht="14.4" thickBot="1">
      <c r="A72" s="553"/>
      <c r="B72" s="543"/>
      <c r="C72" s="560"/>
      <c r="D72" s="536"/>
      <c r="E72" s="536"/>
      <c r="F72" s="536"/>
      <c r="G72" s="536"/>
      <c r="H72" s="536"/>
      <c r="I72" s="536"/>
      <c r="J72" s="536"/>
      <c r="K72" s="536"/>
      <c r="L72" s="536"/>
      <c r="M72" s="537"/>
      <c r="N72" s="1153"/>
      <c r="O72" s="1153"/>
      <c r="P72" s="2678"/>
      <c r="Q72" s="559"/>
    </row>
    <row r="73" spans="1:17" s="471" customFormat="1" ht="14.4" thickTop="1">
      <c r="A73" s="553"/>
      <c r="B73" s="538">
        <f>B13</f>
        <v>111</v>
      </c>
      <c r="C73" s="554"/>
      <c r="D73" s="554"/>
      <c r="E73" s="554"/>
      <c r="F73" s="554"/>
      <c r="G73" s="554"/>
      <c r="H73" s="555"/>
      <c r="I73" s="555"/>
      <c r="J73" s="555"/>
      <c r="K73" s="555"/>
      <c r="L73" s="556"/>
      <c r="M73" s="557"/>
      <c r="N73" s="1154"/>
      <c r="O73" s="1154"/>
      <c r="P73" s="2679"/>
      <c r="Q73" s="561"/>
    </row>
    <row r="74" spans="1:17" s="471" customFormat="1" ht="14.4" thickBot="1">
      <c r="A74" s="553"/>
      <c r="B74" s="543"/>
      <c r="C74" s="560"/>
      <c r="D74" s="560"/>
      <c r="E74" s="560"/>
      <c r="F74" s="560"/>
      <c r="G74" s="560"/>
      <c r="H74" s="562"/>
      <c r="I74" s="562"/>
      <c r="J74" s="562"/>
      <c r="K74" s="562"/>
      <c r="L74" s="562"/>
      <c r="M74" s="563"/>
      <c r="N74" s="1154"/>
      <c r="O74" s="1154"/>
      <c r="P74" s="2678"/>
      <c r="Q74" s="559"/>
    </row>
    <row r="75" spans="1:17" s="471" customFormat="1" ht="14.4" thickTop="1">
      <c r="A75" s="553"/>
      <c r="B75" s="546">
        <f>B14</f>
        <v>111</v>
      </c>
      <c r="C75" s="523"/>
      <c r="D75" s="523"/>
      <c r="E75" s="523"/>
      <c r="F75" s="523"/>
      <c r="G75" s="523"/>
      <c r="H75" s="564"/>
      <c r="I75" s="564"/>
      <c r="J75" s="564"/>
      <c r="K75" s="564"/>
      <c r="L75" s="565"/>
      <c r="M75" s="566"/>
      <c r="N75" s="1154"/>
      <c r="O75" s="1154"/>
      <c r="P75" s="2680"/>
      <c r="Q75" s="559"/>
    </row>
    <row r="76" spans="1:17" s="471" customFormat="1" ht="14.4" thickBot="1">
      <c r="A76" s="568"/>
      <c r="B76" s="569"/>
      <c r="C76" s="570"/>
      <c r="D76" s="570"/>
      <c r="E76" s="570"/>
      <c r="F76" s="570"/>
      <c r="G76" s="570"/>
      <c r="H76" s="571"/>
      <c r="I76" s="571"/>
      <c r="J76" s="571"/>
      <c r="K76" s="571"/>
      <c r="L76" s="571"/>
      <c r="M76" s="572"/>
      <c r="N76" s="1154"/>
      <c r="O76" s="1154"/>
      <c r="P76" s="2678"/>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7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7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7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7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9.4" thickTop="1">
      <c r="A87" s="579"/>
      <c r="B87" s="538" t="s">
        <v>2697</v>
      </c>
      <c r="C87" s="554"/>
      <c r="D87" s="554"/>
      <c r="E87" s="554"/>
      <c r="F87" s="554"/>
      <c r="G87" s="554"/>
      <c r="H87" s="554"/>
      <c r="I87" s="554"/>
      <c r="J87" s="554"/>
      <c r="K87" s="554"/>
      <c r="L87" s="580"/>
      <c r="M87" s="581"/>
      <c r="N87" s="1151"/>
      <c r="O87" s="1151"/>
      <c r="P87" s="267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4.4"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4.4" thickTop="1">
      <c r="A93" s="534"/>
      <c r="B93" s="538">
        <f>B29</f>
        <v>111</v>
      </c>
      <c r="C93" s="554"/>
      <c r="D93" s="554"/>
      <c r="E93" s="554"/>
      <c r="F93" s="554"/>
      <c r="G93" s="554"/>
      <c r="H93" s="554"/>
      <c r="I93" s="554"/>
      <c r="J93" s="554"/>
      <c r="K93" s="554"/>
      <c r="L93" s="580"/>
      <c r="M93" s="581"/>
      <c r="N93" s="1152"/>
      <c r="O93" s="1152"/>
      <c r="P93" s="2677"/>
      <c r="Q93" s="504"/>
    </row>
    <row r="94" spans="1:17" ht="14.4" thickBot="1">
      <c r="A94" s="534"/>
      <c r="B94" s="543"/>
      <c r="C94" s="560"/>
      <c r="D94" s="536"/>
      <c r="E94" s="536"/>
      <c r="F94" s="536"/>
      <c r="G94" s="536"/>
      <c r="H94" s="536"/>
      <c r="I94" s="536"/>
      <c r="J94" s="536"/>
      <c r="K94" s="536"/>
      <c r="L94" s="536"/>
      <c r="M94" s="537"/>
      <c r="N94" s="1153"/>
      <c r="O94" s="1153"/>
      <c r="P94" s="2677"/>
      <c r="Q94" s="504"/>
    </row>
    <row r="95" spans="1:17" ht="14.4" thickTop="1">
      <c r="A95" s="534"/>
      <c r="B95" s="538">
        <f>B30</f>
        <v>111</v>
      </c>
      <c r="C95" s="554"/>
      <c r="D95" s="554"/>
      <c r="E95" s="554"/>
      <c r="F95" s="554"/>
      <c r="G95" s="583"/>
      <c r="H95" s="583"/>
      <c r="I95" s="583"/>
      <c r="J95" s="583"/>
      <c r="K95" s="584"/>
      <c r="L95" s="585"/>
      <c r="M95" s="586"/>
      <c r="N95" s="1152"/>
      <c r="O95" s="1152"/>
      <c r="P95" s="2677"/>
      <c r="Q95" s="504"/>
    </row>
    <row r="96" spans="1:17" ht="14.4" thickBot="1">
      <c r="A96" s="534"/>
      <c r="B96" s="543"/>
      <c r="C96" s="560"/>
      <c r="D96" s="560"/>
      <c r="E96" s="560"/>
      <c r="F96" s="560"/>
      <c r="G96" s="536"/>
      <c r="H96" s="536"/>
      <c r="I96" s="536"/>
      <c r="J96" s="536"/>
      <c r="K96" s="536"/>
      <c r="L96" s="536"/>
      <c r="M96" s="537"/>
      <c r="N96" s="1153"/>
      <c r="O96" s="1153"/>
      <c r="P96" s="2677"/>
      <c r="Q96" s="504"/>
    </row>
    <row r="97" spans="1:17" ht="14.4" thickTop="1">
      <c r="A97" s="534"/>
      <c r="B97" s="538">
        <f>B31</f>
        <v>111</v>
      </c>
      <c r="C97" s="554"/>
      <c r="D97" s="554"/>
      <c r="E97" s="554"/>
      <c r="F97" s="554"/>
      <c r="G97" s="583"/>
      <c r="H97" s="583"/>
      <c r="I97" s="583"/>
      <c r="J97" s="583"/>
      <c r="K97" s="584"/>
      <c r="L97" s="585"/>
      <c r="M97" s="586"/>
      <c r="N97" s="1152"/>
      <c r="O97" s="1152"/>
      <c r="P97" s="2677"/>
      <c r="Q97" s="504"/>
    </row>
    <row r="98" spans="1:17" ht="14.4" thickBot="1">
      <c r="A98" s="534"/>
      <c r="B98" s="543"/>
      <c r="C98" s="560"/>
      <c r="D98" s="536"/>
      <c r="E98" s="536"/>
      <c r="F98" s="536"/>
      <c r="G98" s="536"/>
      <c r="H98" s="536"/>
      <c r="I98" s="536"/>
      <c r="J98" s="536"/>
      <c r="K98" s="536"/>
      <c r="L98" s="536"/>
      <c r="M98" s="537"/>
      <c r="N98" s="1153"/>
      <c r="O98" s="1153"/>
      <c r="P98" s="2677"/>
      <c r="Q98" s="504"/>
    </row>
    <row r="99" spans="1:17" ht="14.4" thickTop="1">
      <c r="A99" s="534"/>
      <c r="B99" s="546">
        <f>B32</f>
        <v>111</v>
      </c>
      <c r="C99" s="523"/>
      <c r="D99" s="523"/>
      <c r="E99" s="523"/>
      <c r="F99" s="523"/>
      <c r="G99" s="587"/>
      <c r="H99" s="587"/>
      <c r="I99" s="587"/>
      <c r="J99" s="587"/>
      <c r="K99" s="588"/>
      <c r="L99" s="589"/>
      <c r="M99" s="590"/>
      <c r="N99" s="1152"/>
      <c r="O99" s="1152"/>
      <c r="P99" s="2677"/>
      <c r="Q99" s="504"/>
    </row>
    <row r="100" spans="1:17" ht="14.4" thickBot="1">
      <c r="A100" s="2629"/>
      <c r="B100" s="569"/>
      <c r="C100" s="570"/>
      <c r="D100" s="570"/>
      <c r="E100" s="570"/>
      <c r="F100" s="570"/>
      <c r="G100" s="591"/>
      <c r="H100" s="591"/>
      <c r="I100" s="591"/>
      <c r="J100" s="591"/>
      <c r="K100" s="591"/>
      <c r="L100" s="591"/>
      <c r="M100" s="592"/>
      <c r="N100" s="1153"/>
      <c r="O100" s="1153"/>
      <c r="P100" s="2677"/>
      <c r="Q100" s="504"/>
    </row>
    <row r="101" spans="1:17" ht="14.4">
      <c r="A101" s="527" t="s">
        <v>2561</v>
      </c>
      <c r="B101" s="528" t="s">
        <v>2610</v>
      </c>
      <c r="C101" s="530"/>
      <c r="D101" s="530"/>
      <c r="E101" s="530"/>
      <c r="F101" s="530"/>
      <c r="G101" s="530"/>
      <c r="H101" s="530"/>
      <c r="I101" s="530"/>
      <c r="J101" s="530"/>
      <c r="K101" s="531"/>
      <c r="L101" s="532"/>
      <c r="M101" s="533"/>
      <c r="N101" s="1152"/>
      <c r="O101" s="1152"/>
      <c r="P101" s="267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4.4"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2612</v>
      </c>
      <c r="C106" s="554"/>
      <c r="D106" s="554"/>
      <c r="E106" s="583"/>
      <c r="F106" s="583"/>
      <c r="G106" s="583"/>
      <c r="H106" s="583"/>
      <c r="I106" s="583"/>
      <c r="J106" s="583"/>
      <c r="K106" s="584"/>
      <c r="L106" s="585"/>
      <c r="M106" s="586"/>
      <c r="N106" s="1152"/>
      <c r="O106" s="1152"/>
      <c r="P106" s="267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2614</v>
      </c>
      <c r="C108" s="554"/>
      <c r="D108" s="554"/>
      <c r="E108" s="554"/>
      <c r="F108" s="583"/>
      <c r="G108" s="583"/>
      <c r="H108" s="583"/>
      <c r="I108" s="583"/>
      <c r="J108" s="583"/>
      <c r="K108" s="584"/>
      <c r="L108" s="585"/>
      <c r="M108" s="586"/>
      <c r="N108" s="1152"/>
      <c r="O108" s="1152"/>
      <c r="P108" s="267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7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2615</v>
      </c>
      <c r="C115" s="554"/>
      <c r="D115" s="554"/>
      <c r="E115" s="583"/>
      <c r="F115" s="583"/>
      <c r="G115" s="583"/>
      <c r="H115" s="583"/>
      <c r="I115" s="583"/>
      <c r="J115" s="583"/>
      <c r="K115" s="584"/>
      <c r="L115" s="585"/>
      <c r="M115" s="586"/>
      <c r="N115" s="1152"/>
      <c r="O115" s="1152"/>
      <c r="P115" s="267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2616</v>
      </c>
      <c r="C117" s="554"/>
      <c r="D117" s="554"/>
      <c r="E117" s="554"/>
      <c r="F117" s="554"/>
      <c r="G117" s="554"/>
      <c r="H117" s="583"/>
      <c r="I117" s="583"/>
      <c r="J117" s="583"/>
      <c r="K117" s="584"/>
      <c r="L117" s="585"/>
      <c r="M117" s="586"/>
      <c r="N117" s="1152"/>
      <c r="O117" s="1152"/>
      <c r="P117" s="267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2699</v>
      </c>
      <c r="C119" s="583"/>
      <c r="D119" s="583"/>
      <c r="E119" s="583"/>
      <c r="F119" s="583"/>
      <c r="G119" s="583"/>
      <c r="H119" s="583"/>
      <c r="I119" s="583"/>
      <c r="J119" s="583"/>
      <c r="K119" s="583"/>
      <c r="L119" s="2682"/>
      <c r="M119" s="2683"/>
      <c r="N119" s="1153"/>
      <c r="O119" s="1153"/>
      <c r="P119" s="268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78"/>
      <c r="Q121" s="559"/>
    </row>
    <row r="122" spans="1:17" s="471" customFormat="1" ht="14.4"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2618</v>
      </c>
      <c r="C123" s="554"/>
      <c r="D123" s="554"/>
      <c r="E123" s="554"/>
      <c r="F123" s="583"/>
      <c r="G123" s="583"/>
      <c r="H123" s="583"/>
      <c r="I123" s="583"/>
      <c r="J123" s="583"/>
      <c r="K123" s="584"/>
      <c r="L123" s="585"/>
      <c r="M123" s="586"/>
      <c r="N123" s="1152"/>
      <c r="O123" s="1152"/>
      <c r="P123" s="267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7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4.4" thickBot="1">
      <c r="A128" s="553"/>
      <c r="B128" s="543"/>
      <c r="C128" s="560"/>
      <c r="D128" s="536"/>
      <c r="E128" s="536"/>
      <c r="F128" s="536"/>
      <c r="G128" s="560"/>
      <c r="H128" s="562"/>
      <c r="I128" s="562"/>
      <c r="J128" s="562"/>
      <c r="K128" s="562"/>
      <c r="L128" s="562"/>
      <c r="M128" s="563"/>
      <c r="N128" s="1154"/>
      <c r="O128" s="1154"/>
      <c r="P128" s="2678"/>
      <c r="Q128" s="559"/>
    </row>
    <row r="129" spans="1:17" ht="14.4" thickTop="1">
      <c r="A129" s="599"/>
      <c r="B129" s="538">
        <f>B46</f>
        <v>111</v>
      </c>
      <c r="C129" s="554"/>
      <c r="D129" s="554"/>
      <c r="E129" s="554"/>
      <c r="F129" s="554"/>
      <c r="G129" s="583"/>
      <c r="H129" s="583"/>
      <c r="I129" s="583"/>
      <c r="J129" s="583"/>
      <c r="K129" s="584"/>
      <c r="L129" s="585"/>
      <c r="M129" s="586"/>
      <c r="N129" s="1152"/>
      <c r="O129" s="1152"/>
      <c r="P129" s="2677"/>
      <c r="Q129" s="504"/>
    </row>
    <row r="130" spans="1:17" ht="14.4" thickBot="1">
      <c r="A130" s="534"/>
      <c r="B130" s="543"/>
      <c r="C130" s="560"/>
      <c r="D130" s="560"/>
      <c r="E130" s="560"/>
      <c r="F130" s="560"/>
      <c r="G130" s="536"/>
      <c r="H130" s="536"/>
      <c r="I130" s="536"/>
      <c r="J130" s="536"/>
      <c r="K130" s="536"/>
      <c r="L130" s="536"/>
      <c r="M130" s="537"/>
      <c r="N130" s="1153"/>
      <c r="O130" s="1153"/>
      <c r="P130" s="2677"/>
      <c r="Q130" s="504"/>
    </row>
    <row r="131" spans="1:17" ht="14.4" thickTop="1">
      <c r="A131" s="599"/>
      <c r="B131" s="546">
        <f>B47</f>
        <v>111</v>
      </c>
      <c r="C131" s="523"/>
      <c r="D131" s="523"/>
      <c r="E131" s="523"/>
      <c r="F131" s="523"/>
      <c r="G131" s="587"/>
      <c r="H131" s="587"/>
      <c r="I131" s="587"/>
      <c r="J131" s="587"/>
      <c r="K131" s="523"/>
      <c r="L131" s="524"/>
      <c r="M131" s="590"/>
      <c r="N131" s="1152"/>
      <c r="O131" s="1152"/>
      <c r="P131" s="2677"/>
      <c r="Q131" s="504"/>
    </row>
    <row r="132" spans="1:17" ht="14.4"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2526</v>
      </c>
      <c r="B1" s="2662" t="s">
        <v>2700</v>
      </c>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79"/>
      <c r="D2" s="1124" t="e">
        <f ca="1">SUMIF(INDIRECT("'"&amp;F2&amp;"'"&amp;"!A:A"),"承租人权益价值",INDIRECT("'"&amp;F2&amp;"'"&amp;"!c:c"))</f>
        <v>#REF!</v>
      </c>
      <c r="E2" s="2580" t="s">
        <v>2326</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73514.720000000016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9" t="s">
        <v>2646</v>
      </c>
      <c r="AC4" s="3218" t="s">
        <v>2647</v>
      </c>
    </row>
    <row r="5" spans="1:29">
      <c r="A5" s="404"/>
      <c r="B5" s="405"/>
      <c r="C5" s="3238" t="s">
        <v>2540</v>
      </c>
      <c r="D5" s="3239"/>
      <c r="E5" s="3245" t="s">
        <v>2541</v>
      </c>
      <c r="F5" s="3246"/>
      <c r="G5" s="3238" t="s">
        <v>2542</v>
      </c>
      <c r="H5" s="3239"/>
      <c r="I5" s="3238" t="s">
        <v>2543</v>
      </c>
      <c r="J5" s="3239"/>
      <c r="K5" s="610"/>
      <c r="L5" s="1130"/>
      <c r="M5" s="1131"/>
      <c r="N5" s="1131"/>
      <c r="O5" s="1131"/>
      <c r="P5" s="3226"/>
      <c r="Q5" s="3227"/>
      <c r="R5" s="3232"/>
      <c r="S5" s="3233"/>
      <c r="T5" s="3232"/>
      <c r="U5" s="3233"/>
      <c r="V5" s="3217"/>
      <c r="W5" s="3217"/>
      <c r="X5" s="1804"/>
      <c r="Y5" s="3232"/>
      <c r="Z5" s="3233"/>
      <c r="AA5" s="3219"/>
      <c r="AB5" s="3219"/>
      <c r="AC5" s="3219"/>
    </row>
    <row r="6" spans="1:29" ht="15" thickBot="1">
      <c r="A6" s="406"/>
      <c r="B6" s="407"/>
      <c r="C6" s="3236" t="s">
        <v>2544</v>
      </c>
      <c r="D6" s="3237"/>
      <c r="E6" s="3243" t="s">
        <v>2544</v>
      </c>
      <c r="F6" s="3244"/>
      <c r="G6" s="3236" t="s">
        <v>2544</v>
      </c>
      <c r="H6" s="3237"/>
      <c r="I6" s="3236" t="s">
        <v>2544</v>
      </c>
      <c r="J6" s="3237"/>
      <c r="K6" s="610" t="s">
        <v>2545</v>
      </c>
      <c r="L6" s="1130"/>
      <c r="M6" s="1131"/>
      <c r="N6" s="1131"/>
      <c r="O6" s="1131"/>
      <c r="P6" s="3228"/>
      <c r="Q6" s="3229"/>
      <c r="R6" s="3232"/>
      <c r="S6" s="3233"/>
      <c r="T6" s="3234"/>
      <c r="U6" s="3235"/>
      <c r="V6" s="3217"/>
      <c r="W6" s="3217"/>
      <c r="X6" s="1804"/>
      <c r="Y6" s="3234"/>
      <c r="Z6" s="3235"/>
      <c r="AA6" s="3220"/>
      <c r="AB6" s="3220"/>
      <c r="AC6" s="3220"/>
    </row>
    <row r="7" spans="1:29" s="117" customFormat="1" ht="15" thickBot="1">
      <c r="A7" s="408" t="s">
        <v>2546</v>
      </c>
      <c r="B7" s="409"/>
      <c r="C7" s="410">
        <f>'数据-取费表'!B2</f>
        <v>43980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0" t="s">
        <v>2547</v>
      </c>
      <c r="Q7" s="3242"/>
      <c r="R7" s="770" t="s">
        <v>17</v>
      </c>
      <c r="S7" s="771">
        <f t="shared" ref="S7:S15" si="0">F7</f>
        <v>0</v>
      </c>
      <c r="T7" s="770" t="s">
        <v>17</v>
      </c>
      <c r="U7" s="771">
        <f t="shared" ref="U7:U15" si="1">H7</f>
        <v>0</v>
      </c>
      <c r="V7" s="770" t="s">
        <v>17</v>
      </c>
      <c r="W7" s="771">
        <f t="shared" ref="W7:W15" si="2">J7</f>
        <v>0</v>
      </c>
      <c r="X7" s="772"/>
      <c r="Y7" s="3240" t="s">
        <v>2547</v>
      </c>
      <c r="Z7" s="3241"/>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0" t="s">
        <v>2550</v>
      </c>
      <c r="Q8" s="3241"/>
      <c r="R8" s="770" t="s">
        <v>17</v>
      </c>
      <c r="S8" s="771">
        <f t="shared" si="0"/>
        <v>0</v>
      </c>
      <c r="T8" s="770" t="s">
        <v>17</v>
      </c>
      <c r="U8" s="771">
        <f t="shared" si="1"/>
        <v>0</v>
      </c>
      <c r="V8" s="770" t="s">
        <v>17</v>
      </c>
      <c r="W8" s="771">
        <f t="shared" si="2"/>
        <v>0</v>
      </c>
      <c r="X8" s="772"/>
      <c r="Y8" s="3240" t="s">
        <v>2550</v>
      </c>
      <c r="Z8" s="3241"/>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786"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11"/>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11"/>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6"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11"/>
      <c r="Q14" s="1786">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69">
      <c r="A15" s="440" t="s">
        <v>2557</v>
      </c>
      <c r="B15" s="69" t="s">
        <v>2701</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2558</v>
      </c>
      <c r="Q15" s="1801" t="str">
        <f t="shared" si="6"/>
        <v>产业集聚程度</v>
      </c>
      <c r="R15" s="774" t="s">
        <v>17</v>
      </c>
      <c r="S15" s="775">
        <f t="shared" si="0"/>
        <v>100</v>
      </c>
      <c r="T15" s="774" t="s">
        <v>17</v>
      </c>
      <c r="U15" s="775">
        <f t="shared" si="1"/>
        <v>100</v>
      </c>
      <c r="V15" s="774" t="s">
        <v>17</v>
      </c>
      <c r="W15" s="775">
        <f t="shared" si="2"/>
        <v>100</v>
      </c>
      <c r="X15" s="1804"/>
      <c r="Y15" s="3213" t="s">
        <v>2558</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40"/>
      <c r="M16" s="1131"/>
      <c r="N16" s="1131"/>
      <c r="O16" s="1139"/>
      <c r="P16" s="3214"/>
      <c r="Q16" s="1801"/>
      <c r="R16" s="774"/>
      <c r="S16" s="775"/>
      <c r="T16" s="774"/>
      <c r="U16" s="775"/>
      <c r="V16" s="774"/>
      <c r="W16" s="775"/>
      <c r="X16" s="1804"/>
      <c r="Y16" s="3214"/>
      <c r="Z16" s="1805"/>
      <c r="AA16" s="1802">
        <v>1</v>
      </c>
      <c r="AB16" s="1802">
        <v>1</v>
      </c>
      <c r="AC16" s="1802">
        <v>1</v>
      </c>
    </row>
    <row r="17" spans="1:29" ht="96.6">
      <c r="A17" s="428"/>
      <c r="B17" s="451" t="s">
        <v>2094</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01" t="str">
        <f>B17</f>
        <v>交通便捷度</v>
      </c>
      <c r="R17" s="774" t="s">
        <v>17</v>
      </c>
      <c r="S17" s="775">
        <f>F17</f>
        <v>100</v>
      </c>
      <c r="T17" s="774" t="s">
        <v>17</v>
      </c>
      <c r="U17" s="775">
        <f>H17</f>
        <v>100</v>
      </c>
      <c r="V17" s="774" t="s">
        <v>17</v>
      </c>
      <c r="W17" s="775">
        <f>J17</f>
        <v>100</v>
      </c>
      <c r="X17" s="1804"/>
      <c r="Y17" s="3214"/>
      <c r="Z17" s="1805" t="str">
        <f>Q17</f>
        <v>交通便捷度</v>
      </c>
      <c r="AA17" s="1802">
        <f t="shared" si="3"/>
        <v>1</v>
      </c>
      <c r="AB17" s="1802">
        <f t="shared" si="4"/>
        <v>1</v>
      </c>
      <c r="AC17" s="1802">
        <f t="shared" si="5"/>
        <v>1</v>
      </c>
    </row>
    <row r="18" spans="1:29" ht="15">
      <c r="A18" s="428"/>
      <c r="B18" s="456"/>
      <c r="C18" s="2601"/>
      <c r="D18" s="450"/>
      <c r="E18" s="2603"/>
      <c r="F18" s="453"/>
      <c r="G18" s="2602"/>
      <c r="H18" s="448"/>
      <c r="I18" s="2603"/>
      <c r="J18" s="448"/>
      <c r="K18" s="615"/>
      <c r="L18" s="1140"/>
      <c r="M18" s="1131"/>
      <c r="N18" s="1131"/>
      <c r="O18" s="1139"/>
      <c r="P18" s="3214"/>
      <c r="Q18" s="1801"/>
      <c r="R18" s="774"/>
      <c r="S18" s="775"/>
      <c r="T18" s="774"/>
      <c r="U18" s="775"/>
      <c r="V18" s="774"/>
      <c r="W18" s="775"/>
      <c r="X18" s="1804"/>
      <c r="Y18" s="3214"/>
      <c r="Z18" s="1805"/>
      <c r="AA18" s="1802">
        <v>1</v>
      </c>
      <c r="AB18" s="1802">
        <v>1</v>
      </c>
      <c r="AC18" s="1802">
        <v>1</v>
      </c>
    </row>
    <row r="19" spans="1:29" ht="41.4">
      <c r="A19" s="428"/>
      <c r="B19" s="451" t="s">
        <v>2686</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01" t="str">
        <f>B19</f>
        <v>公共配套设施</v>
      </c>
      <c r="R19" s="774" t="s">
        <v>17</v>
      </c>
      <c r="S19" s="775">
        <f>F19</f>
        <v>100</v>
      </c>
      <c r="T19" s="774" t="s">
        <v>17</v>
      </c>
      <c r="U19" s="775">
        <f>H19</f>
        <v>100</v>
      </c>
      <c r="V19" s="774" t="s">
        <v>17</v>
      </c>
      <c r="W19" s="775">
        <f>J19</f>
        <v>100</v>
      </c>
      <c r="X19" s="1804"/>
      <c r="Y19" s="3214"/>
      <c r="Z19" s="1805" t="str">
        <f>Q19</f>
        <v>公共配套设施</v>
      </c>
      <c r="AA19" s="1802">
        <f t="shared" si="3"/>
        <v>1</v>
      </c>
      <c r="AB19" s="1802">
        <f t="shared" si="4"/>
        <v>1</v>
      </c>
      <c r="AC19" s="1802">
        <f t="shared" si="5"/>
        <v>1</v>
      </c>
    </row>
    <row r="20" spans="1:29" ht="15">
      <c r="A20" s="428"/>
      <c r="B20" s="456"/>
      <c r="C20" s="447"/>
      <c r="D20" s="448"/>
      <c r="E20" s="2598"/>
      <c r="F20" s="449"/>
      <c r="G20" s="2597"/>
      <c r="H20" s="448"/>
      <c r="I20" s="2598"/>
      <c r="J20" s="448"/>
      <c r="K20" s="615"/>
      <c r="L20" s="1140"/>
      <c r="M20" s="1131"/>
      <c r="N20" s="1131"/>
      <c r="O20" s="1139"/>
      <c r="P20" s="3214"/>
      <c r="Q20" s="1801"/>
      <c r="R20" s="774"/>
      <c r="S20" s="775"/>
      <c r="T20" s="774"/>
      <c r="U20" s="775"/>
      <c r="V20" s="774"/>
      <c r="W20" s="775"/>
      <c r="X20" s="1804"/>
      <c r="Y20" s="3214"/>
      <c r="Z20" s="1805"/>
      <c r="AA20" s="1802">
        <v>1</v>
      </c>
      <c r="AB20" s="1802">
        <v>1</v>
      </c>
      <c r="AC20" s="1802">
        <v>1</v>
      </c>
    </row>
    <row r="21" spans="1:29" ht="41.4">
      <c r="A21" s="428"/>
      <c r="B21" s="1384" t="s">
        <v>2687</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01" t="str">
        <f>B21</f>
        <v>基础设施水平</v>
      </c>
      <c r="R21" s="774" t="s">
        <v>17</v>
      </c>
      <c r="S21" s="775">
        <f>F21</f>
        <v>100</v>
      </c>
      <c r="T21" s="774" t="s">
        <v>17</v>
      </c>
      <c r="U21" s="775">
        <f>H21</f>
        <v>100</v>
      </c>
      <c r="V21" s="774" t="s">
        <v>17</v>
      </c>
      <c r="W21" s="775">
        <f>J21</f>
        <v>100</v>
      </c>
      <c r="X21" s="1804"/>
      <c r="Y21" s="3214"/>
      <c r="Z21" s="1805" t="str">
        <f>Q21</f>
        <v>基础设施水平</v>
      </c>
      <c r="AA21" s="1802">
        <f t="shared" ref="AA21" si="8">D21/F21</f>
        <v>1</v>
      </c>
      <c r="AB21" s="1802">
        <f t="shared" ref="AB21" si="9">D21/H21</f>
        <v>1</v>
      </c>
      <c r="AC21" s="1802">
        <f t="shared" ref="AC21" si="10">D21/J21</f>
        <v>1</v>
      </c>
    </row>
    <row r="22" spans="1:29" ht="15">
      <c r="A22" s="428"/>
      <c r="B22" s="1384"/>
      <c r="C22" s="2601"/>
      <c r="D22" s="448"/>
      <c r="E22" s="447"/>
      <c r="F22" s="449"/>
      <c r="G22" s="447"/>
      <c r="H22" s="448"/>
      <c r="I22" s="447"/>
      <c r="J22" s="448"/>
      <c r="K22" s="1383"/>
      <c r="L22" s="1140"/>
      <c r="M22" s="1131"/>
      <c r="N22" s="1131"/>
      <c r="O22" s="1139"/>
      <c r="P22" s="3214"/>
      <c r="Q22" s="1801"/>
      <c r="R22" s="774"/>
      <c r="S22" s="775"/>
      <c r="T22" s="774"/>
      <c r="U22" s="775"/>
      <c r="V22" s="774"/>
      <c r="W22" s="775"/>
      <c r="X22" s="1804"/>
      <c r="Y22" s="3214"/>
      <c r="Z22" s="1805"/>
      <c r="AA22" s="1802">
        <v>1</v>
      </c>
      <c r="AB22" s="1802">
        <v>1</v>
      </c>
      <c r="AC22" s="1802">
        <v>1</v>
      </c>
    </row>
    <row r="23" spans="1:29" ht="82.8">
      <c r="A23" s="428"/>
      <c r="B23" s="451" t="s">
        <v>2688</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01" t="str">
        <f>B23</f>
        <v>环境质量</v>
      </c>
      <c r="R23" s="774" t="s">
        <v>17</v>
      </c>
      <c r="S23" s="775">
        <f>F23</f>
        <v>100</v>
      </c>
      <c r="T23" s="774" t="s">
        <v>17</v>
      </c>
      <c r="U23" s="775">
        <f>H23</f>
        <v>100</v>
      </c>
      <c r="V23" s="774" t="s">
        <v>17</v>
      </c>
      <c r="W23" s="775">
        <f>J23</f>
        <v>100</v>
      </c>
      <c r="X23" s="1804"/>
      <c r="Y23" s="3214"/>
      <c r="Z23" s="1805" t="str">
        <f>Q23</f>
        <v>环境质量</v>
      </c>
      <c r="AA23" s="1802">
        <f t="shared" si="3"/>
        <v>1</v>
      </c>
      <c r="AB23" s="1802">
        <f t="shared" si="4"/>
        <v>1</v>
      </c>
      <c r="AC23" s="1802">
        <f t="shared" si="5"/>
        <v>1</v>
      </c>
    </row>
    <row r="24" spans="1:29" ht="15">
      <c r="A24" s="428"/>
      <c r="B24" s="1384"/>
      <c r="C24" s="447"/>
      <c r="D24" s="448"/>
      <c r="E24" s="2598"/>
      <c r="F24" s="449"/>
      <c r="G24" s="2597"/>
      <c r="H24" s="448"/>
      <c r="I24" s="2598"/>
      <c r="J24" s="448"/>
      <c r="K24" s="615"/>
      <c r="L24" s="1140"/>
      <c r="M24" s="1131"/>
      <c r="N24" s="1131"/>
      <c r="O24" s="1139"/>
      <c r="P24" s="3214"/>
      <c r="Q24" s="1801"/>
      <c r="R24" s="774"/>
      <c r="S24" s="775"/>
      <c r="T24" s="774"/>
      <c r="U24" s="775"/>
      <c r="V24" s="774"/>
      <c r="W24" s="775"/>
      <c r="X24" s="1804"/>
      <c r="Y24" s="3214"/>
      <c r="Z24" s="1805"/>
      <c r="AA24" s="1802">
        <v>1</v>
      </c>
      <c r="AB24" s="1802">
        <v>1</v>
      </c>
      <c r="AC24" s="1802">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01">
        <f>B25</f>
        <v>111</v>
      </c>
      <c r="R25" s="774" t="s">
        <v>17</v>
      </c>
      <c r="S25" s="775">
        <f>F25</f>
        <v>100</v>
      </c>
      <c r="T25" s="774" t="s">
        <v>17</v>
      </c>
      <c r="U25" s="775">
        <f>H25</f>
        <v>100</v>
      </c>
      <c r="V25" s="774" t="s">
        <v>17</v>
      </c>
      <c r="W25" s="775">
        <f>J25</f>
        <v>100</v>
      </c>
      <c r="X25" s="1804"/>
      <c r="Y25" s="3214"/>
      <c r="Z25" s="1805">
        <f>Q25</f>
        <v>111</v>
      </c>
      <c r="AA25" s="1802">
        <f t="shared" si="3"/>
        <v>1</v>
      </c>
      <c r="AB25" s="1802">
        <f t="shared" si="4"/>
        <v>1</v>
      </c>
      <c r="AC25" s="1802">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01">
        <f t="shared" ref="Q26:Q40" si="11">B26</f>
        <v>111</v>
      </c>
      <c r="R26" s="774" t="s">
        <v>17</v>
      </c>
      <c r="S26" s="775">
        <f>F26</f>
        <v>100</v>
      </c>
      <c r="T26" s="774" t="s">
        <v>17</v>
      </c>
      <c r="U26" s="775">
        <f>H26</f>
        <v>100</v>
      </c>
      <c r="V26" s="774" t="s">
        <v>17</v>
      </c>
      <c r="W26" s="775">
        <f>J26</f>
        <v>100</v>
      </c>
      <c r="X26" s="1804"/>
      <c r="Y26" s="3214"/>
      <c r="Z26" s="1805">
        <f>Q26</f>
        <v>111</v>
      </c>
      <c r="AA26" s="1802">
        <f t="shared" si="3"/>
        <v>1</v>
      </c>
      <c r="AB26" s="1802">
        <f t="shared" si="4"/>
        <v>1</v>
      </c>
      <c r="AC26" s="1802">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86">
        <f t="shared" si="11"/>
        <v>111</v>
      </c>
      <c r="R27" s="770" t="s">
        <v>17</v>
      </c>
      <c r="S27" s="771">
        <f>F27</f>
        <v>100</v>
      </c>
      <c r="T27" s="770" t="s">
        <v>17</v>
      </c>
      <c r="U27" s="771">
        <f>H27</f>
        <v>100</v>
      </c>
      <c r="V27" s="770" t="s">
        <v>17</v>
      </c>
      <c r="W27" s="771">
        <f>J27</f>
        <v>100</v>
      </c>
      <c r="X27" s="772"/>
      <c r="Y27" s="3214"/>
      <c r="Z27" s="55">
        <f>Q27</f>
        <v>111</v>
      </c>
      <c r="AA27" s="1802">
        <f>D27/F27</f>
        <v>1</v>
      </c>
      <c r="AB27" s="1802">
        <f>D27/H27</f>
        <v>1</v>
      </c>
      <c r="AC27" s="1802">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01">
        <f t="shared" si="11"/>
        <v>111</v>
      </c>
      <c r="R28" s="774" t="s">
        <v>17</v>
      </c>
      <c r="S28" s="775">
        <f t="shared" ref="S28:S40" si="12">F28</f>
        <v>100</v>
      </c>
      <c r="T28" s="774" t="s">
        <v>17</v>
      </c>
      <c r="U28" s="775">
        <f t="shared" ref="U28:U40" si="13">H28</f>
        <v>100</v>
      </c>
      <c r="V28" s="774" t="s">
        <v>17</v>
      </c>
      <c r="W28" s="775">
        <f t="shared" ref="W28:W40" si="14">J28</f>
        <v>100</v>
      </c>
      <c r="X28" s="1804"/>
      <c r="Y28" s="3214"/>
      <c r="Z28" s="1805">
        <f t="shared" ref="Z28:Z40" si="15">Q28</f>
        <v>111</v>
      </c>
      <c r="AA28" s="1802">
        <f t="shared" si="3"/>
        <v>1</v>
      </c>
      <c r="AB28" s="1802">
        <f t="shared" si="4"/>
        <v>1</v>
      </c>
      <c r="AC28" s="1802">
        <f t="shared" si="5"/>
        <v>1</v>
      </c>
    </row>
    <row r="29" spans="1:29" ht="30">
      <c r="A29" s="466" t="s">
        <v>2561</v>
      </c>
      <c r="B29" s="71" t="s">
        <v>2691</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15" t="s">
        <v>2563</v>
      </c>
      <c r="Q29" s="1801" t="str">
        <f t="shared" si="11"/>
        <v>建筑类型</v>
      </c>
      <c r="R29" s="774" t="s">
        <v>17</v>
      </c>
      <c r="S29" s="775">
        <f t="shared" si="12"/>
        <v>100</v>
      </c>
      <c r="T29" s="774" t="s">
        <v>17</v>
      </c>
      <c r="U29" s="775">
        <f t="shared" si="13"/>
        <v>100</v>
      </c>
      <c r="V29" s="774" t="s">
        <v>17</v>
      </c>
      <c r="W29" s="775">
        <f t="shared" si="14"/>
        <v>100</v>
      </c>
      <c r="X29" s="1804"/>
      <c r="Y29" s="3216" t="s">
        <v>2563</v>
      </c>
      <c r="Z29" s="1805" t="str">
        <f t="shared" si="15"/>
        <v>建筑类型</v>
      </c>
      <c r="AA29" s="1802">
        <f t="shared" si="3"/>
        <v>1</v>
      </c>
      <c r="AB29" s="1802">
        <f t="shared" si="4"/>
        <v>1</v>
      </c>
      <c r="AC29" s="180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02" t="e">
        <f t="shared" si="3"/>
        <v>#N/A</v>
      </c>
      <c r="AB30" s="1802" t="e">
        <f t="shared" si="4"/>
        <v>#N/A</v>
      </c>
      <c r="AC30" s="180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01" t="str">
        <f t="shared" si="11"/>
        <v>建筑结构</v>
      </c>
      <c r="R31" s="774" t="s">
        <v>17</v>
      </c>
      <c r="S31" s="775">
        <f t="shared" si="12"/>
        <v>100</v>
      </c>
      <c r="T31" s="774" t="s">
        <v>17</v>
      </c>
      <c r="U31" s="775">
        <f t="shared" si="13"/>
        <v>100</v>
      </c>
      <c r="V31" s="774" t="s">
        <v>17</v>
      </c>
      <c r="W31" s="775">
        <f t="shared" si="14"/>
        <v>100</v>
      </c>
      <c r="X31" s="1804"/>
      <c r="Y31" s="3216"/>
      <c r="Z31" s="1805" t="str">
        <f t="shared" si="15"/>
        <v>建筑结构</v>
      </c>
      <c r="AA31" s="1802">
        <f t="shared" si="3"/>
        <v>1</v>
      </c>
      <c r="AB31" s="1802">
        <f t="shared" si="4"/>
        <v>1</v>
      </c>
      <c r="AC31" s="180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01" t="str">
        <f t="shared" si="11"/>
        <v>公共部分装修</v>
      </c>
      <c r="R32" s="774" t="s">
        <v>17</v>
      </c>
      <c r="S32" s="775">
        <f t="shared" si="12"/>
        <v>100</v>
      </c>
      <c r="T32" s="774" t="s">
        <v>17</v>
      </c>
      <c r="U32" s="775">
        <f t="shared" si="13"/>
        <v>100</v>
      </c>
      <c r="V32" s="774" t="s">
        <v>17</v>
      </c>
      <c r="W32" s="775">
        <f t="shared" si="14"/>
        <v>100</v>
      </c>
      <c r="X32" s="1804"/>
      <c r="Y32" s="3216"/>
      <c r="Z32" s="1805" t="str">
        <f t="shared" si="15"/>
        <v>公共部分装修</v>
      </c>
      <c r="AA32" s="1802">
        <f t="shared" si="3"/>
        <v>1</v>
      </c>
      <c r="AB32" s="1802">
        <f t="shared" si="4"/>
        <v>1</v>
      </c>
      <c r="AC32" s="180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01" t="str">
        <f t="shared" si="11"/>
        <v>成新度</v>
      </c>
      <c r="R33" s="774" t="s">
        <v>17</v>
      </c>
      <c r="S33" s="775" t="e">
        <f t="shared" si="12"/>
        <v>#N/A</v>
      </c>
      <c r="T33" s="774" t="s">
        <v>17</v>
      </c>
      <c r="U33" s="775" t="e">
        <f t="shared" si="13"/>
        <v>#N/A</v>
      </c>
      <c r="V33" s="774" t="s">
        <v>17</v>
      </c>
      <c r="W33" s="775" t="e">
        <f t="shared" si="14"/>
        <v>#N/A</v>
      </c>
      <c r="X33" s="1804"/>
      <c r="Y33" s="3216"/>
      <c r="Z33" s="1805" t="str">
        <f t="shared" si="15"/>
        <v>成新度</v>
      </c>
      <c r="AA33" s="1802" t="e">
        <f t="shared" si="3"/>
        <v>#N/A</v>
      </c>
      <c r="AB33" s="1802" t="e">
        <f t="shared" si="4"/>
        <v>#N/A</v>
      </c>
      <c r="AC33" s="180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86"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2563</v>
      </c>
      <c r="Q35" s="1801" t="str">
        <f t="shared" si="11"/>
        <v>市政基础设施</v>
      </c>
      <c r="R35" s="774" t="s">
        <v>17</v>
      </c>
      <c r="S35" s="775">
        <f t="shared" si="12"/>
        <v>100</v>
      </c>
      <c r="T35" s="774" t="s">
        <v>17</v>
      </c>
      <c r="U35" s="775">
        <f t="shared" si="13"/>
        <v>100</v>
      </c>
      <c r="V35" s="774" t="s">
        <v>17</v>
      </c>
      <c r="W35" s="775">
        <f t="shared" si="14"/>
        <v>100</v>
      </c>
      <c r="X35" s="1804"/>
      <c r="Y35" s="3216" t="s">
        <v>2563</v>
      </c>
      <c r="Z35" s="1805" t="str">
        <f t="shared" si="15"/>
        <v>市政基础设施</v>
      </c>
      <c r="AA35" s="1802">
        <f t="shared" si="3"/>
        <v>1</v>
      </c>
      <c r="AB35" s="1802">
        <f t="shared" si="4"/>
        <v>1</v>
      </c>
      <c r="AC35" s="180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01" t="str">
        <f t="shared" si="11"/>
        <v>内部装修</v>
      </c>
      <c r="R36" s="774" t="s">
        <v>17</v>
      </c>
      <c r="S36" s="775">
        <f t="shared" si="12"/>
        <v>100</v>
      </c>
      <c r="T36" s="774" t="s">
        <v>17</v>
      </c>
      <c r="U36" s="775">
        <f t="shared" si="13"/>
        <v>100</v>
      </c>
      <c r="V36" s="774" t="s">
        <v>17</v>
      </c>
      <c r="W36" s="775">
        <f t="shared" si="14"/>
        <v>100</v>
      </c>
      <c r="X36" s="1804"/>
      <c r="Y36" s="3216"/>
      <c r="Z36" s="1805" t="str">
        <f t="shared" si="15"/>
        <v>内部装修</v>
      </c>
      <c r="AA36" s="1802">
        <f t="shared" si="3"/>
        <v>1</v>
      </c>
      <c r="AB36" s="1802">
        <f t="shared" si="4"/>
        <v>1</v>
      </c>
      <c r="AC36" s="180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01" t="str">
        <f t="shared" si="11"/>
        <v>内部装修状况</v>
      </c>
      <c r="R37" s="774" t="s">
        <v>17</v>
      </c>
      <c r="S37" s="775">
        <f t="shared" si="12"/>
        <v>100</v>
      </c>
      <c r="T37" s="774" t="s">
        <v>17</v>
      </c>
      <c r="U37" s="775">
        <f t="shared" si="13"/>
        <v>100</v>
      </c>
      <c r="V37" s="774" t="s">
        <v>17</v>
      </c>
      <c r="W37" s="775">
        <f t="shared" si="14"/>
        <v>100</v>
      </c>
      <c r="X37" s="1804"/>
      <c r="Y37" s="3216"/>
      <c r="Z37" s="1805" t="str">
        <f t="shared" si="15"/>
        <v>内部装修状况</v>
      </c>
      <c r="AA37" s="1802">
        <f t="shared" si="3"/>
        <v>1</v>
      </c>
      <c r="AB37" s="1802">
        <f t="shared" si="4"/>
        <v>1</v>
      </c>
      <c r="AC37" s="1802">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02">
        <f t="shared" si="3"/>
        <v>1</v>
      </c>
      <c r="AB38" s="1802">
        <f t="shared" si="4"/>
        <v>1</v>
      </c>
      <c r="AC38" s="1802">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01">
        <f t="shared" si="11"/>
        <v>111</v>
      </c>
      <c r="R39" s="774" t="s">
        <v>17</v>
      </c>
      <c r="S39" s="775">
        <f t="shared" si="12"/>
        <v>100</v>
      </c>
      <c r="T39" s="774" t="s">
        <v>17</v>
      </c>
      <c r="U39" s="775">
        <f t="shared" si="13"/>
        <v>100</v>
      </c>
      <c r="V39" s="774" t="s">
        <v>17</v>
      </c>
      <c r="W39" s="775">
        <f t="shared" si="14"/>
        <v>100</v>
      </c>
      <c r="X39" s="1804"/>
      <c r="Y39" s="3216"/>
      <c r="Z39" s="1805">
        <f t="shared" si="15"/>
        <v>111</v>
      </c>
      <c r="AA39" s="1802">
        <f t="shared" si="3"/>
        <v>1</v>
      </c>
      <c r="AB39" s="1802">
        <f t="shared" si="4"/>
        <v>1</v>
      </c>
      <c r="AC39" s="1802">
        <f t="shared" si="5"/>
        <v>1</v>
      </c>
    </row>
    <row r="40" spans="1:29" ht="15.6"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4"/>
      <c r="Q40" s="1801">
        <f t="shared" si="11"/>
        <v>111</v>
      </c>
      <c r="R40" s="774" t="s">
        <v>17</v>
      </c>
      <c r="S40" s="775">
        <f t="shared" si="12"/>
        <v>100</v>
      </c>
      <c r="T40" s="774" t="s">
        <v>17</v>
      </c>
      <c r="U40" s="775">
        <f t="shared" si="13"/>
        <v>100</v>
      </c>
      <c r="V40" s="774" t="s">
        <v>17</v>
      </c>
      <c r="W40" s="775">
        <f t="shared" si="14"/>
        <v>100</v>
      </c>
      <c r="X40" s="1804"/>
      <c r="Y40" s="3254"/>
      <c r="Z40" s="1805">
        <f t="shared" si="15"/>
        <v>111</v>
      </c>
      <c r="AA40" s="1802">
        <f t="shared" si="3"/>
        <v>1</v>
      </c>
      <c r="AB40" s="1802">
        <f t="shared" si="4"/>
        <v>1</v>
      </c>
      <c r="AC40" s="1802">
        <f t="shared" si="5"/>
        <v>1</v>
      </c>
    </row>
    <row r="41" spans="1:29" ht="14.4">
      <c r="A41" s="479" t="s">
        <v>2575</v>
      </c>
      <c r="B41" s="480"/>
      <c r="C41" s="1407" t="s">
        <v>1</v>
      </c>
      <c r="D41" s="1408"/>
      <c r="E41" s="1409"/>
      <c r="F41" s="1410"/>
      <c r="G41" s="1411"/>
      <c r="H41" s="1412"/>
      <c r="I41" s="1409"/>
      <c r="J41" s="1412"/>
      <c r="K41" s="783"/>
      <c r="L41" s="1143"/>
      <c r="M41" s="1144"/>
      <c r="N41" s="1131"/>
      <c r="O41" s="1144"/>
      <c r="P41" s="3211" t="str">
        <f>A41</f>
        <v>成交单价（元/平方米）</v>
      </c>
      <c r="Q41" s="3211"/>
      <c r="R41" s="3247">
        <f>E41</f>
        <v>0</v>
      </c>
      <c r="S41" s="3247"/>
      <c r="T41" s="3247">
        <f>G41</f>
        <v>0</v>
      </c>
      <c r="U41" s="3247"/>
      <c r="V41" s="3247">
        <f>I41</f>
        <v>0</v>
      </c>
      <c r="W41" s="3247"/>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1" t="str">
        <f>A42</f>
        <v>比较价值（元/平方米）</v>
      </c>
      <c r="Q42" s="3211"/>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48" t="e">
        <f>IF(F1="售价",ROUND(AVERAGE(R42:V42),0),ROUND(AVERAGE(R42:V42),1))</f>
        <v>#DIV/0!</v>
      </c>
      <c r="S43" s="3248"/>
      <c r="T43" s="3248"/>
      <c r="U43" s="3248"/>
      <c r="V43" s="3248"/>
      <c r="W43" s="324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29"/>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22"/>
      <c r="F1" s="2577"/>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79"/>
      <c r="D2" s="1124" t="e">
        <f ca="1">SUMIF(INDIRECT("'"&amp;F2&amp;"'"&amp;"!A:A"),"承租人权益价值",INDIRECT("'"&amp;F2&amp;"'"&amp;"!c:c"))</f>
        <v>#REF!</v>
      </c>
      <c r="E2" s="2580" t="s">
        <v>2326</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9" t="s">
        <v>2646</v>
      </c>
      <c r="AC4" s="3218" t="s">
        <v>2647</v>
      </c>
    </row>
    <row r="5" spans="1:29">
      <c r="A5" s="404"/>
      <c r="B5" s="405"/>
      <c r="C5" s="3238" t="s">
        <v>2540</v>
      </c>
      <c r="D5" s="3239"/>
      <c r="E5" s="3245" t="s">
        <v>2541</v>
      </c>
      <c r="F5" s="3246"/>
      <c r="G5" s="3238" t="s">
        <v>2542</v>
      </c>
      <c r="H5" s="3239"/>
      <c r="I5" s="3238" t="s">
        <v>2543</v>
      </c>
      <c r="J5" s="3239"/>
      <c r="K5" s="610"/>
      <c r="L5" s="1130"/>
      <c r="M5" s="1131"/>
      <c r="N5" s="1131"/>
      <c r="O5" s="1131"/>
      <c r="P5" s="3226"/>
      <c r="Q5" s="3227"/>
      <c r="R5" s="3232"/>
      <c r="S5" s="3233"/>
      <c r="T5" s="3232"/>
      <c r="U5" s="3233"/>
      <c r="V5" s="3217"/>
      <c r="W5" s="3217"/>
      <c r="X5" s="1804"/>
      <c r="Y5" s="3232"/>
      <c r="Z5" s="3233"/>
      <c r="AA5" s="3219"/>
      <c r="AB5" s="3219"/>
      <c r="AC5" s="3219"/>
    </row>
    <row r="6" spans="1:29" ht="15" thickBot="1">
      <c r="A6" s="406"/>
      <c r="B6" s="407"/>
      <c r="C6" s="3236" t="s">
        <v>2544</v>
      </c>
      <c r="D6" s="3237"/>
      <c r="E6" s="3243" t="s">
        <v>2544</v>
      </c>
      <c r="F6" s="3244"/>
      <c r="G6" s="3236" t="s">
        <v>2544</v>
      </c>
      <c r="H6" s="3237"/>
      <c r="I6" s="3236" t="s">
        <v>2544</v>
      </c>
      <c r="J6" s="3237"/>
      <c r="K6" s="610" t="s">
        <v>2545</v>
      </c>
      <c r="L6" s="1130"/>
      <c r="M6" s="1131"/>
      <c r="N6" s="1131"/>
      <c r="O6" s="1131"/>
      <c r="P6" s="3228"/>
      <c r="Q6" s="3229"/>
      <c r="R6" s="3232"/>
      <c r="S6" s="3233"/>
      <c r="T6" s="3234"/>
      <c r="U6" s="3235"/>
      <c r="V6" s="3217"/>
      <c r="W6" s="3217"/>
      <c r="X6" s="1804"/>
      <c r="Y6" s="3234"/>
      <c r="Z6" s="3235"/>
      <c r="AA6" s="3220"/>
      <c r="AB6" s="3220"/>
      <c r="AC6" s="3220"/>
    </row>
    <row r="7" spans="1:29" s="117" customFormat="1" ht="15" thickBot="1">
      <c r="A7" s="408" t="s">
        <v>2546</v>
      </c>
      <c r="B7" s="409"/>
      <c r="C7" s="410">
        <f>'数据-取费表'!B2</f>
        <v>43980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0" t="s">
        <v>2547</v>
      </c>
      <c r="Q7" s="3242"/>
      <c r="R7" s="770" t="s">
        <v>17</v>
      </c>
      <c r="S7" s="771">
        <f t="shared" ref="S7:S14" si="0">F7</f>
        <v>0</v>
      </c>
      <c r="T7" s="770" t="s">
        <v>17</v>
      </c>
      <c r="U7" s="771">
        <f t="shared" ref="U7:U14" si="1">H7</f>
        <v>0</v>
      </c>
      <c r="V7" s="770" t="s">
        <v>17</v>
      </c>
      <c r="W7" s="771">
        <f t="shared" ref="W7:W14" si="2">J7</f>
        <v>0</v>
      </c>
      <c r="X7" s="772"/>
      <c r="Y7" s="3240" t="s">
        <v>2547</v>
      </c>
      <c r="Z7" s="3241"/>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0" t="s">
        <v>2550</v>
      </c>
      <c r="Q8" s="3241"/>
      <c r="R8" s="770" t="s">
        <v>17</v>
      </c>
      <c r="S8" s="771">
        <f t="shared" si="0"/>
        <v>0</v>
      </c>
      <c r="T8" s="770" t="s">
        <v>17</v>
      </c>
      <c r="U8" s="771">
        <f t="shared" si="1"/>
        <v>0</v>
      </c>
      <c r="V8" s="770" t="s">
        <v>17</v>
      </c>
      <c r="W8" s="771">
        <f t="shared" si="2"/>
        <v>0</v>
      </c>
      <c r="X8" s="772"/>
      <c r="Y8" s="3240" t="s">
        <v>2550</v>
      </c>
      <c r="Z8" s="3241"/>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2553</v>
      </c>
      <c r="Q9" s="1786" t="str">
        <f t="shared" ref="Q9:Q14" si="6">B9</f>
        <v>用途</v>
      </c>
      <c r="R9" s="770" t="s">
        <v>17</v>
      </c>
      <c r="S9" s="771">
        <f t="shared" si="0"/>
        <v>100</v>
      </c>
      <c r="T9" s="770" t="s">
        <v>17</v>
      </c>
      <c r="U9" s="771">
        <f t="shared" si="1"/>
        <v>100</v>
      </c>
      <c r="V9" s="770" t="s">
        <v>17</v>
      </c>
      <c r="W9" s="771">
        <f t="shared" si="2"/>
        <v>100</v>
      </c>
      <c r="X9" s="772"/>
      <c r="Y9" s="3057"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786">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6.6">
      <c r="A14" s="401" t="s">
        <v>2557</v>
      </c>
      <c r="B14" s="629" t="s">
        <v>2707</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2558</v>
      </c>
      <c r="Q14" s="1801" t="str">
        <f t="shared" si="6"/>
        <v>交通便捷度</v>
      </c>
      <c r="R14" s="774" t="s">
        <v>17</v>
      </c>
      <c r="S14" s="775">
        <f t="shared" si="0"/>
        <v>100</v>
      </c>
      <c r="T14" s="774" t="s">
        <v>17</v>
      </c>
      <c r="U14" s="775">
        <f t="shared" si="1"/>
        <v>100</v>
      </c>
      <c r="V14" s="774" t="s">
        <v>17</v>
      </c>
      <c r="W14" s="775">
        <f t="shared" si="2"/>
        <v>100</v>
      </c>
      <c r="X14" s="1804"/>
      <c r="Y14" s="3213" t="s">
        <v>2558</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40"/>
      <c r="M15" s="1131"/>
      <c r="N15" s="1131"/>
      <c r="O15" s="1131"/>
      <c r="P15" s="3214"/>
      <c r="Q15" s="1801"/>
      <c r="R15" s="774"/>
      <c r="S15" s="775"/>
      <c r="T15" s="774"/>
      <c r="U15" s="775"/>
      <c r="V15" s="774"/>
      <c r="W15" s="775"/>
      <c r="X15" s="1804"/>
      <c r="Y15" s="3214"/>
      <c r="Z15" s="1805"/>
      <c r="AA15" s="1802">
        <v>1</v>
      </c>
      <c r="AB15" s="1802">
        <v>1</v>
      </c>
      <c r="AC15" s="1802">
        <v>1</v>
      </c>
    </row>
    <row r="16" spans="1:29" ht="41.4">
      <c r="A16" s="404"/>
      <c r="B16" s="631" t="s">
        <v>2686</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01" t="str">
        <f>B16</f>
        <v>公共配套设施</v>
      </c>
      <c r="R16" s="774" t="s">
        <v>17</v>
      </c>
      <c r="S16" s="775">
        <f>F16</f>
        <v>100</v>
      </c>
      <c r="T16" s="774" t="s">
        <v>17</v>
      </c>
      <c r="U16" s="775">
        <f>H16</f>
        <v>100</v>
      </c>
      <c r="V16" s="774" t="s">
        <v>17</v>
      </c>
      <c r="W16" s="775">
        <f>J16</f>
        <v>100</v>
      </c>
      <c r="X16" s="1804"/>
      <c r="Y16" s="3214"/>
      <c r="Z16" s="1805" t="str">
        <f>Q16</f>
        <v>公共配套设施</v>
      </c>
      <c r="AA16" s="1802">
        <f t="shared" si="3"/>
        <v>1</v>
      </c>
      <c r="AB16" s="1802">
        <f t="shared" si="4"/>
        <v>1</v>
      </c>
      <c r="AC16" s="1802">
        <f t="shared" si="5"/>
        <v>1</v>
      </c>
    </row>
    <row r="17" spans="1:29" ht="15">
      <c r="A17" s="404"/>
      <c r="B17" s="632"/>
      <c r="C17" s="2601"/>
      <c r="D17" s="448"/>
      <c r="E17" s="447"/>
      <c r="F17" s="449"/>
      <c r="G17" s="447"/>
      <c r="H17" s="448"/>
      <c r="I17" s="447"/>
      <c r="J17" s="448"/>
      <c r="K17" s="615"/>
      <c r="L17" s="1140"/>
      <c r="M17" s="1131"/>
      <c r="N17" s="1131"/>
      <c r="O17" s="1131"/>
      <c r="P17" s="3214"/>
      <c r="Q17" s="1801"/>
      <c r="R17" s="774"/>
      <c r="S17" s="775"/>
      <c r="T17" s="774"/>
      <c r="U17" s="775"/>
      <c r="V17" s="774"/>
      <c r="W17" s="775"/>
      <c r="X17" s="1804"/>
      <c r="Y17" s="3214"/>
      <c r="Z17" s="1805"/>
      <c r="AA17" s="1802">
        <v>1</v>
      </c>
      <c r="AB17" s="1802">
        <v>1</v>
      </c>
      <c r="AC17" s="1802">
        <v>1</v>
      </c>
    </row>
    <row r="18" spans="1:29" ht="41.4">
      <c r="A18" s="404"/>
      <c r="B18" s="633" t="s">
        <v>2687</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01" t="str">
        <f>B18</f>
        <v>基础设施水平</v>
      </c>
      <c r="R18" s="774" t="s">
        <v>17</v>
      </c>
      <c r="S18" s="775">
        <f>F18</f>
        <v>100</v>
      </c>
      <c r="T18" s="774" t="s">
        <v>17</v>
      </c>
      <c r="U18" s="775">
        <f>H18</f>
        <v>100</v>
      </c>
      <c r="V18" s="774" t="s">
        <v>17</v>
      </c>
      <c r="W18" s="775">
        <f>J18</f>
        <v>100</v>
      </c>
      <c r="X18" s="1804"/>
      <c r="Y18" s="3214"/>
      <c r="Z18" s="1805" t="str">
        <f>Q18</f>
        <v>基础设施水平</v>
      </c>
      <c r="AA18" s="1802">
        <f t="shared" ref="AA18" si="8">D18/F18</f>
        <v>1</v>
      </c>
      <c r="AB18" s="1802">
        <f t="shared" ref="AB18" si="9">D18/H18</f>
        <v>1</v>
      </c>
      <c r="AC18" s="1802">
        <f t="shared" ref="AC18" si="10">D18/J18</f>
        <v>1</v>
      </c>
    </row>
    <row r="19" spans="1:29" ht="15">
      <c r="A19" s="404"/>
      <c r="B19" s="633"/>
      <c r="C19" s="2601"/>
      <c r="D19" s="450"/>
      <c r="E19" s="2601"/>
      <c r="F19" s="453"/>
      <c r="G19" s="2601"/>
      <c r="H19" s="448"/>
      <c r="I19" s="447"/>
      <c r="J19" s="448"/>
      <c r="K19" s="1383"/>
      <c r="L19" s="1140"/>
      <c r="M19" s="1131"/>
      <c r="N19" s="1131"/>
      <c r="O19" s="1131"/>
      <c r="P19" s="3214"/>
      <c r="Q19" s="1801"/>
      <c r="R19" s="774"/>
      <c r="S19" s="775"/>
      <c r="T19" s="774"/>
      <c r="U19" s="775"/>
      <c r="V19" s="774"/>
      <c r="W19" s="775"/>
      <c r="X19" s="1804"/>
      <c r="Y19" s="3214"/>
      <c r="Z19" s="1805"/>
      <c r="AA19" s="1802">
        <v>1</v>
      </c>
      <c r="AB19" s="1802">
        <v>1</v>
      </c>
      <c r="AC19" s="1802">
        <v>1</v>
      </c>
    </row>
    <row r="20" spans="1:29" ht="55.2">
      <c r="A20" s="404"/>
      <c r="B20" s="631" t="s">
        <v>2708</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01" t="str">
        <f>B20</f>
        <v>自然及人文环境</v>
      </c>
      <c r="R20" s="774" t="s">
        <v>17</v>
      </c>
      <c r="S20" s="775">
        <f>F20</f>
        <v>100</v>
      </c>
      <c r="T20" s="774" t="s">
        <v>17</v>
      </c>
      <c r="U20" s="775">
        <f>H20</f>
        <v>100</v>
      </c>
      <c r="V20" s="774" t="s">
        <v>17</v>
      </c>
      <c r="W20" s="775">
        <f>J20</f>
        <v>100</v>
      </c>
      <c r="X20" s="1804"/>
      <c r="Y20" s="3214"/>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40"/>
      <c r="M21" s="1131"/>
      <c r="N21" s="1131"/>
      <c r="O21" s="1131"/>
      <c r="P21" s="3214"/>
      <c r="Q21" s="1801"/>
      <c r="R21" s="774"/>
      <c r="S21" s="775"/>
      <c r="T21" s="774"/>
      <c r="U21" s="775"/>
      <c r="V21" s="774"/>
      <c r="W21" s="775"/>
      <c r="X21" s="1804"/>
      <c r="Y21" s="3214"/>
      <c r="Z21" s="1805"/>
      <c r="AA21" s="1802">
        <v>1</v>
      </c>
      <c r="AB21" s="1802">
        <v>1</v>
      </c>
      <c r="AC21" s="180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01" t="str">
        <f>B22</f>
        <v>楼层</v>
      </c>
      <c r="R22" s="774" t="s">
        <v>17</v>
      </c>
      <c r="S22" s="775">
        <f>F22</f>
        <v>100</v>
      </c>
      <c r="T22" s="774" t="s">
        <v>17</v>
      </c>
      <c r="U22" s="775">
        <f>H22</f>
        <v>100</v>
      </c>
      <c r="V22" s="774" t="s">
        <v>17</v>
      </c>
      <c r="W22" s="775">
        <f>J22</f>
        <v>100</v>
      </c>
      <c r="X22" s="1804"/>
      <c r="Y22" s="3214"/>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01">
        <f>B23</f>
        <v>111</v>
      </c>
      <c r="R23" s="774" t="s">
        <v>17</v>
      </c>
      <c r="S23" s="775">
        <f>F23</f>
        <v>100</v>
      </c>
      <c r="T23" s="774" t="s">
        <v>17</v>
      </c>
      <c r="U23" s="775">
        <f>H23</f>
        <v>100</v>
      </c>
      <c r="V23" s="774" t="s">
        <v>17</v>
      </c>
      <c r="W23" s="775">
        <f>J23</f>
        <v>100</v>
      </c>
      <c r="X23" s="1804"/>
      <c r="Y23" s="3214"/>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01">
        <f t="shared" ref="Q24:Q36" si="11">B24</f>
        <v>111</v>
      </c>
      <c r="R24" s="774" t="s">
        <v>17</v>
      </c>
      <c r="S24" s="775">
        <f>F24</f>
        <v>100</v>
      </c>
      <c r="T24" s="774" t="s">
        <v>17</v>
      </c>
      <c r="U24" s="775">
        <f>H24</f>
        <v>100</v>
      </c>
      <c r="V24" s="774" t="s">
        <v>17</v>
      </c>
      <c r="W24" s="775">
        <f>J24</f>
        <v>100</v>
      </c>
      <c r="X24" s="1804"/>
      <c r="Y24" s="3214"/>
      <c r="Z24" s="1805">
        <f>Q24</f>
        <v>111</v>
      </c>
      <c r="AA24" s="1802">
        <f t="shared" si="3"/>
        <v>1</v>
      </c>
      <c r="AB24" s="1802">
        <f t="shared" si="4"/>
        <v>1</v>
      </c>
      <c r="AC24" s="1802">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86">
        <f t="shared" si="11"/>
        <v>111</v>
      </c>
      <c r="R25" s="770" t="s">
        <v>17</v>
      </c>
      <c r="S25" s="771">
        <f>F25</f>
        <v>100</v>
      </c>
      <c r="T25" s="770" t="s">
        <v>17</v>
      </c>
      <c r="U25" s="771">
        <f>H25</f>
        <v>100</v>
      </c>
      <c r="V25" s="770" t="s">
        <v>17</v>
      </c>
      <c r="W25" s="771">
        <f>J25</f>
        <v>100</v>
      </c>
      <c r="X25" s="772"/>
      <c r="Y25" s="3214"/>
      <c r="Z25" s="55">
        <f>Q25</f>
        <v>111</v>
      </c>
      <c r="AA25" s="1802">
        <f>D25/F25</f>
        <v>1</v>
      </c>
      <c r="AB25" s="1802">
        <f>D25/H25</f>
        <v>1</v>
      </c>
      <c r="AC25" s="1802">
        <f>D25/J25</f>
        <v>1</v>
      </c>
    </row>
    <row r="26" spans="1:29" ht="30">
      <c r="A26" s="652" t="s">
        <v>2561</v>
      </c>
      <c r="B26" s="70" t="s">
        <v>2710</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5" t="s">
        <v>2563</v>
      </c>
      <c r="Q26" s="1801" t="str">
        <f t="shared" si="11"/>
        <v>配套类型</v>
      </c>
      <c r="R26" s="774" t="s">
        <v>17</v>
      </c>
      <c r="S26" s="775">
        <f t="shared" ref="S26:S36" si="12">F26</f>
        <v>100</v>
      </c>
      <c r="T26" s="774" t="s">
        <v>17</v>
      </c>
      <c r="U26" s="775">
        <f t="shared" ref="U26:U36" si="13">H26</f>
        <v>100</v>
      </c>
      <c r="V26" s="774" t="s">
        <v>17</v>
      </c>
      <c r="W26" s="775">
        <f t="shared" ref="W26:W36" si="14">J26</f>
        <v>100</v>
      </c>
      <c r="X26" s="1804"/>
      <c r="Y26" s="3216" t="s">
        <v>2563</v>
      </c>
      <c r="Z26" s="1805" t="str">
        <f t="shared" ref="Z26:Z36" si="15">Q26</f>
        <v>配套类型</v>
      </c>
      <c r="AA26" s="1802">
        <f t="shared" si="3"/>
        <v>1</v>
      </c>
      <c r="AB26" s="1802">
        <f t="shared" si="4"/>
        <v>1</v>
      </c>
      <c r="AC26" s="180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02">
        <f t="shared" si="3"/>
        <v>1</v>
      </c>
      <c r="AB27" s="1802">
        <f t="shared" si="4"/>
        <v>1</v>
      </c>
      <c r="AC27" s="180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01" t="str">
        <f t="shared" si="11"/>
        <v>公共部分装修</v>
      </c>
      <c r="R28" s="774" t="s">
        <v>17</v>
      </c>
      <c r="S28" s="775">
        <f t="shared" si="12"/>
        <v>100</v>
      </c>
      <c r="T28" s="774" t="s">
        <v>17</v>
      </c>
      <c r="U28" s="775">
        <f t="shared" si="13"/>
        <v>100</v>
      </c>
      <c r="V28" s="774" t="s">
        <v>17</v>
      </c>
      <c r="W28" s="775">
        <f t="shared" si="14"/>
        <v>100</v>
      </c>
      <c r="X28" s="1804"/>
      <c r="Y28" s="3216"/>
      <c r="Z28" s="1805" t="str">
        <f t="shared" si="15"/>
        <v>公共部分装修</v>
      </c>
      <c r="AA28" s="1802">
        <f t="shared" si="3"/>
        <v>1</v>
      </c>
      <c r="AB28" s="1802">
        <f t="shared" si="4"/>
        <v>1</v>
      </c>
      <c r="AC28" s="180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01" t="str">
        <f t="shared" si="11"/>
        <v>成新率</v>
      </c>
      <c r="R29" s="774" t="s">
        <v>17</v>
      </c>
      <c r="S29" s="775" t="e">
        <f t="shared" si="12"/>
        <v>#N/A</v>
      </c>
      <c r="T29" s="774" t="s">
        <v>17</v>
      </c>
      <c r="U29" s="775" t="e">
        <f t="shared" si="13"/>
        <v>#N/A</v>
      </c>
      <c r="V29" s="774" t="s">
        <v>17</v>
      </c>
      <c r="W29" s="775" t="e">
        <f t="shared" si="14"/>
        <v>#N/A</v>
      </c>
      <c r="X29" s="1804"/>
      <c r="Y29" s="3216"/>
      <c r="Z29" s="1805" t="str">
        <f t="shared" si="15"/>
        <v>成新率</v>
      </c>
      <c r="AA29" s="1802" t="e">
        <f t="shared" si="3"/>
        <v>#N/A</v>
      </c>
      <c r="AB29" s="1802" t="e">
        <f t="shared" si="4"/>
        <v>#N/A</v>
      </c>
      <c r="AC29" s="180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01" t="str">
        <f t="shared" si="11"/>
        <v>物业等级</v>
      </c>
      <c r="R30" s="774" t="s">
        <v>17</v>
      </c>
      <c r="S30" s="775">
        <f t="shared" si="12"/>
        <v>100</v>
      </c>
      <c r="T30" s="774" t="s">
        <v>17</v>
      </c>
      <c r="U30" s="775">
        <f t="shared" si="13"/>
        <v>100</v>
      </c>
      <c r="V30" s="774" t="s">
        <v>17</v>
      </c>
      <c r="W30" s="775">
        <f t="shared" si="14"/>
        <v>100</v>
      </c>
      <c r="X30" s="1804"/>
      <c r="Y30" s="3216"/>
      <c r="Z30" s="1805" t="str">
        <f t="shared" si="15"/>
        <v>物业等级</v>
      </c>
      <c r="AA30" s="1802">
        <f t="shared" si="3"/>
        <v>1</v>
      </c>
      <c r="AB30" s="1802">
        <f t="shared" si="4"/>
        <v>1</v>
      </c>
      <c r="AC30" s="180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86"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2563</v>
      </c>
      <c r="Q32" s="1801" t="str">
        <f t="shared" si="11"/>
        <v>车位类型</v>
      </c>
      <c r="R32" s="774" t="s">
        <v>17</v>
      </c>
      <c r="S32" s="775">
        <f t="shared" si="12"/>
        <v>100</v>
      </c>
      <c r="T32" s="774" t="s">
        <v>17</v>
      </c>
      <c r="U32" s="775">
        <f t="shared" si="13"/>
        <v>100</v>
      </c>
      <c r="V32" s="774" t="s">
        <v>17</v>
      </c>
      <c r="W32" s="775">
        <f t="shared" si="14"/>
        <v>100</v>
      </c>
      <c r="X32" s="1804"/>
      <c r="Y32" s="3216" t="s">
        <v>2563</v>
      </c>
      <c r="Z32" s="1805" t="str">
        <f t="shared" si="15"/>
        <v>车位类型</v>
      </c>
      <c r="AA32" s="1802">
        <f t="shared" si="3"/>
        <v>1</v>
      </c>
      <c r="AB32" s="1802">
        <f t="shared" si="4"/>
        <v>1</v>
      </c>
      <c r="AC32" s="180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01" t="str">
        <f t="shared" si="11"/>
        <v>是否直接入户</v>
      </c>
      <c r="R33" s="774" t="s">
        <v>17</v>
      </c>
      <c r="S33" s="775">
        <f t="shared" si="12"/>
        <v>100</v>
      </c>
      <c r="T33" s="774" t="s">
        <v>17</v>
      </c>
      <c r="U33" s="775">
        <f t="shared" si="13"/>
        <v>100</v>
      </c>
      <c r="V33" s="774" t="s">
        <v>17</v>
      </c>
      <c r="W33" s="775">
        <f t="shared" si="14"/>
        <v>100</v>
      </c>
      <c r="X33" s="1804"/>
      <c r="Y33" s="3216"/>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01">
        <f t="shared" si="11"/>
        <v>111</v>
      </c>
      <c r="R34" s="774" t="s">
        <v>17</v>
      </c>
      <c r="S34" s="775">
        <f t="shared" si="12"/>
        <v>100</v>
      </c>
      <c r="T34" s="774" t="s">
        <v>17</v>
      </c>
      <c r="U34" s="775">
        <f t="shared" si="13"/>
        <v>100</v>
      </c>
      <c r="V34" s="774" t="s">
        <v>17</v>
      </c>
      <c r="W34" s="775">
        <f t="shared" si="14"/>
        <v>100</v>
      </c>
      <c r="X34" s="1804"/>
      <c r="Y34" s="3216"/>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02">
        <f t="shared" si="3"/>
        <v>1</v>
      </c>
      <c r="AB35" s="1802">
        <f t="shared" si="4"/>
        <v>1</v>
      </c>
      <c r="AC35" s="1802">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01">
        <f t="shared" si="11"/>
        <v>111</v>
      </c>
      <c r="R36" s="774" t="s">
        <v>17</v>
      </c>
      <c r="S36" s="775">
        <f t="shared" si="12"/>
        <v>100</v>
      </c>
      <c r="T36" s="774" t="s">
        <v>17</v>
      </c>
      <c r="U36" s="775">
        <f t="shared" si="13"/>
        <v>100</v>
      </c>
      <c r="V36" s="774" t="s">
        <v>17</v>
      </c>
      <c r="W36" s="775">
        <f t="shared" si="14"/>
        <v>100</v>
      </c>
      <c r="X36" s="1804"/>
      <c r="Y36" s="3216"/>
      <c r="Z36" s="1805">
        <f t="shared" si="15"/>
        <v>111</v>
      </c>
      <c r="AA36" s="1802">
        <f t="shared" si="3"/>
        <v>1</v>
      </c>
      <c r="AB36" s="1802">
        <f t="shared" si="4"/>
        <v>1</v>
      </c>
      <c r="AC36" s="1802">
        <f t="shared" si="5"/>
        <v>1</v>
      </c>
    </row>
    <row r="37" spans="1:29" ht="14.4">
      <c r="A37" s="479" t="s">
        <v>2718</v>
      </c>
      <c r="B37" s="2688" t="s">
        <v>2719</v>
      </c>
      <c r="C37" s="1407" t="s">
        <v>1</v>
      </c>
      <c r="D37" s="1408"/>
      <c r="E37" s="1409"/>
      <c r="F37" s="1410"/>
      <c r="G37" s="1411"/>
      <c r="H37" s="1412"/>
      <c r="I37" s="1409"/>
      <c r="J37" s="1412"/>
      <c r="K37" s="619"/>
      <c r="L37" s="1143"/>
      <c r="M37" s="1144"/>
      <c r="N37" s="1131"/>
      <c r="O37" s="1144"/>
      <c r="P37" s="3211" t="str">
        <f>A37</f>
        <v>成交单价</v>
      </c>
      <c r="Q37" s="3211"/>
      <c r="R37" s="3247">
        <f>E37</f>
        <v>0</v>
      </c>
      <c r="S37" s="3247"/>
      <c r="T37" s="3247">
        <f>G37</f>
        <v>0</v>
      </c>
      <c r="U37" s="3247"/>
      <c r="V37" s="3247">
        <f>I37</f>
        <v>0</v>
      </c>
      <c r="W37" s="3247"/>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48" t="e">
        <f>IF(F1="售价",ROUND(AVERAGE(R38:V38),0),ROUND(AVERAGE(R38:V38),1))</f>
        <v>#DIV/0!</v>
      </c>
      <c r="S39" s="3248"/>
      <c r="T39" s="3248"/>
      <c r="U39" s="3248"/>
      <c r="V39" s="3248"/>
      <c r="W39" s="324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2705</v>
      </c>
      <c r="B1" s="1619"/>
      <c r="C1" s="1620" t="s">
        <v>2528</v>
      </c>
      <c r="D1" s="1621"/>
      <c r="E1" s="1630"/>
      <c r="F1" s="2577"/>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79"/>
      <c r="D2" s="1124" t="e">
        <f ca="1">SUMIF(INDIRECT("'"&amp;F2&amp;"'"&amp;"!A:A"),"承租人权益价值",INDIRECT("'"&amp;F2&amp;"'"&amp;"!c:c"))</f>
        <v>#REF!</v>
      </c>
      <c r="E2" s="2580" t="s">
        <v>2326</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9" t="s">
        <v>2646</v>
      </c>
      <c r="AC4" s="3218" t="s">
        <v>2647</v>
      </c>
    </row>
    <row r="5" spans="1:29">
      <c r="A5" s="404"/>
      <c r="B5" s="405"/>
      <c r="C5" s="3238" t="s">
        <v>2540</v>
      </c>
      <c r="D5" s="3239"/>
      <c r="E5" s="3245" t="s">
        <v>2541</v>
      </c>
      <c r="F5" s="3246"/>
      <c r="G5" s="3238" t="s">
        <v>2542</v>
      </c>
      <c r="H5" s="3239"/>
      <c r="I5" s="3238" t="s">
        <v>2543</v>
      </c>
      <c r="J5" s="3239"/>
      <c r="K5" s="610"/>
      <c r="L5" s="1130"/>
      <c r="M5" s="1131"/>
      <c r="N5" s="1131"/>
      <c r="O5" s="1131"/>
      <c r="P5" s="3226"/>
      <c r="Q5" s="3227"/>
      <c r="R5" s="3232"/>
      <c r="S5" s="3233"/>
      <c r="T5" s="3232"/>
      <c r="U5" s="3233"/>
      <c r="V5" s="3217"/>
      <c r="W5" s="3217"/>
      <c r="X5" s="1804"/>
      <c r="Y5" s="3232"/>
      <c r="Z5" s="3233"/>
      <c r="AA5" s="3219"/>
      <c r="AB5" s="3219"/>
      <c r="AC5" s="3219"/>
    </row>
    <row r="6" spans="1:29" ht="15" thickBot="1">
      <c r="A6" s="406"/>
      <c r="B6" s="407"/>
      <c r="C6" s="3236" t="s">
        <v>2544</v>
      </c>
      <c r="D6" s="3237"/>
      <c r="E6" s="3243" t="s">
        <v>2544</v>
      </c>
      <c r="F6" s="3244"/>
      <c r="G6" s="3236" t="s">
        <v>2544</v>
      </c>
      <c r="H6" s="3237"/>
      <c r="I6" s="3236" t="s">
        <v>2544</v>
      </c>
      <c r="J6" s="3237"/>
      <c r="K6" s="610" t="s">
        <v>2545</v>
      </c>
      <c r="L6" s="1130"/>
      <c r="M6" s="1131"/>
      <c r="N6" s="1131"/>
      <c r="O6" s="1131"/>
      <c r="P6" s="3228"/>
      <c r="Q6" s="3229"/>
      <c r="R6" s="3232"/>
      <c r="S6" s="3233"/>
      <c r="T6" s="3234"/>
      <c r="U6" s="3235"/>
      <c r="V6" s="3217"/>
      <c r="W6" s="3217"/>
      <c r="X6" s="1804"/>
      <c r="Y6" s="3234"/>
      <c r="Z6" s="3235"/>
      <c r="AA6" s="3220"/>
      <c r="AB6" s="3220"/>
      <c r="AC6" s="3220"/>
    </row>
    <row r="7" spans="1:29" s="117" customFormat="1" ht="15" thickBot="1">
      <c r="A7" s="408" t="s">
        <v>2546</v>
      </c>
      <c r="B7" s="409"/>
      <c r="C7" s="410">
        <f>'数据-取费表'!B2</f>
        <v>43980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40" t="s">
        <v>2547</v>
      </c>
      <c r="Q7" s="3242"/>
      <c r="R7" s="770" t="s">
        <v>17</v>
      </c>
      <c r="S7" s="771">
        <f t="shared" ref="S7:S14" si="0">F7</f>
        <v>0</v>
      </c>
      <c r="T7" s="770" t="s">
        <v>17</v>
      </c>
      <c r="U7" s="771">
        <f t="shared" ref="U7:U14" si="1">H7</f>
        <v>0</v>
      </c>
      <c r="V7" s="770" t="s">
        <v>17</v>
      </c>
      <c r="W7" s="771">
        <f t="shared" ref="W7:W14" si="2">J7</f>
        <v>0</v>
      </c>
      <c r="X7" s="772"/>
      <c r="Y7" s="3240" t="s">
        <v>2547</v>
      </c>
      <c r="Z7" s="3241"/>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0" t="s">
        <v>2550</v>
      </c>
      <c r="Q8" s="3241"/>
      <c r="R8" s="770" t="s">
        <v>17</v>
      </c>
      <c r="S8" s="771">
        <f t="shared" si="0"/>
        <v>0</v>
      </c>
      <c r="T8" s="770" t="s">
        <v>17</v>
      </c>
      <c r="U8" s="771">
        <f t="shared" si="1"/>
        <v>0</v>
      </c>
      <c r="V8" s="770" t="s">
        <v>17</v>
      </c>
      <c r="W8" s="771">
        <f t="shared" si="2"/>
        <v>0</v>
      </c>
      <c r="X8" s="772"/>
      <c r="Y8" s="3240" t="s">
        <v>2550</v>
      </c>
      <c r="Z8" s="3241"/>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2553</v>
      </c>
      <c r="Q9" s="1786" t="str">
        <f t="shared" ref="Q9:Q14" si="6">B9</f>
        <v>用途</v>
      </c>
      <c r="R9" s="770" t="s">
        <v>17</v>
      </c>
      <c r="S9" s="771">
        <f t="shared" si="0"/>
        <v>100</v>
      </c>
      <c r="T9" s="770" t="s">
        <v>17</v>
      </c>
      <c r="U9" s="771">
        <f t="shared" si="1"/>
        <v>100</v>
      </c>
      <c r="V9" s="770" t="s">
        <v>17</v>
      </c>
      <c r="W9" s="771">
        <f t="shared" si="2"/>
        <v>100</v>
      </c>
      <c r="X9" s="772"/>
      <c r="Y9" s="3057"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786" t="str">
        <f t="shared" si="6"/>
        <v>土地使用年限（年）</v>
      </c>
      <c r="R10" s="770" t="s">
        <v>17</v>
      </c>
      <c r="S10" s="771">
        <f t="shared" si="0"/>
        <v>100</v>
      </c>
      <c r="T10" s="770" t="s">
        <v>17</v>
      </c>
      <c r="U10" s="771">
        <f t="shared" si="1"/>
        <v>100</v>
      </c>
      <c r="V10" s="770" t="s">
        <v>17</v>
      </c>
      <c r="W10" s="771">
        <f t="shared" si="2"/>
        <v>100</v>
      </c>
      <c r="X10" s="772"/>
      <c r="Y10" s="3057"/>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786">
        <f t="shared" si="6"/>
        <v>111</v>
      </c>
      <c r="R11" s="770" t="s">
        <v>17</v>
      </c>
      <c r="S11" s="771">
        <f t="shared" si="0"/>
        <v>100</v>
      </c>
      <c r="T11" s="770" t="s">
        <v>17</v>
      </c>
      <c r="U11" s="771">
        <f t="shared" si="1"/>
        <v>100</v>
      </c>
      <c r="V11" s="770" t="s">
        <v>17</v>
      </c>
      <c r="W11" s="771">
        <f t="shared" si="2"/>
        <v>100</v>
      </c>
      <c r="X11" s="772"/>
      <c r="Y11" s="3057"/>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6"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11"/>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96.6">
      <c r="A14" s="440" t="s">
        <v>2557</v>
      </c>
      <c r="B14" s="69" t="s">
        <v>2707</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2558</v>
      </c>
      <c r="Q14" s="1801" t="str">
        <f t="shared" si="6"/>
        <v>交通便捷度</v>
      </c>
      <c r="R14" s="774" t="s">
        <v>17</v>
      </c>
      <c r="S14" s="775">
        <f t="shared" si="0"/>
        <v>100</v>
      </c>
      <c r="T14" s="774" t="s">
        <v>17</v>
      </c>
      <c r="U14" s="775">
        <f t="shared" si="1"/>
        <v>100</v>
      </c>
      <c r="V14" s="774" t="s">
        <v>17</v>
      </c>
      <c r="W14" s="775">
        <f t="shared" si="2"/>
        <v>100</v>
      </c>
      <c r="X14" s="1804"/>
      <c r="Y14" s="3213" t="s">
        <v>2558</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40"/>
      <c r="M15" s="1131"/>
      <c r="N15" s="1131"/>
      <c r="O15" s="1139"/>
      <c r="P15" s="3214"/>
      <c r="Q15" s="1801"/>
      <c r="R15" s="774"/>
      <c r="S15" s="775"/>
      <c r="T15" s="774"/>
      <c r="U15" s="775"/>
      <c r="V15" s="774"/>
      <c r="W15" s="775"/>
      <c r="X15" s="1804"/>
      <c r="Y15" s="3214"/>
      <c r="Z15" s="1805"/>
      <c r="AA15" s="1802">
        <v>1</v>
      </c>
      <c r="AB15" s="1802">
        <v>1</v>
      </c>
      <c r="AC15" s="1802">
        <v>1</v>
      </c>
    </row>
    <row r="16" spans="1:29" ht="41.4">
      <c r="A16" s="428"/>
      <c r="B16" s="451" t="s">
        <v>2686</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01" t="str">
        <f>B16</f>
        <v>公共配套设施</v>
      </c>
      <c r="R16" s="774" t="s">
        <v>17</v>
      </c>
      <c r="S16" s="775">
        <f>F16</f>
        <v>100</v>
      </c>
      <c r="T16" s="774" t="s">
        <v>17</v>
      </c>
      <c r="U16" s="775">
        <f>H16</f>
        <v>100</v>
      </c>
      <c r="V16" s="774" t="s">
        <v>17</v>
      </c>
      <c r="W16" s="775">
        <f>J16</f>
        <v>100</v>
      </c>
      <c r="X16" s="1804"/>
      <c r="Y16" s="3214"/>
      <c r="Z16" s="1805" t="str">
        <f>Q16</f>
        <v>公共配套设施</v>
      </c>
      <c r="AA16" s="1802">
        <f t="shared" si="3"/>
        <v>1</v>
      </c>
      <c r="AB16" s="1802">
        <f t="shared" si="4"/>
        <v>1</v>
      </c>
      <c r="AC16" s="1802">
        <f t="shared" si="5"/>
        <v>1</v>
      </c>
    </row>
    <row r="17" spans="1:29" ht="15">
      <c r="A17" s="428"/>
      <c r="B17" s="456"/>
      <c r="C17" s="2601"/>
      <c r="D17" s="448"/>
      <c r="E17" s="447"/>
      <c r="F17" s="449"/>
      <c r="G17" s="447"/>
      <c r="H17" s="448"/>
      <c r="I17" s="447"/>
      <c r="J17" s="448"/>
      <c r="K17" s="615"/>
      <c r="L17" s="1140"/>
      <c r="M17" s="1131"/>
      <c r="N17" s="1131"/>
      <c r="O17" s="1139"/>
      <c r="P17" s="3214"/>
      <c r="Q17" s="1801"/>
      <c r="R17" s="774"/>
      <c r="S17" s="775"/>
      <c r="T17" s="774"/>
      <c r="U17" s="775"/>
      <c r="V17" s="774"/>
      <c r="W17" s="775"/>
      <c r="X17" s="1804"/>
      <c r="Y17" s="3214"/>
      <c r="Z17" s="1805"/>
      <c r="AA17" s="1802">
        <v>1</v>
      </c>
      <c r="AB17" s="1802">
        <v>1</v>
      </c>
      <c r="AC17" s="1802">
        <v>1</v>
      </c>
    </row>
    <row r="18" spans="1:29" ht="41.4">
      <c r="A18" s="428"/>
      <c r="B18" s="1384" t="s">
        <v>2687</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01" t="str">
        <f>B18</f>
        <v>基础设施水平</v>
      </c>
      <c r="R18" s="774" t="s">
        <v>17</v>
      </c>
      <c r="S18" s="775">
        <f>F18</f>
        <v>100</v>
      </c>
      <c r="T18" s="774" t="s">
        <v>17</v>
      </c>
      <c r="U18" s="775">
        <f>H18</f>
        <v>100</v>
      </c>
      <c r="V18" s="774" t="s">
        <v>17</v>
      </c>
      <c r="W18" s="775">
        <f>J18</f>
        <v>100</v>
      </c>
      <c r="X18" s="1804"/>
      <c r="Y18" s="3214"/>
      <c r="Z18" s="1805" t="str">
        <f>Q18</f>
        <v>基础设施水平</v>
      </c>
      <c r="AA18" s="1802">
        <f t="shared" ref="AA18" si="8">D18/F18</f>
        <v>1</v>
      </c>
      <c r="AB18" s="1802">
        <f t="shared" ref="AB18" si="9">D18/H18</f>
        <v>1</v>
      </c>
      <c r="AC18" s="1802">
        <f t="shared" ref="AC18" si="10">D18/J18</f>
        <v>1</v>
      </c>
    </row>
    <row r="19" spans="1:29" ht="15">
      <c r="A19" s="428"/>
      <c r="B19" s="1384"/>
      <c r="C19" s="2601"/>
      <c r="D19" s="450"/>
      <c r="E19" s="2601"/>
      <c r="F19" s="453"/>
      <c r="G19" s="2601"/>
      <c r="H19" s="448"/>
      <c r="I19" s="447"/>
      <c r="J19" s="448"/>
      <c r="K19" s="1383"/>
      <c r="L19" s="1140"/>
      <c r="M19" s="1131"/>
      <c r="N19" s="1131"/>
      <c r="O19" s="1139"/>
      <c r="P19" s="3214"/>
      <c r="Q19" s="1801"/>
      <c r="R19" s="774"/>
      <c r="S19" s="775"/>
      <c r="T19" s="774"/>
      <c r="U19" s="775"/>
      <c r="V19" s="774"/>
      <c r="W19" s="775"/>
      <c r="X19" s="1804"/>
      <c r="Y19" s="3214"/>
      <c r="Z19" s="1805"/>
      <c r="AA19" s="1802">
        <v>1</v>
      </c>
      <c r="AB19" s="1802">
        <v>1</v>
      </c>
      <c r="AC19" s="1802">
        <v>1</v>
      </c>
    </row>
    <row r="20" spans="1:29" ht="55.2">
      <c r="A20" s="428"/>
      <c r="B20" s="451" t="s">
        <v>2708</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01" t="str">
        <f>B20</f>
        <v>自然及人文环境</v>
      </c>
      <c r="R20" s="774" t="s">
        <v>17</v>
      </c>
      <c r="S20" s="775">
        <f>F20</f>
        <v>100</v>
      </c>
      <c r="T20" s="774" t="s">
        <v>17</v>
      </c>
      <c r="U20" s="775">
        <f>H20</f>
        <v>100</v>
      </c>
      <c r="V20" s="774" t="s">
        <v>17</v>
      </c>
      <c r="W20" s="775">
        <f>J20</f>
        <v>100</v>
      </c>
      <c r="X20" s="1804"/>
      <c r="Y20" s="3214"/>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40"/>
      <c r="M21" s="1131"/>
      <c r="N21" s="1131"/>
      <c r="O21" s="1139"/>
      <c r="P21" s="3214"/>
      <c r="Q21" s="1801"/>
      <c r="R21" s="774"/>
      <c r="S21" s="775"/>
      <c r="T21" s="774"/>
      <c r="U21" s="775"/>
      <c r="V21" s="774"/>
      <c r="W21" s="775"/>
      <c r="X21" s="1804"/>
      <c r="Y21" s="3214"/>
      <c r="Z21" s="1805"/>
      <c r="AA21" s="1802">
        <v>1</v>
      </c>
      <c r="AB21" s="1802">
        <v>1</v>
      </c>
      <c r="AC21" s="180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01" t="str">
        <f>B22</f>
        <v>楼层</v>
      </c>
      <c r="R22" s="774" t="s">
        <v>17</v>
      </c>
      <c r="S22" s="775">
        <f>F22</f>
        <v>100</v>
      </c>
      <c r="T22" s="774" t="s">
        <v>17</v>
      </c>
      <c r="U22" s="775">
        <f>H22</f>
        <v>100</v>
      </c>
      <c r="V22" s="774" t="s">
        <v>17</v>
      </c>
      <c r="W22" s="775">
        <f>J22</f>
        <v>100</v>
      </c>
      <c r="X22" s="1804"/>
      <c r="Y22" s="3214"/>
      <c r="Z22" s="1805" t="str">
        <f>Q22</f>
        <v>楼层</v>
      </c>
      <c r="AA22" s="1802">
        <f t="shared" si="3"/>
        <v>1</v>
      </c>
      <c r="AB22" s="1802">
        <f t="shared" si="4"/>
        <v>1</v>
      </c>
      <c r="AC22" s="1802">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01">
        <f>B23</f>
        <v>111</v>
      </c>
      <c r="R23" s="774" t="s">
        <v>17</v>
      </c>
      <c r="S23" s="775">
        <f>F23</f>
        <v>100</v>
      </c>
      <c r="T23" s="774" t="s">
        <v>17</v>
      </c>
      <c r="U23" s="775">
        <f>H23</f>
        <v>100</v>
      </c>
      <c r="V23" s="774" t="s">
        <v>17</v>
      </c>
      <c r="W23" s="775">
        <f>J23</f>
        <v>100</v>
      </c>
      <c r="X23" s="1804"/>
      <c r="Y23" s="3214"/>
      <c r="Z23" s="1805">
        <f>Q23</f>
        <v>111</v>
      </c>
      <c r="AA23" s="1802">
        <f t="shared" si="3"/>
        <v>1</v>
      </c>
      <c r="AB23" s="1802">
        <f t="shared" si="4"/>
        <v>1</v>
      </c>
      <c r="AC23" s="1802">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01">
        <f t="shared" ref="Q24:Q34" si="11">B24</f>
        <v>111</v>
      </c>
      <c r="R24" s="774" t="s">
        <v>17</v>
      </c>
      <c r="S24" s="775">
        <f>F24</f>
        <v>100</v>
      </c>
      <c r="T24" s="774" t="s">
        <v>17</v>
      </c>
      <c r="U24" s="775">
        <f>H24</f>
        <v>100</v>
      </c>
      <c r="V24" s="774" t="s">
        <v>17</v>
      </c>
      <c r="W24" s="775">
        <f>J24</f>
        <v>100</v>
      </c>
      <c r="X24" s="1804"/>
      <c r="Y24" s="3214"/>
      <c r="Z24" s="1805">
        <f>Q24</f>
        <v>111</v>
      </c>
      <c r="AA24" s="1802">
        <f t="shared" si="3"/>
        <v>1</v>
      </c>
      <c r="AB24" s="1802">
        <f t="shared" si="4"/>
        <v>1</v>
      </c>
      <c r="AC24" s="1802">
        <f t="shared" si="5"/>
        <v>1</v>
      </c>
    </row>
    <row r="25" spans="1:29" s="117" customFormat="1" ht="15.6"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14"/>
      <c r="Q25" s="1786">
        <f t="shared" si="11"/>
        <v>111</v>
      </c>
      <c r="R25" s="770" t="s">
        <v>17</v>
      </c>
      <c r="S25" s="771">
        <f>F25</f>
        <v>100</v>
      </c>
      <c r="T25" s="770" t="s">
        <v>17</v>
      </c>
      <c r="U25" s="771">
        <f>H25</f>
        <v>100</v>
      </c>
      <c r="V25" s="770" t="s">
        <v>17</v>
      </c>
      <c r="W25" s="771">
        <f>J25</f>
        <v>100</v>
      </c>
      <c r="X25" s="772"/>
      <c r="Y25" s="3214"/>
      <c r="Z25" s="55">
        <f>Q25</f>
        <v>111</v>
      </c>
      <c r="AA25" s="1802">
        <f>D25/F25</f>
        <v>1</v>
      </c>
      <c r="AB25" s="1802">
        <f>D25/H25</f>
        <v>1</v>
      </c>
      <c r="AC25" s="1802">
        <f>D25/J25</f>
        <v>1</v>
      </c>
    </row>
    <row r="26" spans="1:29" ht="30">
      <c r="A26" s="466" t="s">
        <v>2561</v>
      </c>
      <c r="B26" s="71" t="s">
        <v>2712</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15" t="s">
        <v>2563</v>
      </c>
      <c r="Q26" s="1801" t="str">
        <f t="shared" si="11"/>
        <v>公共部分装修</v>
      </c>
      <c r="R26" s="774" t="s">
        <v>17</v>
      </c>
      <c r="S26" s="775">
        <f t="shared" ref="S26:S34" si="12">F26</f>
        <v>100</v>
      </c>
      <c r="T26" s="774" t="s">
        <v>17</v>
      </c>
      <c r="U26" s="775">
        <f t="shared" ref="U26:U34" si="13">H26</f>
        <v>100</v>
      </c>
      <c r="V26" s="774" t="s">
        <v>17</v>
      </c>
      <c r="W26" s="775">
        <f t="shared" ref="W26:W34" si="14">J26</f>
        <v>100</v>
      </c>
      <c r="X26" s="1804"/>
      <c r="Y26" s="3216" t="s">
        <v>2563</v>
      </c>
      <c r="Z26" s="1805" t="str">
        <f t="shared" ref="Z26:Z34" si="15">Q26</f>
        <v>公共部分装修</v>
      </c>
      <c r="AA26" s="1802">
        <f t="shared" si="3"/>
        <v>1</v>
      </c>
      <c r="AB26" s="1802">
        <f t="shared" si="4"/>
        <v>1</v>
      </c>
      <c r="AC26" s="180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02" t="e">
        <f t="shared" si="3"/>
        <v>#N/A</v>
      </c>
      <c r="AB27" s="1802" t="e">
        <f t="shared" si="4"/>
        <v>#N/A</v>
      </c>
      <c r="AC27" s="180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01" t="str">
        <f t="shared" si="11"/>
        <v>物业等级</v>
      </c>
      <c r="R28" s="774" t="s">
        <v>17</v>
      </c>
      <c r="S28" s="775">
        <f t="shared" si="12"/>
        <v>100</v>
      </c>
      <c r="T28" s="774" t="s">
        <v>17</v>
      </c>
      <c r="U28" s="775">
        <f t="shared" si="13"/>
        <v>100</v>
      </c>
      <c r="V28" s="774" t="s">
        <v>17</v>
      </c>
      <c r="W28" s="775">
        <f t="shared" si="14"/>
        <v>100</v>
      </c>
      <c r="X28" s="1804"/>
      <c r="Y28" s="3216"/>
      <c r="Z28" s="1805" t="str">
        <f t="shared" si="15"/>
        <v>物业等级</v>
      </c>
      <c r="AA28" s="1802">
        <f t="shared" si="3"/>
        <v>1</v>
      </c>
      <c r="AB28" s="1802">
        <f t="shared" si="4"/>
        <v>1</v>
      </c>
      <c r="AC28" s="180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01" t="str">
        <f t="shared" si="11"/>
        <v>有无电梯</v>
      </c>
      <c r="R29" s="774" t="s">
        <v>17</v>
      </c>
      <c r="S29" s="775">
        <f t="shared" si="12"/>
        <v>100</v>
      </c>
      <c r="T29" s="774" t="s">
        <v>17</v>
      </c>
      <c r="U29" s="775">
        <f t="shared" si="13"/>
        <v>100</v>
      </c>
      <c r="V29" s="774" t="s">
        <v>17</v>
      </c>
      <c r="W29" s="775">
        <f t="shared" si="14"/>
        <v>100</v>
      </c>
      <c r="X29" s="1804"/>
      <c r="Y29" s="3216"/>
      <c r="Z29" s="1805" t="str">
        <f t="shared" si="15"/>
        <v>有无电梯</v>
      </c>
      <c r="AA29" s="1802">
        <f t="shared" si="3"/>
        <v>1</v>
      </c>
      <c r="AB29" s="1802">
        <f t="shared" si="4"/>
        <v>1</v>
      </c>
      <c r="AC29" s="180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01" t="str">
        <f t="shared" si="11"/>
        <v>建筑面积</v>
      </c>
      <c r="R30" s="774" t="s">
        <v>17</v>
      </c>
      <c r="S30" s="775" t="e">
        <f t="shared" si="12"/>
        <v>#N/A</v>
      </c>
      <c r="T30" s="774" t="s">
        <v>17</v>
      </c>
      <c r="U30" s="775" t="e">
        <f t="shared" si="13"/>
        <v>#N/A</v>
      </c>
      <c r="V30" s="774" t="s">
        <v>17</v>
      </c>
      <c r="W30" s="775" t="e">
        <f t="shared" si="14"/>
        <v>#N/A</v>
      </c>
      <c r="X30" s="1804"/>
      <c r="Y30" s="3216"/>
      <c r="Z30" s="1805" t="str">
        <f t="shared" si="15"/>
        <v>建筑面积</v>
      </c>
      <c r="AA30" s="1802" t="e">
        <f t="shared" si="3"/>
        <v>#N/A</v>
      </c>
      <c r="AB30" s="1802" t="e">
        <f t="shared" si="4"/>
        <v>#N/A</v>
      </c>
      <c r="AC30" s="180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86"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2563</v>
      </c>
      <c r="Q32" s="1801">
        <f t="shared" si="11"/>
        <v>111</v>
      </c>
      <c r="R32" s="774" t="s">
        <v>17</v>
      </c>
      <c r="S32" s="775">
        <f t="shared" si="12"/>
        <v>100</v>
      </c>
      <c r="T32" s="774" t="s">
        <v>17</v>
      </c>
      <c r="U32" s="775">
        <f t="shared" si="13"/>
        <v>100</v>
      </c>
      <c r="V32" s="774" t="s">
        <v>17</v>
      </c>
      <c r="W32" s="775">
        <f t="shared" si="14"/>
        <v>100</v>
      </c>
      <c r="X32" s="1804"/>
      <c r="Y32" s="3216" t="s">
        <v>2563</v>
      </c>
      <c r="Z32" s="1805">
        <f t="shared" si="15"/>
        <v>111</v>
      </c>
      <c r="AA32" s="1802">
        <f t="shared" si="3"/>
        <v>1</v>
      </c>
      <c r="AB32" s="1802">
        <f t="shared" si="4"/>
        <v>1</v>
      </c>
      <c r="AC32" s="1802">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01">
        <f t="shared" si="11"/>
        <v>111</v>
      </c>
      <c r="R33" s="774" t="s">
        <v>17</v>
      </c>
      <c r="S33" s="775">
        <f t="shared" si="12"/>
        <v>100</v>
      </c>
      <c r="T33" s="774" t="s">
        <v>17</v>
      </c>
      <c r="U33" s="775">
        <f t="shared" si="13"/>
        <v>100</v>
      </c>
      <c r="V33" s="774" t="s">
        <v>17</v>
      </c>
      <c r="W33" s="775">
        <f t="shared" si="14"/>
        <v>100</v>
      </c>
      <c r="X33" s="1804"/>
      <c r="Y33" s="3216"/>
      <c r="Z33" s="1805">
        <f t="shared" si="15"/>
        <v>111</v>
      </c>
      <c r="AA33" s="1802">
        <f t="shared" si="3"/>
        <v>1</v>
      </c>
      <c r="AB33" s="1802">
        <f t="shared" si="4"/>
        <v>1</v>
      </c>
      <c r="AC33" s="1802">
        <f t="shared" si="5"/>
        <v>1</v>
      </c>
    </row>
    <row r="34" spans="1:29" ht="15.6"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16"/>
      <c r="Q34" s="1801">
        <f t="shared" si="11"/>
        <v>111</v>
      </c>
      <c r="R34" s="774" t="s">
        <v>17</v>
      </c>
      <c r="S34" s="775">
        <f t="shared" si="12"/>
        <v>100</v>
      </c>
      <c r="T34" s="774" t="s">
        <v>17</v>
      </c>
      <c r="U34" s="775">
        <f t="shared" si="13"/>
        <v>100</v>
      </c>
      <c r="V34" s="774" t="s">
        <v>17</v>
      </c>
      <c r="W34" s="775">
        <f t="shared" si="14"/>
        <v>100</v>
      </c>
      <c r="X34" s="1804"/>
      <c r="Y34" s="3216"/>
      <c r="Z34" s="1805">
        <f t="shared" si="15"/>
        <v>111</v>
      </c>
      <c r="AA34" s="1802">
        <f t="shared" si="3"/>
        <v>1</v>
      </c>
      <c r="AB34" s="1802">
        <f t="shared" si="4"/>
        <v>1</v>
      </c>
      <c r="AC34" s="1802">
        <f t="shared" si="5"/>
        <v>1</v>
      </c>
    </row>
    <row r="35" spans="1:29" ht="14.4">
      <c r="A35" s="479" t="s">
        <v>2575</v>
      </c>
      <c r="B35" s="480"/>
      <c r="C35" s="1407" t="s">
        <v>1</v>
      </c>
      <c r="D35" s="1408"/>
      <c r="E35" s="1409"/>
      <c r="F35" s="1410"/>
      <c r="G35" s="1411"/>
      <c r="H35" s="1412"/>
      <c r="I35" s="1409"/>
      <c r="J35" s="1412"/>
      <c r="K35" s="783"/>
      <c r="L35" s="1143"/>
      <c r="M35" s="1144"/>
      <c r="N35" s="1131"/>
      <c r="O35" s="1144"/>
      <c r="P35" s="3211" t="str">
        <f>A35</f>
        <v>成交单价（元/平方米）</v>
      </c>
      <c r="Q35" s="3211"/>
      <c r="R35" s="3247">
        <f>E35</f>
        <v>0</v>
      </c>
      <c r="S35" s="3247"/>
      <c r="T35" s="3247">
        <f>G35</f>
        <v>0</v>
      </c>
      <c r="U35" s="3247"/>
      <c r="V35" s="3247">
        <f>I35</f>
        <v>0</v>
      </c>
      <c r="W35" s="3247"/>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1" t="str">
        <f>A36</f>
        <v>比较价值（元/平方米）</v>
      </c>
      <c r="Q36" s="3211"/>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48" t="e">
        <f>IF(F1="售价",ROUND(AVERAGE(R36:V36),0),ROUND(AVERAGE(R36:V36),1))</f>
        <v>#DIV/0!</v>
      </c>
      <c r="S37" s="3248"/>
      <c r="T37" s="3248"/>
      <c r="U37" s="3248"/>
      <c r="V37" s="3248"/>
      <c r="W37" s="324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08" t="s">
        <v>2644</v>
      </c>
      <c r="D4" s="3221"/>
      <c r="E4" s="3222" t="s">
        <v>2645</v>
      </c>
      <c r="F4" s="3223"/>
      <c r="G4" s="3208" t="s">
        <v>2646</v>
      </c>
      <c r="H4" s="3221"/>
      <c r="I4" s="3208" t="s">
        <v>2647</v>
      </c>
      <c r="J4" s="3221"/>
      <c r="K4" s="610" t="s">
        <v>2648</v>
      </c>
      <c r="L4" s="1130"/>
      <c r="M4" s="1131"/>
      <c r="N4" s="1131"/>
      <c r="O4" s="1131"/>
      <c r="P4" s="3224" t="s">
        <v>2649</v>
      </c>
      <c r="Q4" s="3225"/>
      <c r="R4" s="3230" t="s">
        <v>2645</v>
      </c>
      <c r="S4" s="3231"/>
      <c r="T4" s="3230" t="s">
        <v>2646</v>
      </c>
      <c r="U4" s="3231"/>
      <c r="V4" s="3217" t="s">
        <v>2647</v>
      </c>
      <c r="W4" s="3217"/>
      <c r="X4" s="1804"/>
      <c r="Y4" s="3230" t="s">
        <v>2649</v>
      </c>
      <c r="Z4" s="3231"/>
      <c r="AA4" s="3218" t="s">
        <v>2645</v>
      </c>
      <c r="AB4" s="3219" t="s">
        <v>2646</v>
      </c>
      <c r="AC4" s="3218" t="s">
        <v>2647</v>
      </c>
    </row>
    <row r="5" spans="1:29">
      <c r="A5" s="404"/>
      <c r="B5" s="405"/>
      <c r="C5" s="3238" t="s">
        <v>2540</v>
      </c>
      <c r="D5" s="3239"/>
      <c r="E5" s="3245" t="s">
        <v>2541</v>
      </c>
      <c r="F5" s="3246"/>
      <c r="G5" s="3238" t="s">
        <v>2542</v>
      </c>
      <c r="H5" s="3239"/>
      <c r="I5" s="3238" t="s">
        <v>2543</v>
      </c>
      <c r="J5" s="3239"/>
      <c r="K5" s="610"/>
      <c r="L5" s="1130"/>
      <c r="M5" s="1131"/>
      <c r="N5" s="1131"/>
      <c r="O5" s="1131"/>
      <c r="P5" s="3226"/>
      <c r="Q5" s="3227"/>
      <c r="R5" s="3232"/>
      <c r="S5" s="3233"/>
      <c r="T5" s="3232"/>
      <c r="U5" s="3233"/>
      <c r="V5" s="3217"/>
      <c r="W5" s="3217"/>
      <c r="X5" s="1804"/>
      <c r="Y5" s="3232"/>
      <c r="Z5" s="3233"/>
      <c r="AA5" s="3219"/>
      <c r="AB5" s="3219"/>
      <c r="AC5" s="3219"/>
    </row>
    <row r="6" spans="1:29" ht="15" thickBot="1">
      <c r="A6" s="406"/>
      <c r="B6" s="407"/>
      <c r="C6" s="3300" t="s">
        <v>2795</v>
      </c>
      <c r="D6" s="3301"/>
      <c r="E6" s="3302" t="s">
        <v>2795</v>
      </c>
      <c r="F6" s="3303"/>
      <c r="G6" s="3300" t="s">
        <v>2795</v>
      </c>
      <c r="H6" s="3301"/>
      <c r="I6" s="3300" t="s">
        <v>2795</v>
      </c>
      <c r="J6" s="3301"/>
      <c r="K6" s="610" t="s">
        <v>2545</v>
      </c>
      <c r="L6" s="1130"/>
      <c r="M6" s="1131"/>
      <c r="N6" s="1131"/>
      <c r="O6" s="1131"/>
      <c r="P6" s="3228"/>
      <c r="Q6" s="3229"/>
      <c r="R6" s="3232"/>
      <c r="S6" s="3233"/>
      <c r="T6" s="3234"/>
      <c r="U6" s="3235"/>
      <c r="V6" s="3217"/>
      <c r="W6" s="3217"/>
      <c r="X6" s="1804"/>
      <c r="Y6" s="3234"/>
      <c r="Z6" s="3235"/>
      <c r="AA6" s="3220"/>
      <c r="AB6" s="3220"/>
      <c r="AC6" s="3220"/>
    </row>
    <row r="7" spans="1:29" s="117" customFormat="1" ht="15" thickBot="1">
      <c r="A7" s="408" t="s">
        <v>2546</v>
      </c>
      <c r="B7" s="409"/>
      <c r="C7" s="410">
        <f>'数据-取费表'!B2</f>
        <v>43980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40" t="s">
        <v>2547</v>
      </c>
      <c r="Q7" s="3242"/>
      <c r="R7" s="770" t="s">
        <v>17</v>
      </c>
      <c r="S7" s="771">
        <f t="shared" ref="S7:S15" si="0">F7</f>
        <v>0</v>
      </c>
      <c r="T7" s="770" t="s">
        <v>17</v>
      </c>
      <c r="U7" s="771">
        <f t="shared" ref="U7:U15" si="1">H7</f>
        <v>0</v>
      </c>
      <c r="V7" s="770" t="s">
        <v>17</v>
      </c>
      <c r="W7" s="771">
        <f t="shared" ref="W7:W15" si="2">J7</f>
        <v>0</v>
      </c>
      <c r="X7" s="772"/>
      <c r="Y7" s="3240" t="s">
        <v>2547</v>
      </c>
      <c r="Z7" s="3241"/>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0" t="s">
        <v>2550</v>
      </c>
      <c r="Q8" s="3241"/>
      <c r="R8" s="770" t="s">
        <v>17</v>
      </c>
      <c r="S8" s="771">
        <f t="shared" si="0"/>
        <v>0</v>
      </c>
      <c r="T8" s="770" t="s">
        <v>17</v>
      </c>
      <c r="U8" s="771">
        <f t="shared" si="1"/>
        <v>0</v>
      </c>
      <c r="V8" s="770" t="s">
        <v>17</v>
      </c>
      <c r="W8" s="771">
        <f t="shared" si="2"/>
        <v>0</v>
      </c>
      <c r="X8" s="772"/>
      <c r="Y8" s="3240" t="s">
        <v>2550</v>
      </c>
      <c r="Z8" s="3241"/>
      <c r="AA8" s="773" t="e">
        <f t="shared" ref="AA8:AA40" si="3">D8/F8</f>
        <v>#DIV/0!</v>
      </c>
      <c r="AB8" s="773" t="e">
        <f t="shared" ref="AB8:AB40" si="4">D8/H8</f>
        <v>#DIV/0!</v>
      </c>
      <c r="AC8" s="773" t="e">
        <f t="shared" ref="AC8:AC40" si="5">D8/J8</f>
        <v>#DIV/0!</v>
      </c>
    </row>
    <row r="9" spans="1:29" s="117" customFormat="1" ht="14.4">
      <c r="A9" s="415" t="s">
        <v>2551</v>
      </c>
      <c r="B9" s="71" t="s">
        <v>2552</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11" t="s">
        <v>2553</v>
      </c>
      <c r="Q9" s="1786" t="str">
        <f t="shared" ref="Q9:Q15" si="6">B9</f>
        <v>用途</v>
      </c>
      <c r="R9" s="770" t="s">
        <v>17</v>
      </c>
      <c r="S9" s="771">
        <f t="shared" si="0"/>
        <v>100</v>
      </c>
      <c r="T9" s="770" t="s">
        <v>17</v>
      </c>
      <c r="U9" s="771">
        <f t="shared" si="1"/>
        <v>100</v>
      </c>
      <c r="V9" s="770" t="s">
        <v>17</v>
      </c>
      <c r="W9" s="771">
        <f t="shared" si="2"/>
        <v>100</v>
      </c>
      <c r="X9" s="772"/>
      <c r="Y9" s="3057"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11"/>
      <c r="Q10" s="1786" t="str">
        <f t="shared" si="6"/>
        <v>土地使用年限（年）</v>
      </c>
      <c r="R10" s="770" t="s">
        <v>17</v>
      </c>
      <c r="S10" s="771">
        <f t="shared" si="0"/>
        <v>112</v>
      </c>
      <c r="T10" s="770" t="s">
        <v>17</v>
      </c>
      <c r="U10" s="771">
        <f t="shared" si="1"/>
        <v>112</v>
      </c>
      <c r="V10" s="770" t="s">
        <v>17</v>
      </c>
      <c r="W10" s="771">
        <f t="shared" si="2"/>
        <v>112</v>
      </c>
      <c r="X10" s="772"/>
      <c r="Y10" s="3057"/>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786" t="str">
        <f t="shared" si="6"/>
        <v>容积率</v>
      </c>
      <c r="R11" s="770" t="s">
        <v>17</v>
      </c>
      <c r="S11" s="771" t="e">
        <f t="shared" si="0"/>
        <v>#N/A</v>
      </c>
      <c r="T11" s="770" t="s">
        <v>17</v>
      </c>
      <c r="U11" s="771" t="e">
        <f t="shared" si="1"/>
        <v>#N/A</v>
      </c>
      <c r="V11" s="770" t="s">
        <v>17</v>
      </c>
      <c r="W11" s="771" t="e">
        <f t="shared" si="2"/>
        <v>#N/A</v>
      </c>
      <c r="X11" s="772"/>
      <c r="Y11" s="3057"/>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786">
        <f t="shared" si="6"/>
        <v>111</v>
      </c>
      <c r="R12" s="770" t="s">
        <v>17</v>
      </c>
      <c r="S12" s="771">
        <f t="shared" si="0"/>
        <v>100</v>
      </c>
      <c r="T12" s="770" t="s">
        <v>17</v>
      </c>
      <c r="U12" s="771">
        <f t="shared" si="1"/>
        <v>100</v>
      </c>
      <c r="V12" s="770" t="s">
        <v>17</v>
      </c>
      <c r="W12" s="771">
        <f t="shared" si="2"/>
        <v>100</v>
      </c>
      <c r="X12" s="772"/>
      <c r="Y12" s="3057"/>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786">
        <f t="shared" si="6"/>
        <v>111</v>
      </c>
      <c r="R13" s="770" t="s">
        <v>17</v>
      </c>
      <c r="S13" s="771">
        <f t="shared" si="0"/>
        <v>100</v>
      </c>
      <c r="T13" s="770" t="s">
        <v>17</v>
      </c>
      <c r="U13" s="771">
        <f t="shared" si="1"/>
        <v>100</v>
      </c>
      <c r="V13" s="770" t="s">
        <v>17</v>
      </c>
      <c r="W13" s="771">
        <f t="shared" si="2"/>
        <v>100</v>
      </c>
      <c r="X13" s="772"/>
      <c r="Y13" s="3057"/>
      <c r="Z13" s="55">
        <f t="shared" si="7"/>
        <v>111</v>
      </c>
      <c r="AA13" s="773">
        <f t="shared" si="3"/>
        <v>1</v>
      </c>
      <c r="AB13" s="773">
        <f t="shared" si="4"/>
        <v>1</v>
      </c>
      <c r="AC13" s="773">
        <f t="shared" si="5"/>
        <v>1</v>
      </c>
    </row>
    <row r="14" spans="1:29" ht="15.6"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786">
        <f t="shared" si="6"/>
        <v>111</v>
      </c>
      <c r="R14" s="770" t="s">
        <v>17</v>
      </c>
      <c r="S14" s="771">
        <f t="shared" si="0"/>
        <v>100</v>
      </c>
      <c r="T14" s="770" t="s">
        <v>17</v>
      </c>
      <c r="U14" s="771">
        <f t="shared" si="1"/>
        <v>100</v>
      </c>
      <c r="V14" s="770" t="s">
        <v>17</v>
      </c>
      <c r="W14" s="771">
        <f t="shared" si="2"/>
        <v>100</v>
      </c>
      <c r="X14" s="772"/>
      <c r="Y14" s="3057"/>
      <c r="Z14" s="55">
        <f t="shared" si="7"/>
        <v>111</v>
      </c>
      <c r="AA14" s="773">
        <f t="shared" si="3"/>
        <v>1</v>
      </c>
      <c r="AB14" s="773">
        <f t="shared" si="4"/>
        <v>1</v>
      </c>
      <c r="AC14" s="773">
        <f t="shared" si="5"/>
        <v>1</v>
      </c>
    </row>
    <row r="15" spans="1:29" ht="69">
      <c r="A15" s="440" t="s">
        <v>2557</v>
      </c>
      <c r="B15" s="629" t="s">
        <v>2796</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2558</v>
      </c>
      <c r="Q15" s="1801" t="str">
        <f t="shared" si="6"/>
        <v>产业集聚程度</v>
      </c>
      <c r="R15" s="774" t="s">
        <v>17</v>
      </c>
      <c r="S15" s="775">
        <f t="shared" si="0"/>
        <v>100</v>
      </c>
      <c r="T15" s="774" t="s">
        <v>17</v>
      </c>
      <c r="U15" s="775">
        <f t="shared" si="1"/>
        <v>100</v>
      </c>
      <c r="V15" s="774" t="s">
        <v>17</v>
      </c>
      <c r="W15" s="775">
        <f t="shared" si="2"/>
        <v>100</v>
      </c>
      <c r="X15" s="1804"/>
      <c r="Y15" s="3213" t="s">
        <v>2558</v>
      </c>
      <c r="Z15" s="1805" t="str">
        <f t="shared" si="7"/>
        <v>产业集聚程度</v>
      </c>
      <c r="AA15" s="1802">
        <f t="shared" si="3"/>
        <v>1</v>
      </c>
      <c r="AB15" s="1802">
        <f t="shared" si="4"/>
        <v>1</v>
      </c>
      <c r="AC15" s="1802">
        <f t="shared" si="5"/>
        <v>1</v>
      </c>
    </row>
    <row r="16" spans="1:29" ht="15">
      <c r="A16" s="428"/>
      <c r="B16" s="630"/>
      <c r="C16" s="447"/>
      <c r="D16" s="448"/>
      <c r="E16" s="2604"/>
      <c r="F16" s="448"/>
      <c r="G16" s="2604"/>
      <c r="H16" s="450"/>
      <c r="I16" s="2604"/>
      <c r="J16" s="448"/>
      <c r="K16" s="672"/>
      <c r="L16" s="1140"/>
      <c r="M16" s="1131"/>
      <c r="N16" s="1131"/>
      <c r="O16" s="1139"/>
      <c r="P16" s="3214"/>
      <c r="Q16" s="1801"/>
      <c r="R16" s="774"/>
      <c r="S16" s="775"/>
      <c r="T16" s="774"/>
      <c r="U16" s="775"/>
      <c r="V16" s="774"/>
      <c r="W16" s="775"/>
      <c r="X16" s="1804"/>
      <c r="Y16" s="3214"/>
      <c r="Z16" s="1805"/>
      <c r="AA16" s="1802">
        <v>1</v>
      </c>
      <c r="AB16" s="1802">
        <v>1</v>
      </c>
      <c r="AC16" s="1802">
        <v>1</v>
      </c>
    </row>
    <row r="17" spans="1:29" ht="96.6">
      <c r="A17" s="428"/>
      <c r="B17" s="631" t="s">
        <v>2707</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01" t="str">
        <f>B17</f>
        <v>交通便捷度</v>
      </c>
      <c r="R17" s="774" t="s">
        <v>17</v>
      </c>
      <c r="S17" s="775">
        <f>F17</f>
        <v>100</v>
      </c>
      <c r="T17" s="774" t="s">
        <v>17</v>
      </c>
      <c r="U17" s="775">
        <f>H17</f>
        <v>100</v>
      </c>
      <c r="V17" s="774" t="s">
        <v>17</v>
      </c>
      <c r="W17" s="775">
        <f>J17</f>
        <v>100</v>
      </c>
      <c r="X17" s="1804"/>
      <c r="Y17" s="3214"/>
      <c r="Z17" s="1805" t="str">
        <f>Q17</f>
        <v>交通便捷度</v>
      </c>
      <c r="AA17" s="1802">
        <f t="shared" si="3"/>
        <v>1</v>
      </c>
      <c r="AB17" s="1802">
        <f t="shared" si="4"/>
        <v>1</v>
      </c>
      <c r="AC17" s="1802">
        <f t="shared" si="5"/>
        <v>1</v>
      </c>
    </row>
    <row r="18" spans="1:29" ht="15">
      <c r="A18" s="428"/>
      <c r="B18" s="632"/>
      <c r="C18" s="447"/>
      <c r="D18" s="448"/>
      <c r="E18" s="2598"/>
      <c r="F18" s="448"/>
      <c r="G18" s="2598"/>
      <c r="H18" s="448"/>
      <c r="I18" s="2597"/>
      <c r="J18" s="448"/>
      <c r="K18" s="672"/>
      <c r="L18" s="1140"/>
      <c r="M18" s="1131"/>
      <c r="N18" s="1131"/>
      <c r="O18" s="1139"/>
      <c r="P18" s="3214"/>
      <c r="Q18" s="1801"/>
      <c r="R18" s="774"/>
      <c r="S18" s="775"/>
      <c r="T18" s="774"/>
      <c r="U18" s="775"/>
      <c r="V18" s="774"/>
      <c r="W18" s="775"/>
      <c r="X18" s="1804"/>
      <c r="Y18" s="3214"/>
      <c r="Z18" s="1805"/>
      <c r="AA18" s="1802">
        <v>1</v>
      </c>
      <c r="AB18" s="1802">
        <v>1</v>
      </c>
      <c r="AC18" s="1802">
        <v>1</v>
      </c>
    </row>
    <row r="19" spans="1:29" ht="28.8">
      <c r="A19" s="428"/>
      <c r="B19" s="631" t="s">
        <v>2746</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01" t="str">
        <f t="shared" ref="Q19:Q33" si="8">B19</f>
        <v>区域土地利用方向</v>
      </c>
      <c r="R19" s="774" t="s">
        <v>17</v>
      </c>
      <c r="S19" s="775">
        <f>F19</f>
        <v>100</v>
      </c>
      <c r="T19" s="774" t="s">
        <v>17</v>
      </c>
      <c r="U19" s="775">
        <f>H19</f>
        <v>100</v>
      </c>
      <c r="V19" s="774" t="s">
        <v>17</v>
      </c>
      <c r="W19" s="775">
        <f>J19</f>
        <v>100</v>
      </c>
      <c r="X19" s="1804"/>
      <c r="Y19" s="3214"/>
      <c r="Z19" s="1805" t="str">
        <f>Q19</f>
        <v>区域土地利用方向</v>
      </c>
      <c r="AA19" s="1802">
        <f t="shared" si="3"/>
        <v>1</v>
      </c>
      <c r="AB19" s="1802">
        <f t="shared" si="4"/>
        <v>1</v>
      </c>
      <c r="AC19" s="1802">
        <f t="shared" si="5"/>
        <v>1</v>
      </c>
    </row>
    <row r="20" spans="1:29" ht="15">
      <c r="A20" s="404"/>
      <c r="B20" s="632"/>
      <c r="C20" s="447"/>
      <c r="D20" s="448"/>
      <c r="E20" s="2598"/>
      <c r="F20" s="448"/>
      <c r="G20" s="2598"/>
      <c r="H20" s="448"/>
      <c r="I20" s="2598"/>
      <c r="J20" s="448"/>
      <c r="K20" s="812"/>
      <c r="L20" s="1140"/>
      <c r="M20" s="1131"/>
      <c r="N20" s="1131"/>
      <c r="O20" s="1139"/>
      <c r="P20" s="3214"/>
      <c r="Q20" s="1801"/>
      <c r="R20" s="774"/>
      <c r="S20" s="775"/>
      <c r="T20" s="774"/>
      <c r="U20" s="775"/>
      <c r="V20" s="774"/>
      <c r="W20" s="775"/>
      <c r="X20" s="1804"/>
      <c r="Y20" s="3214"/>
      <c r="Z20" s="1805"/>
      <c r="AA20" s="1802"/>
      <c r="AB20" s="1802"/>
      <c r="AC20" s="1802"/>
    </row>
    <row r="21" spans="1:29" ht="82.8">
      <c r="A21" s="404"/>
      <c r="B21" s="631" t="s">
        <v>2797</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01" t="str">
        <f t="shared" si="8"/>
        <v>环境状况</v>
      </c>
      <c r="R21" s="774" t="s">
        <v>17</v>
      </c>
      <c r="S21" s="775">
        <f>F21</f>
        <v>100</v>
      </c>
      <c r="T21" s="774" t="s">
        <v>17</v>
      </c>
      <c r="U21" s="775">
        <f>H21</f>
        <v>100</v>
      </c>
      <c r="V21" s="774" t="s">
        <v>17</v>
      </c>
      <c r="W21" s="775">
        <f>J21</f>
        <v>100</v>
      </c>
      <c r="X21" s="1804"/>
      <c r="Y21" s="3214"/>
      <c r="Z21" s="1805" t="str">
        <f>Q21</f>
        <v>环境状况</v>
      </c>
      <c r="AA21" s="1802">
        <f t="shared" si="3"/>
        <v>1</v>
      </c>
      <c r="AB21" s="1802">
        <f t="shared" si="4"/>
        <v>1</v>
      </c>
      <c r="AC21" s="1802">
        <f t="shared" si="5"/>
        <v>1</v>
      </c>
    </row>
    <row r="22" spans="1:29" ht="15">
      <c r="A22" s="404"/>
      <c r="B22" s="632"/>
      <c r="C22" s="447"/>
      <c r="D22" s="448"/>
      <c r="E22" s="2604"/>
      <c r="F22" s="448"/>
      <c r="G22" s="2604"/>
      <c r="H22" s="448"/>
      <c r="I22" s="447"/>
      <c r="J22" s="448"/>
      <c r="K22" s="672"/>
      <c r="L22" s="1140"/>
      <c r="M22" s="1131"/>
      <c r="N22" s="1131"/>
      <c r="O22" s="1139"/>
      <c r="P22" s="3214"/>
      <c r="Q22" s="1801"/>
      <c r="R22" s="774"/>
      <c r="S22" s="775"/>
      <c r="T22" s="774"/>
      <c r="U22" s="775"/>
      <c r="V22" s="774"/>
      <c r="W22" s="775"/>
      <c r="X22" s="1804"/>
      <c r="Y22" s="3214"/>
      <c r="Z22" s="1805"/>
      <c r="AA22" s="1802">
        <v>1</v>
      </c>
      <c r="AB22" s="1802">
        <v>1</v>
      </c>
      <c r="AC22" s="1802">
        <v>1</v>
      </c>
    </row>
    <row r="23" spans="1:29" s="117" customFormat="1" ht="41.4">
      <c r="A23" s="649"/>
      <c r="B23" s="633" t="s">
        <v>2652</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86" t="str">
        <f t="shared" si="8"/>
        <v>公共配套设施</v>
      </c>
      <c r="R23" s="770" t="s">
        <v>17</v>
      </c>
      <c r="S23" s="771">
        <f>F23</f>
        <v>100</v>
      </c>
      <c r="T23" s="770" t="s">
        <v>17</v>
      </c>
      <c r="U23" s="771">
        <f>H23</f>
        <v>100</v>
      </c>
      <c r="V23" s="770" t="s">
        <v>17</v>
      </c>
      <c r="W23" s="771">
        <f>J23</f>
        <v>100</v>
      </c>
      <c r="X23" s="772"/>
      <c r="Y23" s="3214"/>
      <c r="Z23" s="55" t="str">
        <f>Q23</f>
        <v>公共配套设施</v>
      </c>
      <c r="AA23" s="1802">
        <f>D23/F23</f>
        <v>1</v>
      </c>
      <c r="AB23" s="1802">
        <f>D23/H23</f>
        <v>1</v>
      </c>
      <c r="AC23" s="1802">
        <f>D23/J23</f>
        <v>1</v>
      </c>
    </row>
    <row r="24" spans="1:29" s="117" customFormat="1" ht="15">
      <c r="A24" s="649"/>
      <c r="B24" s="632"/>
      <c r="C24" s="2693"/>
      <c r="D24" s="448"/>
      <c r="E24" s="2604"/>
      <c r="F24" s="448"/>
      <c r="G24" s="2604"/>
      <c r="H24" s="448"/>
      <c r="I24" s="447"/>
      <c r="J24" s="448"/>
      <c r="K24" s="672"/>
      <c r="L24" s="1132"/>
      <c r="M24" s="1133"/>
      <c r="N24" s="1133"/>
      <c r="O24" s="1134"/>
      <c r="P24" s="3214"/>
      <c r="Q24" s="1786"/>
      <c r="R24" s="770"/>
      <c r="S24" s="771"/>
      <c r="T24" s="770"/>
      <c r="U24" s="771"/>
      <c r="V24" s="770"/>
      <c r="W24" s="771"/>
      <c r="X24" s="772"/>
      <c r="Y24" s="3214"/>
      <c r="Z24" s="55"/>
      <c r="AA24" s="773">
        <v>1</v>
      </c>
      <c r="AB24" s="773">
        <v>1</v>
      </c>
      <c r="AC24" s="773">
        <v>1</v>
      </c>
    </row>
    <row r="25" spans="1:29" s="117" customFormat="1" ht="41.4">
      <c r="A25" s="649"/>
      <c r="B25" s="633" t="s">
        <v>2653</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86" t="str">
        <f t="shared" ref="Q25" si="9">B25</f>
        <v>基础设施水平</v>
      </c>
      <c r="R25" s="770" t="s">
        <v>17</v>
      </c>
      <c r="S25" s="771">
        <f>F25</f>
        <v>100</v>
      </c>
      <c r="T25" s="770" t="s">
        <v>17</v>
      </c>
      <c r="U25" s="771">
        <f>H25</f>
        <v>100</v>
      </c>
      <c r="V25" s="770" t="s">
        <v>17</v>
      </c>
      <c r="W25" s="771">
        <f>J25</f>
        <v>100</v>
      </c>
      <c r="X25" s="772"/>
      <c r="Y25" s="3214"/>
      <c r="Z25" s="55" t="str">
        <f>Q25</f>
        <v>基础设施水平</v>
      </c>
      <c r="AA25" s="1802">
        <f>D25/F25</f>
        <v>1</v>
      </c>
      <c r="AB25" s="1802">
        <f>D25/H25</f>
        <v>1</v>
      </c>
      <c r="AC25" s="1802">
        <f>D25/J25</f>
        <v>1</v>
      </c>
    </row>
    <row r="26" spans="1:29" s="117" customFormat="1" ht="15">
      <c r="A26" s="649"/>
      <c r="B26" s="632"/>
      <c r="C26" s="2693"/>
      <c r="D26" s="448"/>
      <c r="E26" s="2694"/>
      <c r="F26" s="448"/>
      <c r="G26" s="2694"/>
      <c r="H26" s="448"/>
      <c r="I26" s="2694"/>
      <c r="J26" s="448"/>
      <c r="K26" s="672"/>
      <c r="L26" s="1132"/>
      <c r="M26" s="1133"/>
      <c r="N26" s="1133"/>
      <c r="O26" s="1134"/>
      <c r="P26" s="3214"/>
      <c r="Q26" s="1786"/>
      <c r="R26" s="770"/>
      <c r="S26" s="771"/>
      <c r="T26" s="770"/>
      <c r="U26" s="771"/>
      <c r="V26" s="770"/>
      <c r="W26" s="771"/>
      <c r="X26" s="772"/>
      <c r="Y26" s="3214"/>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01" t="str">
        <f t="shared" si="8"/>
        <v>临街状况</v>
      </c>
      <c r="R27" s="774" t="s">
        <v>17</v>
      </c>
      <c r="S27" s="775">
        <f t="shared" ref="S27:S40" si="10">F27</f>
        <v>100</v>
      </c>
      <c r="T27" s="774" t="s">
        <v>17</v>
      </c>
      <c r="U27" s="775">
        <f t="shared" ref="U27:U40" si="11">H27</f>
        <v>100</v>
      </c>
      <c r="V27" s="774" t="s">
        <v>17</v>
      </c>
      <c r="W27" s="775">
        <f t="shared" ref="W27:W40" si="12">J27</f>
        <v>100</v>
      </c>
      <c r="X27" s="1804"/>
      <c r="Y27" s="3214"/>
      <c r="Z27" s="1805" t="str">
        <f t="shared" ref="Z27:Z40" si="13">Q27</f>
        <v>临街状况</v>
      </c>
      <c r="AA27" s="1802">
        <f t="shared" si="3"/>
        <v>1</v>
      </c>
      <c r="AB27" s="1802">
        <f t="shared" si="4"/>
        <v>1</v>
      </c>
      <c r="AC27" s="1802">
        <f t="shared" si="5"/>
        <v>1</v>
      </c>
    </row>
    <row r="28" spans="1:29" ht="28.8">
      <c r="A28" s="428"/>
      <c r="B28" s="633" t="s">
        <v>2689</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01" t="str">
        <f t="shared" si="8"/>
        <v>毗邻道路的类型与等级</v>
      </c>
      <c r="R28" s="774" t="s">
        <v>17</v>
      </c>
      <c r="S28" s="775">
        <f t="shared" si="10"/>
        <v>100</v>
      </c>
      <c r="T28" s="774" t="s">
        <v>17</v>
      </c>
      <c r="U28" s="775">
        <f t="shared" si="11"/>
        <v>100</v>
      </c>
      <c r="V28" s="774" t="s">
        <v>17</v>
      </c>
      <c r="W28" s="775">
        <f t="shared" si="12"/>
        <v>100</v>
      </c>
      <c r="X28" s="1804"/>
      <c r="Y28" s="3214"/>
      <c r="Z28" s="1805" t="str">
        <f t="shared" si="13"/>
        <v>毗邻道路的类型与等级</v>
      </c>
      <c r="AA28" s="1802">
        <f t="shared" si="3"/>
        <v>1</v>
      </c>
      <c r="AB28" s="1802">
        <f t="shared" si="4"/>
        <v>1</v>
      </c>
      <c r="AC28" s="1802">
        <f t="shared" si="5"/>
        <v>1</v>
      </c>
    </row>
    <row r="29" spans="1:29" ht="15">
      <c r="A29" s="428"/>
      <c r="B29" s="632"/>
      <c r="C29" s="447"/>
      <c r="D29" s="448"/>
      <c r="E29" s="2604"/>
      <c r="F29" s="448"/>
      <c r="G29" s="2604"/>
      <c r="H29" s="448"/>
      <c r="I29" s="2604"/>
      <c r="J29" s="448"/>
      <c r="K29" s="613"/>
      <c r="L29" s="1140"/>
      <c r="M29" s="1131"/>
      <c r="N29" s="1131"/>
      <c r="O29" s="1139"/>
      <c r="P29" s="3214"/>
      <c r="Q29" s="1801"/>
      <c r="R29" s="774"/>
      <c r="S29" s="775"/>
      <c r="T29" s="774"/>
      <c r="U29" s="775"/>
      <c r="V29" s="774"/>
      <c r="W29" s="775"/>
      <c r="X29" s="1804"/>
      <c r="Y29" s="3214"/>
      <c r="Z29" s="1805"/>
      <c r="AA29" s="1802">
        <v>1</v>
      </c>
      <c r="AB29" s="1802">
        <v>1</v>
      </c>
      <c r="AC29" s="1802">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01" t="str">
        <f t="shared" si="8"/>
        <v>土地级别</v>
      </c>
      <c r="R30" s="774" t="s">
        <v>17</v>
      </c>
      <c r="S30" s="775">
        <f t="shared" si="10"/>
        <v>100</v>
      </c>
      <c r="T30" s="774" t="s">
        <v>17</v>
      </c>
      <c r="U30" s="775">
        <f t="shared" si="11"/>
        <v>100</v>
      </c>
      <c r="V30" s="774" t="s">
        <v>17</v>
      </c>
      <c r="W30" s="775">
        <f t="shared" si="12"/>
        <v>100</v>
      </c>
      <c r="X30" s="1804"/>
      <c r="Y30" s="3214"/>
      <c r="Z30" s="1805" t="str">
        <f t="shared" si="13"/>
        <v>土地级别</v>
      </c>
      <c r="AA30" s="1802">
        <f t="shared" si="3"/>
        <v>1</v>
      </c>
      <c r="AB30" s="1802">
        <f t="shared" si="4"/>
        <v>1</v>
      </c>
      <c r="AC30" s="1802">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01">
        <f t="shared" si="8"/>
        <v>111</v>
      </c>
      <c r="R31" s="774" t="s">
        <v>17</v>
      </c>
      <c r="S31" s="775">
        <f t="shared" si="10"/>
        <v>100</v>
      </c>
      <c r="T31" s="774" t="s">
        <v>17</v>
      </c>
      <c r="U31" s="775">
        <f t="shared" si="11"/>
        <v>100</v>
      </c>
      <c r="V31" s="774" t="s">
        <v>17</v>
      </c>
      <c r="W31" s="775">
        <f t="shared" si="12"/>
        <v>100</v>
      </c>
      <c r="X31" s="1804"/>
      <c r="Y31" s="3214"/>
      <c r="Z31" s="1805">
        <f t="shared" si="13"/>
        <v>111</v>
      </c>
      <c r="AA31" s="1802">
        <f t="shared" si="3"/>
        <v>1</v>
      </c>
      <c r="AB31" s="1802">
        <f t="shared" si="4"/>
        <v>1</v>
      </c>
      <c r="AC31" s="1802">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5" t="s">
        <v>2563</v>
      </c>
      <c r="Q32" s="1801">
        <f t="shared" si="8"/>
        <v>111</v>
      </c>
      <c r="R32" s="774" t="s">
        <v>17</v>
      </c>
      <c r="S32" s="775">
        <f t="shared" si="10"/>
        <v>100</v>
      </c>
      <c r="T32" s="774" t="s">
        <v>17</v>
      </c>
      <c r="U32" s="775">
        <f t="shared" si="11"/>
        <v>100</v>
      </c>
      <c r="V32" s="774" t="s">
        <v>17</v>
      </c>
      <c r="W32" s="775">
        <f t="shared" si="12"/>
        <v>100</v>
      </c>
      <c r="X32" s="1804"/>
      <c r="Y32" s="3216" t="s">
        <v>2563</v>
      </c>
      <c r="Z32" s="1805">
        <f t="shared" si="13"/>
        <v>111</v>
      </c>
      <c r="AA32" s="1802">
        <f t="shared" si="3"/>
        <v>1</v>
      </c>
      <c r="AB32" s="1802">
        <f t="shared" si="4"/>
        <v>1</v>
      </c>
      <c r="AC32" s="1802">
        <f t="shared" si="5"/>
        <v>1</v>
      </c>
    </row>
    <row r="33" spans="1:29" s="471" customFormat="1" ht="15.6"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01">
        <f t="shared" si="8"/>
        <v>111</v>
      </c>
      <c r="R33" s="777" t="s">
        <v>17</v>
      </c>
      <c r="S33" s="778">
        <f t="shared" si="10"/>
        <v>100</v>
      </c>
      <c r="T33" s="777" t="s">
        <v>17</v>
      </c>
      <c r="U33" s="778">
        <f t="shared" si="11"/>
        <v>100</v>
      </c>
      <c r="V33" s="777" t="s">
        <v>17</v>
      </c>
      <c r="W33" s="778">
        <f t="shared" si="12"/>
        <v>100</v>
      </c>
      <c r="X33" s="779"/>
      <c r="Y33" s="3216"/>
      <c r="Z33" s="780">
        <f t="shared" si="13"/>
        <v>111</v>
      </c>
      <c r="AA33" s="1802">
        <f t="shared" si="3"/>
        <v>1</v>
      </c>
      <c r="AB33" s="1802">
        <f t="shared" si="4"/>
        <v>1</v>
      </c>
      <c r="AC33" s="180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01" t="str">
        <f>B34</f>
        <v>宗地面积</v>
      </c>
      <c r="R34" s="774" t="s">
        <v>17</v>
      </c>
      <c r="S34" s="775" t="e">
        <f t="shared" si="10"/>
        <v>#N/A</v>
      </c>
      <c r="T34" s="774" t="s">
        <v>17</v>
      </c>
      <c r="U34" s="775" t="e">
        <f t="shared" si="11"/>
        <v>#N/A</v>
      </c>
      <c r="V34" s="774" t="s">
        <v>17</v>
      </c>
      <c r="W34" s="775" t="e">
        <f t="shared" si="12"/>
        <v>#N/A</v>
      </c>
      <c r="X34" s="1804"/>
      <c r="Y34" s="3216"/>
      <c r="Z34" s="1805" t="str">
        <f t="shared" si="13"/>
        <v>宗地面积</v>
      </c>
      <c r="AA34" s="1802" t="e">
        <f t="shared" si="3"/>
        <v>#N/A</v>
      </c>
      <c r="AB34" s="1802" t="e">
        <f t="shared" si="4"/>
        <v>#N/A</v>
      </c>
      <c r="AC34" s="1802" t="e">
        <f t="shared" si="5"/>
        <v>#N/A</v>
      </c>
    </row>
    <row r="35" spans="1:29" ht="15">
      <c r="A35" s="472"/>
      <c r="B35" s="422" t="s">
        <v>2750</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16"/>
      <c r="Q35" s="1801" t="str">
        <f t="shared" ref="Q35:Q40" si="14">B35</f>
        <v>宗地形状</v>
      </c>
      <c r="R35" s="774" t="s">
        <v>17</v>
      </c>
      <c r="S35" s="775">
        <f t="shared" si="10"/>
        <v>100</v>
      </c>
      <c r="T35" s="774" t="s">
        <v>17</v>
      </c>
      <c r="U35" s="775">
        <f t="shared" si="11"/>
        <v>100</v>
      </c>
      <c r="V35" s="774" t="s">
        <v>17</v>
      </c>
      <c r="W35" s="775">
        <f t="shared" si="12"/>
        <v>100</v>
      </c>
      <c r="X35" s="1804"/>
      <c r="Y35" s="3216"/>
      <c r="Z35" s="1805" t="str">
        <f t="shared" si="13"/>
        <v>宗地形状</v>
      </c>
      <c r="AA35" s="1802">
        <f t="shared" si="3"/>
        <v>1</v>
      </c>
      <c r="AB35" s="1802">
        <f t="shared" si="4"/>
        <v>1</v>
      </c>
      <c r="AC35" s="1802">
        <f t="shared" si="5"/>
        <v>1</v>
      </c>
    </row>
    <row r="36" spans="1:29" s="117" customFormat="1" ht="15">
      <c r="A36" s="473"/>
      <c r="B36" s="422" t="s">
        <v>2752</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16"/>
      <c r="Q36" s="1801"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2753</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16" t="s">
        <v>2563</v>
      </c>
      <c r="Q37" s="1801" t="str">
        <f t="shared" si="14"/>
        <v>工程地质条件</v>
      </c>
      <c r="R37" s="774" t="s">
        <v>17</v>
      </c>
      <c r="S37" s="775">
        <f t="shared" si="10"/>
        <v>100</v>
      </c>
      <c r="T37" s="774" t="s">
        <v>17</v>
      </c>
      <c r="U37" s="775">
        <f t="shared" si="11"/>
        <v>100</v>
      </c>
      <c r="V37" s="774" t="s">
        <v>17</v>
      </c>
      <c r="W37" s="775">
        <f t="shared" si="12"/>
        <v>100</v>
      </c>
      <c r="X37" s="1804"/>
      <c r="Y37" s="3216" t="s">
        <v>2563</v>
      </c>
      <c r="Z37" s="1805" t="str">
        <f t="shared" si="13"/>
        <v>工程地质条件</v>
      </c>
      <c r="AA37" s="1802">
        <f t="shared" si="3"/>
        <v>1</v>
      </c>
      <c r="AB37" s="1802">
        <f t="shared" si="4"/>
        <v>1</v>
      </c>
      <c r="AC37" s="1802">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01">
        <f t="shared" si="14"/>
        <v>111</v>
      </c>
      <c r="R38" s="774" t="s">
        <v>17</v>
      </c>
      <c r="S38" s="775">
        <f t="shared" si="10"/>
        <v>100</v>
      </c>
      <c r="T38" s="774" t="s">
        <v>17</v>
      </c>
      <c r="U38" s="775">
        <f t="shared" si="11"/>
        <v>100</v>
      </c>
      <c r="V38" s="774" t="s">
        <v>17</v>
      </c>
      <c r="W38" s="775">
        <f t="shared" si="12"/>
        <v>100</v>
      </c>
      <c r="X38" s="1804"/>
      <c r="Y38" s="3216"/>
      <c r="Z38" s="1805">
        <f t="shared" si="13"/>
        <v>111</v>
      </c>
      <c r="AA38" s="1802">
        <f t="shared" si="3"/>
        <v>1</v>
      </c>
      <c r="AB38" s="1802">
        <f t="shared" si="4"/>
        <v>1</v>
      </c>
      <c r="AC38" s="1802">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01">
        <f t="shared" si="14"/>
        <v>111</v>
      </c>
      <c r="R39" s="774" t="s">
        <v>17</v>
      </c>
      <c r="S39" s="775">
        <f t="shared" si="10"/>
        <v>100</v>
      </c>
      <c r="T39" s="774" t="s">
        <v>17</v>
      </c>
      <c r="U39" s="775">
        <f t="shared" si="11"/>
        <v>100</v>
      </c>
      <c r="V39" s="774" t="s">
        <v>17</v>
      </c>
      <c r="W39" s="775">
        <f t="shared" si="12"/>
        <v>100</v>
      </c>
      <c r="X39" s="1804"/>
      <c r="Y39" s="3216"/>
      <c r="Z39" s="1805">
        <f t="shared" si="13"/>
        <v>111</v>
      </c>
      <c r="AA39" s="1802">
        <f t="shared" si="3"/>
        <v>1</v>
      </c>
      <c r="AB39" s="1802">
        <f t="shared" si="4"/>
        <v>1</v>
      </c>
      <c r="AC39" s="1802">
        <f t="shared" si="5"/>
        <v>1</v>
      </c>
    </row>
    <row r="40" spans="1:29" s="471" customFormat="1" ht="15.6"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01">
        <f t="shared" si="14"/>
        <v>111</v>
      </c>
      <c r="R40" s="777" t="s">
        <v>17</v>
      </c>
      <c r="S40" s="778">
        <f t="shared" si="10"/>
        <v>100</v>
      </c>
      <c r="T40" s="777" t="s">
        <v>17</v>
      </c>
      <c r="U40" s="778">
        <f t="shared" si="11"/>
        <v>100</v>
      </c>
      <c r="V40" s="777" t="s">
        <v>17</v>
      </c>
      <c r="W40" s="778">
        <f t="shared" si="12"/>
        <v>100</v>
      </c>
      <c r="X40" s="779"/>
      <c r="Y40" s="3216"/>
      <c r="Z40" s="780">
        <f t="shared" si="13"/>
        <v>111</v>
      </c>
      <c r="AA40" s="1802">
        <f t="shared" si="3"/>
        <v>1</v>
      </c>
      <c r="AB40" s="1802">
        <f t="shared" si="4"/>
        <v>1</v>
      </c>
      <c r="AC40" s="1802">
        <f t="shared" si="5"/>
        <v>1</v>
      </c>
    </row>
    <row r="41" spans="1:29" ht="14.4">
      <c r="A41" s="479" t="s">
        <v>2718</v>
      </c>
      <c r="B41" s="2697" t="s">
        <v>2798</v>
      </c>
      <c r="C41" s="682" t="s">
        <v>1</v>
      </c>
      <c r="D41" s="481"/>
      <c r="E41" s="482"/>
      <c r="F41" s="483"/>
      <c r="G41" s="484"/>
      <c r="H41" s="485"/>
      <c r="I41" s="482"/>
      <c r="J41" s="485"/>
      <c r="K41" s="783"/>
      <c r="L41" s="1143"/>
      <c r="M41" s="1131"/>
      <c r="N41" s="1131"/>
      <c r="O41" s="1144"/>
      <c r="P41" s="3211" t="str">
        <f>A41</f>
        <v>成交单价</v>
      </c>
      <c r="Q41" s="3211"/>
      <c r="R41" s="3217">
        <f>E41</f>
        <v>0</v>
      </c>
      <c r="S41" s="3217"/>
      <c r="T41" s="3217">
        <f>G41</f>
        <v>0</v>
      </c>
      <c r="U41" s="3217"/>
      <c r="V41" s="3217">
        <f>I41</f>
        <v>0</v>
      </c>
      <c r="W41" s="3217"/>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1" t="str">
        <f>A42</f>
        <v>比较价值（元/平方米）</v>
      </c>
      <c r="Q42" s="3211"/>
      <c r="R42" s="3204" t="e">
        <f>ROUND(PRODUCT(R41,AA7:AA40),0)</f>
        <v>#DIV/0!</v>
      </c>
      <c r="S42" s="3204"/>
      <c r="T42" s="3204" t="e">
        <f>ROUND(PRODUCT(T41,AB7:AB40),0)</f>
        <v>#DIV/0!</v>
      </c>
      <c r="U42" s="3204"/>
      <c r="V42" s="3204" t="e">
        <f>ROUND(PRODUCT(V41,AC7:AC40),0)</f>
        <v>#DIV/0!</v>
      </c>
      <c r="W42" s="3204"/>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07" t="e">
        <f>ROUND(AVERAGE(R42:V42),0)</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698" t="s">
        <v>2758</v>
      </c>
      <c r="D50" s="2699" t="s">
        <v>2759</v>
      </c>
      <c r="E50" s="686" t="s">
        <v>2760</v>
      </c>
      <c r="F50" s="687" t="s">
        <v>2761</v>
      </c>
      <c r="G50" s="3208" t="s">
        <v>2762</v>
      </c>
      <c r="H50" s="3209"/>
      <c r="I50" s="1805" t="s">
        <v>2799</v>
      </c>
      <c r="J50" s="1805">
        <f>项目基本情况!F35</f>
        <v>0</v>
      </c>
      <c r="K50" s="2701" t="s">
        <v>2764</v>
      </c>
      <c r="L50" s="1106"/>
      <c r="M50" s="1144"/>
      <c r="N50" s="1144"/>
      <c r="O50" s="1144"/>
    </row>
    <row r="51" spans="1:17" s="692" customFormat="1">
      <c r="A51" s="688" t="s">
        <v>2765</v>
      </c>
      <c r="B51" s="689" t="e">
        <f>C43</f>
        <v>#DIV/0!</v>
      </c>
      <c r="C51" s="690">
        <v>1</v>
      </c>
      <c r="D51" s="1163">
        <v>1</v>
      </c>
      <c r="E51" s="690">
        <f>'数据-汇总表'!E8+'数据-汇总表'!E9</f>
        <v>58289.510000000017</v>
      </c>
      <c r="F51" s="691" t="e">
        <f t="shared" ref="F51:F60" si="15">ROUND(B51*E51/10000,0)</f>
        <v>#DIV/0!</v>
      </c>
      <c r="G51" s="3210"/>
      <c r="H51" s="3211"/>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12"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12"/>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12"/>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12"/>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2"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2" t="s">
        <v>2767</v>
      </c>
      <c r="H59" s="1104">
        <f>项目基本情况!B37</f>
        <v>0</v>
      </c>
      <c r="I59" s="942">
        <f>SUMIF(修正!A45:A56,H59,修正!H45:H56)</f>
        <v>0</v>
      </c>
      <c r="J59" s="943"/>
      <c r="K59" s="1145"/>
      <c r="L59" s="941"/>
      <c r="M59" s="941"/>
      <c r="N59" s="941"/>
      <c r="O59" s="941"/>
    </row>
    <row r="60" spans="1:17" s="692" customFormat="1" ht="14.4" thickBot="1">
      <c r="A60" s="693" t="s">
        <v>2778</v>
      </c>
      <c r="B60" s="262" t="e">
        <f t="shared" si="17"/>
        <v>#DIV/0!</v>
      </c>
      <c r="C60" s="200">
        <f t="shared" si="16"/>
        <v>0</v>
      </c>
      <c r="D60" s="1164">
        <v>0.25</v>
      </c>
      <c r="E60" s="261">
        <f>'数据-汇总表'!E15</f>
        <v>15225.21</v>
      </c>
      <c r="F60" s="691" t="e">
        <f t="shared" si="15"/>
        <v>#DIV/0!</v>
      </c>
      <c r="G60" s="2703" t="s">
        <v>2772</v>
      </c>
      <c r="H60" s="1114">
        <f>项目基本情况!C37</f>
        <v>0</v>
      </c>
      <c r="I60" s="942">
        <f>SUMIF(修正!A45:A56,H60,修正!H45:H56)</f>
        <v>0</v>
      </c>
      <c r="J60" s="943"/>
      <c r="K60" s="1144"/>
      <c r="L60" s="941"/>
      <c r="M60" s="941"/>
      <c r="N60" s="941"/>
      <c r="O60" s="941"/>
    </row>
    <row r="61" spans="1:17" s="692" customFormat="1" ht="14.4" thickBot="1">
      <c r="A61" s="695" t="s">
        <v>2779</v>
      </c>
      <c r="B61" s="696" t="s">
        <v>28</v>
      </c>
      <c r="C61" s="696" t="s">
        <v>29</v>
      </c>
      <c r="D61" s="696" t="s">
        <v>1025</v>
      </c>
      <c r="E61" s="696">
        <f>IF(B41="楼面地价",SUM(E51:E60),'数据-汇总表'!D3)</f>
        <v>10609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4" t="s">
        <v>2780</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1" customWidth="1"/>
    <col min="2" max="2" width="19.21875" style="2887" customWidth="1"/>
    <col min="3" max="4" width="12" style="2713"/>
    <col min="5" max="5" width="14.6640625" style="2713" customWidth="1"/>
    <col min="6" max="8" width="12" style="2713"/>
    <col min="9" max="9" width="12.21875" style="2713" bestFit="1" customWidth="1"/>
    <col min="10" max="10" width="12" style="2713"/>
    <col min="11" max="11" width="8.109375" style="2776" customWidth="1"/>
    <col min="12" max="12" width="12" style="2713"/>
    <col min="13" max="13" width="8.44140625" style="2713" customWidth="1"/>
    <col min="14" max="14" width="9.77734375" style="2713" customWidth="1"/>
    <col min="15" max="25" width="12" style="2713"/>
    <col min="26" max="26" width="9.33203125" style="2781" customWidth="1"/>
    <col min="27" max="32" width="9.33203125" style="1372" customWidth="1"/>
    <col min="33" max="36" width="9.33203125" style="2781" customWidth="1"/>
    <col min="37" max="38" width="9.33203125" style="2713" customWidth="1"/>
    <col min="39" max="16384" width="12" style="2713"/>
  </cols>
  <sheetData>
    <row r="1" spans="1:36" ht="31.2">
      <c r="A1" s="240" t="s">
        <v>2802</v>
      </c>
      <c r="B1" s="241"/>
      <c r="C1" s="245" t="s">
        <v>2803</v>
      </c>
      <c r="D1" s="388">
        <f>SUM(D29:D30,D33:D39)</f>
        <v>0</v>
      </c>
      <c r="E1" s="2710"/>
      <c r="F1" s="2710"/>
      <c r="G1" s="2710"/>
      <c r="H1" s="2710"/>
      <c r="I1" s="2710"/>
      <c r="J1" s="2710"/>
      <c r="K1" s="1370"/>
      <c r="L1" s="2711" t="s">
        <v>2804</v>
      </c>
      <c r="M1" s="1080">
        <f>SUMPRODUCT((区片价!B5:B9=I2)*(区片价!C3:F3=E2)*(区片价!C5:F9))</f>
        <v>0</v>
      </c>
      <c r="N1" s="1083">
        <f>SUMPRODUCT((因素修正幅度!B5:B9=I2)*(因素修正幅度!C3:F3=E2)*(因素修正幅度!C5:F9))</f>
        <v>0</v>
      </c>
      <c r="O1" s="2712"/>
      <c r="P1" s="2712"/>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6">
      <c r="A2" s="245" t="s">
        <v>2810</v>
      </c>
      <c r="B2" s="248" t="e">
        <f>C26</f>
        <v>#DIV/0!</v>
      </c>
      <c r="C2" s="2714" t="s">
        <v>2811</v>
      </c>
      <c r="D2" s="2715" t="s">
        <v>2812</v>
      </c>
      <c r="E2" s="2716"/>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70"/>
      <c r="L2" s="2719"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6">
      <c r="A3" s="247" t="s">
        <v>2816</v>
      </c>
      <c r="B3" s="248" t="e">
        <f>ROUND(B2*10000/D1,0)</f>
        <v>#DIV/0!</v>
      </c>
      <c r="C3" s="2714" t="s">
        <v>2817</v>
      </c>
      <c r="D3" s="2715" t="s">
        <v>2818</v>
      </c>
      <c r="E3" s="2720"/>
      <c r="F3" s="2721" t="s">
        <v>2819</v>
      </c>
      <c r="G3" s="916">
        <f>IF(F3="宗地容积率",'数据-汇总表'!I4,IF(F3="估价对象容积率",'数据-汇总表'!I6,'数据-汇总表'!I7))</f>
        <v>5.49</v>
      </c>
      <c r="H3" s="198" t="s">
        <v>2820</v>
      </c>
      <c r="I3" s="944"/>
      <c r="J3" s="2718" t="s">
        <v>2821</v>
      </c>
      <c r="K3" s="1370"/>
      <c r="L3" s="2719"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6">
      <c r="A4" s="3307"/>
      <c r="B4" s="3308"/>
      <c r="C4" s="3308"/>
      <c r="D4" s="3309"/>
      <c r="E4" s="3309"/>
      <c r="F4" s="3309"/>
      <c r="G4" s="3309"/>
      <c r="H4" s="3309"/>
      <c r="I4" s="3309"/>
      <c r="J4" s="3310"/>
      <c r="K4" s="1370"/>
      <c r="L4" s="2719"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6" thickBot="1">
      <c r="A5" s="2722" t="s">
        <v>807</v>
      </c>
      <c r="B5" s="2723" t="s">
        <v>2824</v>
      </c>
      <c r="C5" s="917" t="e">
        <f>ROUND(IF(E2="商业",C6*C7+C16,(IF(E2="住宅",C6*C12+C16,C6+C16))),0)</f>
        <v>#DIV/0!</v>
      </c>
      <c r="D5" s="1778" t="e">
        <f>ROUND(C6+C16,0)</f>
        <v>#DIV/0!</v>
      </c>
      <c r="E5" s="1778"/>
      <c r="F5" s="2724"/>
      <c r="G5" s="2725"/>
      <c r="H5" s="2725"/>
      <c r="I5" s="2725"/>
      <c r="J5" s="2726"/>
      <c r="K5" s="2727"/>
      <c r="L5" s="2719"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6" thickBot="1">
      <c r="A6" s="2732" t="s">
        <v>2826</v>
      </c>
      <c r="B6" s="2733" t="s">
        <v>2827</v>
      </c>
      <c r="C6" s="918">
        <f>SUMIF(L1:L12,G2,M1:M12)</f>
        <v>0</v>
      </c>
      <c r="D6" s="2734" t="s">
        <v>2828</v>
      </c>
      <c r="E6" s="2735"/>
      <c r="F6" s="2735"/>
      <c r="G6" s="2736"/>
      <c r="H6" s="2736"/>
      <c r="I6" s="2736"/>
      <c r="J6" s="2737"/>
      <c r="K6" s="1833"/>
      <c r="L6" s="2719"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311" t="str">
        <f>IF(E2="商业",IF(C8="不临58条商业街","",2),"")</f>
        <v/>
      </c>
      <c r="B7" s="2738" t="s">
        <v>2830</v>
      </c>
      <c r="C7" s="919" t="e">
        <f>IF(C8="不临58条商业街",1,ROUND(1+(1.6*E8+1.2*E9+0.8*E10+0.4*E11)*C9,4))</f>
        <v>#DIV/0!</v>
      </c>
      <c r="D7" s="2739" t="s">
        <v>2831</v>
      </c>
      <c r="E7" s="945"/>
      <c r="F7" s="2740"/>
      <c r="G7" s="2741"/>
      <c r="H7" s="2741"/>
      <c r="I7" s="2741"/>
      <c r="J7" s="2742"/>
      <c r="K7" s="1833"/>
      <c r="L7" s="2719"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7" t="s">
        <v>2833</v>
      </c>
      <c r="X7" s="1604">
        <f>G2</f>
        <v>0</v>
      </c>
      <c r="Y7" s="1604" t="s">
        <v>2834</v>
      </c>
      <c r="Z7" s="1605">
        <f>G3</f>
        <v>5.49</v>
      </c>
      <c r="AA7" s="1606"/>
      <c r="AB7" s="1606"/>
      <c r="AC7" s="1607"/>
      <c r="AD7" s="1608"/>
      <c r="AE7" s="1608"/>
      <c r="AF7" s="1608"/>
      <c r="AG7" s="1608"/>
      <c r="AH7" s="1608"/>
      <c r="AI7" s="1608"/>
      <c r="AJ7" s="1609"/>
    </row>
    <row r="8" spans="1:36" ht="15">
      <c r="A8" s="3312"/>
      <c r="B8" s="198" t="s">
        <v>2835</v>
      </c>
      <c r="C8" s="2743"/>
      <c r="D8" s="920" t="s">
        <v>139</v>
      </c>
      <c r="E8" s="921" t="e">
        <f>ROUND(C11/E7,4)</f>
        <v>#DIV/0!</v>
      </c>
      <c r="F8" s="2744" t="s">
        <v>2836</v>
      </c>
      <c r="G8" s="2745"/>
      <c r="H8" s="2745"/>
      <c r="I8" s="2745"/>
      <c r="J8" s="2746"/>
      <c r="K8" s="1370"/>
      <c r="L8" s="2719"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04" t="s">
        <v>2838</v>
      </c>
      <c r="X8" s="3305"/>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12"/>
      <c r="B9" s="198" t="s">
        <v>2851</v>
      </c>
      <c r="C9" s="922">
        <f>SUMIF(修正!C59:C119,C8,修正!E59:E119)</f>
        <v>0</v>
      </c>
      <c r="D9" s="200" t="s">
        <v>140</v>
      </c>
      <c r="E9" s="200" t="e">
        <f>ROUND(C11/E7,4)</f>
        <v>#DIV/0!</v>
      </c>
      <c r="F9" s="2744" t="s">
        <v>2852</v>
      </c>
      <c r="G9" s="2745"/>
      <c r="H9" s="2745"/>
      <c r="I9" s="2745"/>
      <c r="J9" s="2746"/>
      <c r="K9" s="1370"/>
      <c r="L9" s="2719"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6" t="s">
        <v>2854</v>
      </c>
      <c r="X9" s="1611" t="s">
        <v>2855</v>
      </c>
      <c r="Y9" s="1763"/>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2"/>
      <c r="B10" s="198" t="s">
        <v>2856</v>
      </c>
      <c r="C10" s="200">
        <f>SUMIF(修正!C59:C119,C8,修正!F59:F119)</f>
        <v>0</v>
      </c>
      <c r="D10" s="200" t="s">
        <v>141</v>
      </c>
      <c r="E10" s="200" t="e">
        <f>ROUND(C11/E7,4)</f>
        <v>#DIV/0!</v>
      </c>
      <c r="F10" s="2744" t="s">
        <v>2857</v>
      </c>
      <c r="G10" s="2745"/>
      <c r="H10" s="2745"/>
      <c r="I10" s="2745"/>
      <c r="J10" s="2746"/>
      <c r="K10" s="1370"/>
      <c r="L10" s="2719"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312"/>
      <c r="B11" s="2747" t="s">
        <v>2859</v>
      </c>
      <c r="C11" s="923">
        <f>C10/4</f>
        <v>0</v>
      </c>
      <c r="D11" s="923" t="s">
        <v>142</v>
      </c>
      <c r="E11" s="923" t="e">
        <f>ROUND(C11/E7,4)</f>
        <v>#DIV/0!</v>
      </c>
      <c r="F11" s="2748" t="s">
        <v>2860</v>
      </c>
      <c r="G11" s="2749"/>
      <c r="H11" s="2749"/>
      <c r="I11" s="2749"/>
      <c r="J11" s="2750"/>
      <c r="K11" s="1370"/>
      <c r="L11" s="2719"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6" t="s">
        <v>2862</v>
      </c>
      <c r="X11" s="1614" t="s">
        <v>2863</v>
      </c>
      <c r="Y11" s="1615">
        <f>$G$3</f>
        <v>5.49</v>
      </c>
      <c r="Z11" s="1615">
        <f t="shared" ref="Z11:AJ11" si="3">$G$3</f>
        <v>5.49</v>
      </c>
      <c r="AA11" s="1615">
        <f t="shared" si="3"/>
        <v>5.49</v>
      </c>
      <c r="AB11" s="1615">
        <f t="shared" si="3"/>
        <v>5.49</v>
      </c>
      <c r="AC11" s="1615">
        <f t="shared" si="3"/>
        <v>5.49</v>
      </c>
      <c r="AD11" s="1615">
        <f t="shared" si="3"/>
        <v>5.49</v>
      </c>
      <c r="AE11" s="1615">
        <f t="shared" si="3"/>
        <v>5.49</v>
      </c>
      <c r="AF11" s="1615">
        <f t="shared" si="3"/>
        <v>5.49</v>
      </c>
      <c r="AG11" s="1615">
        <f t="shared" si="3"/>
        <v>5.49</v>
      </c>
      <c r="AH11" s="1615">
        <f t="shared" si="3"/>
        <v>5.49</v>
      </c>
      <c r="AI11" s="1615">
        <f t="shared" si="3"/>
        <v>5.49</v>
      </c>
      <c r="AJ11" s="1615">
        <f t="shared" si="3"/>
        <v>5.49</v>
      </c>
    </row>
    <row r="12" spans="1:36" ht="25.8" thickBot="1">
      <c r="A12" s="3311" t="s">
        <v>2864</v>
      </c>
      <c r="B12" s="2751" t="s">
        <v>2865</v>
      </c>
      <c r="C12" s="919">
        <f>ROUND(C15*D15*E15*F15*G15*H15*I15*J15,4)</f>
        <v>1</v>
      </c>
      <c r="D12" s="2752" t="s">
        <v>2866</v>
      </c>
      <c r="E12" s="2753"/>
      <c r="F12" s="2753"/>
      <c r="G12" s="2754"/>
      <c r="H12" s="2754"/>
      <c r="I12" s="2754"/>
      <c r="J12" s="2755"/>
      <c r="K12" s="1370"/>
      <c r="L12" s="2756"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6"/>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3"/>
      <c r="B13" s="2757" t="s">
        <v>2869</v>
      </c>
      <c r="C13" s="2758" t="s">
        <v>2870</v>
      </c>
      <c r="D13" s="1799" t="s">
        <v>2871</v>
      </c>
      <c r="E13" s="1799" t="s">
        <v>2872</v>
      </c>
      <c r="F13" s="30" t="s">
        <v>2873</v>
      </c>
      <c r="G13" s="2759" t="s">
        <v>2874</v>
      </c>
      <c r="H13" s="2759" t="s">
        <v>2874</v>
      </c>
      <c r="I13" s="2759" t="s">
        <v>2874</v>
      </c>
      <c r="J13" s="2760" t="s">
        <v>2874</v>
      </c>
      <c r="K13" s="1370"/>
      <c r="L13" s="1370"/>
      <c r="M13" s="1370"/>
      <c r="N13" s="1370"/>
      <c r="O13" s="1370"/>
      <c r="P13" s="1370"/>
      <c r="Q13" s="1370"/>
      <c r="R13" s="1602">
        <v>12</v>
      </c>
      <c r="S13" s="1603"/>
      <c r="T13" s="1602" t="e">
        <f t="shared" si="0"/>
        <v>#DIV/0!</v>
      </c>
      <c r="U13" s="1603"/>
      <c r="V13" s="1602" t="e">
        <f t="shared" si="1"/>
        <v>#DIV/0!</v>
      </c>
      <c r="W13" s="3306"/>
      <c r="X13" s="1616"/>
      <c r="Y13" s="1613">
        <f>(-0.163*(Y12^2)-0.59*Y12+7617)*(10^(-4))/Y11</f>
        <v>0.1387431693989071</v>
      </c>
      <c r="Z13" s="1613">
        <f t="shared" ref="Z13:AJ13" si="5">(-0.163*(Z12^2)-0.59*Z12+7617)*(10^(-4))/Z11</f>
        <v>0.1387431693989071</v>
      </c>
      <c r="AA13" s="1613">
        <f t="shared" si="5"/>
        <v>0.1387431693989071</v>
      </c>
      <c r="AB13" s="1613">
        <f t="shared" si="5"/>
        <v>0.1387431693989071</v>
      </c>
      <c r="AC13" s="1613">
        <f t="shared" si="5"/>
        <v>0.1387431693989071</v>
      </c>
      <c r="AD13" s="1613">
        <f t="shared" si="5"/>
        <v>0.1387431693989071</v>
      </c>
      <c r="AE13" s="1613">
        <f t="shared" si="5"/>
        <v>0.1387431693989071</v>
      </c>
      <c r="AF13" s="1613">
        <f t="shared" si="5"/>
        <v>0.1387431693989071</v>
      </c>
      <c r="AG13" s="1613">
        <f t="shared" si="5"/>
        <v>0.1387431693989071</v>
      </c>
      <c r="AH13" s="1613">
        <f t="shared" si="5"/>
        <v>0.1387431693989071</v>
      </c>
      <c r="AI13" s="1613">
        <f t="shared" si="5"/>
        <v>0.1387431693989071</v>
      </c>
      <c r="AJ13" s="1613">
        <f t="shared" si="5"/>
        <v>0.1387431693989071</v>
      </c>
    </row>
    <row r="14" spans="1:36" ht="15">
      <c r="A14" s="3313"/>
      <c r="B14" s="2761"/>
      <c r="C14" s="2762"/>
      <c r="D14" s="2763"/>
      <c r="E14" s="2763"/>
      <c r="F14" s="2764"/>
      <c r="G14" s="2765" t="s">
        <v>2875</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6" thickBot="1">
      <c r="A15" s="3314"/>
      <c r="B15" s="2769"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11" t="s">
        <v>2881</v>
      </c>
      <c r="B16" s="2738" t="s">
        <v>2882</v>
      </c>
      <c r="C16" s="2925" t="e">
        <f>ROUND(IF(F17="与级别开发程度一致",0,(G17-E17)/C17),0)</f>
        <v>#DIV/0!</v>
      </c>
      <c r="D16" s="3325" t="s">
        <v>2886</v>
      </c>
      <c r="E16" s="3326"/>
      <c r="F16" s="3325" t="s">
        <v>2883</v>
      </c>
      <c r="G16" s="3326"/>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8" thickBot="1">
      <c r="A17" s="3315"/>
      <c r="B17" s="2936" t="s">
        <v>2885</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 thickBot="1">
      <c r="A18" s="2930" t="s">
        <v>808</v>
      </c>
      <c r="B18" s="2931" t="s">
        <v>2888</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4" thickBot="1">
      <c r="A19" s="2777" t="s">
        <v>809</v>
      </c>
      <c r="B19" s="2778" t="s">
        <v>2889</v>
      </c>
      <c r="C19" s="924" t="e">
        <f>ROUND(IF(H19="按公示增长率计算",SUMPRODUCT((地价!A3:A30=YEAR(G19)&amp;"-"&amp;ROUNDUP(MONTH(G19)/3,0))*(地价!X2:AB2=E2)*(地价!X3:AB30)),IF(H19="地价指数",M20/M19,(1+I19)^O19)),4)</f>
        <v>#VALUE!</v>
      </c>
      <c r="D19" s="2782" t="s">
        <v>2890</v>
      </c>
      <c r="E19" s="925">
        <v>41640</v>
      </c>
      <c r="F19" s="2782" t="s">
        <v>2891</v>
      </c>
      <c r="G19" s="926">
        <f>'数据-取费表'!B2</f>
        <v>43980</v>
      </c>
      <c r="H19" s="2783"/>
      <c r="I19" s="927" t="str">
        <f>IF(H19="季度增幅（自定义）",SUMIF(N21:N24,E2,O21:O24),"")</f>
        <v/>
      </c>
      <c r="J19" s="2780"/>
      <c r="K19" s="1377"/>
      <c r="L19" s="2784" t="s">
        <v>2892</v>
      </c>
      <c r="M19" s="1734">
        <f>ROUND(SUMIF(地价!B2:F2,E2,地价!B30:F30),0)</f>
        <v>0</v>
      </c>
      <c r="N19" s="2785"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9.4" thickBot="1">
      <c r="A20" s="2789" t="s">
        <v>810</v>
      </c>
      <c r="B20" s="2790" t="s">
        <v>2894</v>
      </c>
      <c r="C20" s="929" t="e">
        <f>ROUND(POWER(1+G20,J20-I20)*(POWER(1+G20,I20)-1)/(POWER(1+G20,J20)-1),4)</f>
        <v>#DIV/0!</v>
      </c>
      <c r="D20" s="2791" t="s">
        <v>2895</v>
      </c>
      <c r="E20" s="1760">
        <f ca="1">存贷款利率!D4/100</f>
        <v>4.3499999999999997E-2</v>
      </c>
      <c r="F20" s="2791" t="s">
        <v>2887</v>
      </c>
      <c r="G20" s="934">
        <f>SUMIF(M26:P26,E2,M28:P28)</f>
        <v>0</v>
      </c>
      <c r="H20" s="2791" t="s">
        <v>2896</v>
      </c>
      <c r="I20" s="935" t="e">
        <f>SUMIF('数据-取费表'!C6:C15,E2,'数据-取费表'!F6:F15)/COUNTIF('数据-取费表'!C6:C15,E2)</f>
        <v>#DIV/0!</v>
      </c>
      <c r="J20" s="936">
        <f>IF(E2="住宅",70,IF(E2="商业",40,50))</f>
        <v>50</v>
      </c>
      <c r="K20" s="1377"/>
      <c r="L20" s="2792" t="s">
        <v>2897</v>
      </c>
      <c r="M20" s="1735">
        <f>ROUND(SUMPRODUCT((地价!A4:A30=YEAR(G19)&amp;"-"&amp;ROUNDUP(MONTH(G19)/3,0))*(地价!B2:F2=E2)*(地价!B4:F30)),0)</f>
        <v>0</v>
      </c>
      <c r="N20" s="2793" t="s">
        <v>2898</v>
      </c>
      <c r="O20" s="2794" t="s">
        <v>2899</v>
      </c>
      <c r="P20" s="2795" t="s">
        <v>2900</v>
      </c>
      <c r="R20" s="1376"/>
      <c r="S20" s="1376"/>
      <c r="T20" s="1371"/>
      <c r="U20" s="1371"/>
      <c r="V20" s="1371"/>
      <c r="W20" s="1370"/>
      <c r="X20" s="1370"/>
      <c r="Y20" s="1370"/>
      <c r="Z20" s="1377"/>
      <c r="AA20" s="1378"/>
      <c r="AB20" s="1378"/>
      <c r="AC20" s="1378"/>
      <c r="AD20" s="1378"/>
      <c r="AE20" s="1378"/>
      <c r="AF20" s="1378"/>
    </row>
    <row r="21" spans="1:37" s="2731" customFormat="1" ht="14.4">
      <c r="A21" s="2796" t="s">
        <v>811</v>
      </c>
      <c r="B21" s="2797" t="s">
        <v>2901</v>
      </c>
      <c r="C21" s="937">
        <f>IF(B21="容积率修正",IF(G3&lt;=10,D22,J22),C23)</f>
        <v>0</v>
      </c>
      <c r="D21" s="2798"/>
      <c r="E21" s="2798"/>
      <c r="F21" s="2798"/>
      <c r="G21" s="2798"/>
      <c r="H21" s="2798"/>
      <c r="I21" s="2798"/>
      <c r="J21" s="2799"/>
      <c r="K21" s="1377"/>
      <c r="N21" s="2800"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4">
      <c r="A22" s="2657" t="s">
        <v>2903</v>
      </c>
      <c r="B22" s="2801" t="s">
        <v>2904</v>
      </c>
      <c r="C22" s="1801" t="s">
        <v>2905</v>
      </c>
      <c r="D22" s="1801">
        <f>IF(E22=G22,F22,IF(G3&lt;=10,ROUND(F22+(H22-F22)*(G3-E22)/(G22-E22),4),"——"))</f>
        <v>0</v>
      </c>
      <c r="E22" s="916">
        <f>ROUNDDOWN(G3,1)</f>
        <v>5.4</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8" t="str">
        <f>IF(G3&gt;10,D113,"——")</f>
        <v>——</v>
      </c>
      <c r="K22" s="1377"/>
      <c r="N22" s="2800"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9.4" thickBot="1">
      <c r="A23" s="2657" t="s">
        <v>2907</v>
      </c>
      <c r="B23" s="2802" t="s">
        <v>2908</v>
      </c>
      <c r="C23" s="1013">
        <f>ROUND(IF(G3&gt;1,IF(I3&lt;7,SUMPRODUCT((B93:B98=I3)*(C92:N92=G2)*(C93:N98)),SUMIF(C92:N92,G2,C100:N100)),IF(I3&lt;7,SUMPRODUCT((B102:B107=I3)*(C92:N92=G2)*(C102:N107)),SUMIF(C92:N92,G2,C109:N109))),4)</f>
        <v>0</v>
      </c>
      <c r="D23" s="2766"/>
      <c r="E23" s="2766"/>
      <c r="F23" s="2803"/>
      <c r="G23" s="2804"/>
      <c r="H23" s="2805"/>
      <c r="I23" s="2806"/>
      <c r="J23" s="2807"/>
      <c r="K23" s="1370"/>
      <c r="N23" s="2800"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 thickBot="1">
      <c r="A24" s="2789" t="s">
        <v>812</v>
      </c>
      <c r="B24" s="2778" t="s">
        <v>2910</v>
      </c>
      <c r="C24" s="924">
        <f>SUMIF(A45:A88,E2,B45:B88)</f>
        <v>0</v>
      </c>
      <c r="D24" s="2779"/>
      <c r="E24" s="2808"/>
      <c r="F24" s="2808"/>
      <c r="G24" s="2808"/>
      <c r="H24" s="2808"/>
      <c r="I24" s="2808"/>
      <c r="J24" s="2809"/>
      <c r="K24" s="1377"/>
      <c r="N24" s="2810"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 thickBot="1">
      <c r="A25" s="2789" t="s">
        <v>813</v>
      </c>
      <c r="B25" s="2811" t="s">
        <v>2912</v>
      </c>
      <c r="C25" s="930"/>
      <c r="D25" s="2741"/>
      <c r="E25" s="2741"/>
      <c r="F25" s="2812"/>
      <c r="G25" s="2741"/>
      <c r="H25" s="2741"/>
      <c r="I25" s="2741"/>
      <c r="J25" s="2742"/>
      <c r="K25" s="1370"/>
      <c r="N25" s="2813"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4.4">
      <c r="A26" s="2814"/>
      <c r="B26" s="2801" t="s">
        <v>2914</v>
      </c>
      <c r="C26" s="206" t="e">
        <f>E29+SUM(E33:E39)</f>
        <v>#DIV/0!</v>
      </c>
      <c r="D26" s="2815"/>
      <c r="E26" s="2766"/>
      <c r="F26" s="2816"/>
      <c r="G26" s="2766"/>
      <c r="H26" s="2766"/>
      <c r="I26" s="2766"/>
      <c r="J26" s="2817"/>
      <c r="K26" s="1370"/>
      <c r="L26" s="2770" t="s">
        <v>2812</v>
      </c>
      <c r="M26" s="920" t="s">
        <v>2877</v>
      </c>
      <c r="N26" s="920" t="s">
        <v>2878</v>
      </c>
      <c r="O26" s="920" t="s">
        <v>2879</v>
      </c>
      <c r="P26" s="2771" t="s">
        <v>2880</v>
      </c>
      <c r="R26" s="1376"/>
      <c r="S26" s="1376"/>
      <c r="T26" s="1371"/>
      <c r="U26" s="1371"/>
      <c r="V26" s="1371"/>
      <c r="W26" s="1370"/>
      <c r="X26" s="1370"/>
      <c r="Y26" s="1370"/>
      <c r="Z26" s="1377"/>
      <c r="AA26" s="1378"/>
      <c r="AB26" s="1378"/>
      <c r="AC26" s="1378"/>
      <c r="AD26" s="1378"/>
    </row>
    <row r="27" spans="1:37" ht="15" thickBot="1">
      <c r="A27" s="2814"/>
      <c r="B27" s="2818" t="s">
        <v>2915</v>
      </c>
      <c r="C27" s="931" t="e">
        <f>E30+SUM(I33:I39)</f>
        <v>#DIV/0!</v>
      </c>
      <c r="D27" s="2819"/>
      <c r="E27" s="2820"/>
      <c r="F27" s="2821"/>
      <c r="G27" s="2820"/>
      <c r="H27" s="2820"/>
      <c r="I27" s="2820"/>
      <c r="J27" s="2822"/>
      <c r="K27" s="1370"/>
      <c r="L27" s="2774"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3"/>
      <c r="B28" s="2824" t="s">
        <v>2916</v>
      </c>
      <c r="C28" s="2825" t="s">
        <v>2917</v>
      </c>
      <c r="D28" s="2825" t="s">
        <v>2918</v>
      </c>
      <c r="E28" s="2826" t="s">
        <v>2919</v>
      </c>
      <c r="F28" s="2827"/>
      <c r="G28" s="2754"/>
      <c r="H28" s="2754"/>
      <c r="I28" s="2754"/>
      <c r="J28" s="2755"/>
      <c r="K28" s="1370"/>
      <c r="L28" s="2775"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t="e">
        <f>ROUND(C5*C18*C19*C20*C21*C24,0)</f>
        <v>#DIV/0!</v>
      </c>
      <c r="D29" s="2830"/>
      <c r="E29" s="942" t="e">
        <f>ROUND(C29*D29/10000,0)</f>
        <v>#DIV/0!</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8" thickBot="1">
      <c r="A30" s="2834"/>
      <c r="B30" s="2835" t="s">
        <v>2922</v>
      </c>
      <c r="C30" s="229" t="e">
        <f>ROUND(IF(E2="工业",C29*M39,C29*M38),0)</f>
        <v>#DIV/0!</v>
      </c>
      <c r="D30" s="2836"/>
      <c r="E30" s="942" t="e">
        <f>ROUND(C30*D30/10000,0)</f>
        <v>#DIV/0!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3.8">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36">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22" t="s">
        <v>2928</v>
      </c>
      <c r="B33" s="2846" t="s">
        <v>2929</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23"/>
      <c r="B34" s="2758" t="s">
        <v>2930</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3"/>
      <c r="B35" s="2758" t="s">
        <v>2931</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8" thickBot="1">
      <c r="A36" s="3324"/>
      <c r="B36" s="2758" t="s">
        <v>2932</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8" t="s">
        <v>2936</v>
      </c>
      <c r="M38" s="2851">
        <v>0.25</v>
      </c>
      <c r="N38" s="1370"/>
      <c r="O38" s="1370"/>
      <c r="P38" s="1370"/>
      <c r="Q38" s="1370"/>
      <c r="R38" s="1370"/>
      <c r="S38" s="1370"/>
      <c r="T38" s="1370"/>
      <c r="U38" s="1370"/>
      <c r="V38" s="1370"/>
      <c r="W38" s="1370"/>
      <c r="X38" s="1370"/>
      <c r="Y38" s="1370"/>
      <c r="Z38" s="1371"/>
    </row>
    <row r="39" spans="1:37" ht="13.8" thickBot="1">
      <c r="A39" s="2834"/>
      <c r="B39" s="2852" t="s">
        <v>2937</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2880</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3" t="s">
        <v>3040</v>
      </c>
      <c r="C41" s="388" t="e">
        <f>ROUND(POWER(1+E41,H41-G41)*(POWER(1+E41,G41)-1)/(POWER(1+E41,H41)-1),4)</f>
        <v>#DIV/0!</v>
      </c>
      <c r="D41" s="200" t="s">
        <v>2887</v>
      </c>
      <c r="E41" s="2922">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4.4">
      <c r="A46" s="2859" t="s">
        <v>2939</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5.2">
      <c r="A47" s="2863" t="s">
        <v>2940</v>
      </c>
      <c r="B47" s="1800" t="s">
        <v>2941</v>
      </c>
      <c r="C47" s="1800" t="s">
        <v>2942</v>
      </c>
      <c r="D47" s="1800" t="s">
        <v>2943</v>
      </c>
      <c r="E47" s="819" t="s">
        <v>2944</v>
      </c>
      <c r="F47" s="2864" t="s">
        <v>2945</v>
      </c>
      <c r="G47" s="1800" t="s">
        <v>754</v>
      </c>
      <c r="H47" s="2865" t="s">
        <v>2946</v>
      </c>
      <c r="I47" s="1800"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3" t="s">
        <v>2948</v>
      </c>
      <c r="B48" s="2866" t="str">
        <f>估价对象房地状况!C4</f>
        <v>估价对象位于XX商圈，周边商业氛围成熟，人流量大，商业繁华度好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3" t="s">
        <v>2949</v>
      </c>
      <c r="B49" s="2867" t="str">
        <f>估价对象房地状况!C18</f>
        <v>估价对象周边道路状况、公共交通通达情况、停车便捷程度，综合评价交通便捷度较好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3" t="s">
        <v>2951</v>
      </c>
      <c r="B51" s="2868" t="s">
        <v>2952</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3" t="s">
        <v>2954</v>
      </c>
      <c r="B53" s="2869" t="s">
        <v>2955</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0" t="s">
        <v>2956</v>
      </c>
      <c r="B54" s="1725" t="str">
        <f>估价对象房地状况!C21</f>
        <v>估价对象所在区域公共配套设施齐备情况</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0" t="s">
        <v>2957</v>
      </c>
      <c r="B55" s="2867" t="str">
        <f>估价对象房地状况!C22</f>
        <v>估价对象所在区域基础设施水平</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1" t="s">
        <v>2958</v>
      </c>
      <c r="B56" s="2872" t="str">
        <f>估价对象房地状况!C20</f>
        <v>区域自然环境：；人文环境；综合评价环境状况一般</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3" t="s">
        <v>2940</v>
      </c>
      <c r="B58" s="1800"/>
      <c r="C58" s="1800" t="s">
        <v>2942</v>
      </c>
      <c r="D58" s="1800" t="s">
        <v>2943</v>
      </c>
      <c r="E58" s="819" t="s">
        <v>2944</v>
      </c>
      <c r="F58" s="2864" t="s">
        <v>2960</v>
      </c>
      <c r="G58" s="1800" t="s">
        <v>754</v>
      </c>
      <c r="H58" s="2865" t="s">
        <v>2946</v>
      </c>
      <c r="I58" s="1800"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3" t="s">
        <v>2940</v>
      </c>
      <c r="B69" s="1800"/>
      <c r="C69" s="1800" t="s">
        <v>2942</v>
      </c>
      <c r="D69" s="1800" t="s">
        <v>2943</v>
      </c>
      <c r="E69" s="819" t="s">
        <v>2944</v>
      </c>
      <c r="F69" s="2864" t="s">
        <v>2960</v>
      </c>
      <c r="G69" s="1800" t="s">
        <v>754</v>
      </c>
      <c r="H69" s="2865" t="s">
        <v>2946</v>
      </c>
      <c r="I69" s="1800"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36">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9.6">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36.6"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4.4">
      <c r="A79" s="2859" t="s">
        <v>2966</v>
      </c>
      <c r="B79" s="2860">
        <f>1+E81</f>
        <v>1</v>
      </c>
      <c r="C79" s="814"/>
      <c r="D79" s="814"/>
      <c r="E79" s="815"/>
      <c r="F79" s="2862"/>
      <c r="G79" s="6"/>
      <c r="H79" s="6"/>
      <c r="I79" s="6"/>
      <c r="J79" s="7"/>
      <c r="K79" s="7"/>
      <c r="L79" s="7"/>
      <c r="M79" s="7"/>
      <c r="N79" s="7"/>
      <c r="Z79" s="2713"/>
      <c r="AA79" s="2781"/>
      <c r="AG79" s="1372"/>
      <c r="AK79" s="2781"/>
    </row>
    <row r="80" spans="1:37" ht="25.2">
      <c r="A80" s="2863" t="s">
        <v>2940</v>
      </c>
      <c r="B80" s="1800"/>
      <c r="C80" s="1800" t="s">
        <v>2942</v>
      </c>
      <c r="D80" s="1800" t="s">
        <v>2943</v>
      </c>
      <c r="E80" s="819" t="s">
        <v>2944</v>
      </c>
      <c r="F80" s="2864" t="s">
        <v>2960</v>
      </c>
      <c r="G80" s="1800" t="s">
        <v>754</v>
      </c>
      <c r="H80" s="2865" t="s">
        <v>2946</v>
      </c>
      <c r="I80" s="1800" t="s">
        <v>2947</v>
      </c>
      <c r="J80" s="603" t="s">
        <v>2595</v>
      </c>
      <c r="K80" s="603" t="s">
        <v>2596</v>
      </c>
      <c r="L80" s="603" t="s">
        <v>2597</v>
      </c>
      <c r="M80" s="603" t="s">
        <v>2598</v>
      </c>
      <c r="N80" s="603" t="s">
        <v>2599</v>
      </c>
      <c r="Z80" s="2713"/>
      <c r="AA80" s="2781"/>
      <c r="AG80" s="1372"/>
      <c r="AK80" s="2781"/>
    </row>
    <row r="81" spans="1:37" ht="39.6">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66">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3.8">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6.4">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6.4">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36">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53.4"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16" t="s">
        <v>2970</v>
      </c>
      <c r="B90" s="3316"/>
      <c r="C90" s="3316"/>
      <c r="D90" s="3316"/>
      <c r="E90" s="3316"/>
      <c r="F90" s="3316"/>
      <c r="G90" s="3316"/>
      <c r="H90" s="3316"/>
      <c r="I90" s="3316"/>
      <c r="J90" s="3316"/>
      <c r="K90" s="2877"/>
      <c r="L90" s="2877"/>
      <c r="M90" s="2877"/>
      <c r="N90" s="2877"/>
    </row>
    <row r="91" spans="1:37">
      <c r="A91" s="3318" t="s">
        <v>2971</v>
      </c>
      <c r="B91" s="3318" t="s">
        <v>2972</v>
      </c>
      <c r="C91" s="2831" t="s">
        <v>2973</v>
      </c>
      <c r="D91" s="2832"/>
      <c r="E91" s="2832"/>
      <c r="F91" s="2832"/>
      <c r="G91" s="2832"/>
      <c r="H91" s="2832"/>
      <c r="I91" s="2832"/>
      <c r="J91" s="2878"/>
      <c r="K91" s="2879"/>
      <c r="L91" s="2879"/>
      <c r="M91" s="2879"/>
      <c r="N91" s="2879"/>
    </row>
    <row r="92" spans="1:37">
      <c r="A92" s="3318"/>
      <c r="B92" s="3318"/>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19"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2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2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2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2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2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20"/>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2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19" t="s">
        <v>2975</v>
      </c>
      <c r="B101" s="2884" t="s">
        <v>2976</v>
      </c>
      <c r="C101" s="2885">
        <f>$G$3</f>
        <v>5.49</v>
      </c>
      <c r="D101" s="2885">
        <f t="shared" ref="D101:N101" si="31">$G$3</f>
        <v>5.49</v>
      </c>
      <c r="E101" s="2885">
        <f t="shared" si="31"/>
        <v>5.49</v>
      </c>
      <c r="F101" s="2885">
        <f t="shared" si="31"/>
        <v>5.49</v>
      </c>
      <c r="G101" s="2885">
        <f t="shared" si="31"/>
        <v>5.49</v>
      </c>
      <c r="H101" s="2885">
        <f t="shared" si="31"/>
        <v>5.49</v>
      </c>
      <c r="I101" s="2885">
        <f t="shared" si="31"/>
        <v>5.49</v>
      </c>
      <c r="J101" s="2885">
        <f t="shared" si="31"/>
        <v>5.49</v>
      </c>
      <c r="K101" s="2885">
        <f t="shared" si="31"/>
        <v>5.49</v>
      </c>
      <c r="L101" s="2885">
        <f t="shared" si="31"/>
        <v>5.49</v>
      </c>
      <c r="M101" s="2885">
        <f t="shared" si="31"/>
        <v>5.49</v>
      </c>
      <c r="N101" s="2885">
        <f t="shared" si="31"/>
        <v>5.49</v>
      </c>
    </row>
    <row r="102" spans="1:14">
      <c r="A102" s="3320"/>
      <c r="B102" s="2880">
        <v>1</v>
      </c>
      <c r="C102" s="2881">
        <f>1.9362/C101</f>
        <v>0.35267759562841527</v>
      </c>
      <c r="D102" s="2881">
        <f>1.9362/D101</f>
        <v>0.35267759562841527</v>
      </c>
      <c r="E102" s="2881">
        <f>1.8629/E101</f>
        <v>0.3393260473588342</v>
      </c>
      <c r="F102" s="2881">
        <f>1.8629/F101</f>
        <v>0.3393260473588342</v>
      </c>
      <c r="G102" s="2881">
        <f>1.8629/G101</f>
        <v>0.3393260473588342</v>
      </c>
      <c r="H102" s="2881">
        <f>1.8629/H101</f>
        <v>0.3393260473588342</v>
      </c>
      <c r="I102" s="2881">
        <f>1.8629/I101</f>
        <v>0.3393260473588342</v>
      </c>
      <c r="J102" s="2881">
        <f>1.942/J101</f>
        <v>0.35373406193078322</v>
      </c>
      <c r="K102" s="2881">
        <f>1.942/K101</f>
        <v>0.35373406193078322</v>
      </c>
      <c r="L102" s="2881">
        <f>1.942/L101</f>
        <v>0.35373406193078322</v>
      </c>
      <c r="M102" s="2881">
        <f>1.942/M101</f>
        <v>0.35373406193078322</v>
      </c>
      <c r="N102" s="2881">
        <f>1.942/N101</f>
        <v>0.35373406193078322</v>
      </c>
    </row>
    <row r="103" spans="1:14">
      <c r="A103" s="3320"/>
      <c r="B103" s="2880">
        <v>2</v>
      </c>
      <c r="C103" s="2881">
        <f>1.4198/C101</f>
        <v>0.25861566484517301</v>
      </c>
      <c r="D103" s="2881">
        <f>1.4198/D101</f>
        <v>0.25861566484517301</v>
      </c>
      <c r="E103" s="2881">
        <f>1.3372/E101</f>
        <v>0.2435701275045537</v>
      </c>
      <c r="F103" s="2881">
        <f>1.3372/F101</f>
        <v>0.2435701275045537</v>
      </c>
      <c r="G103" s="2881">
        <f>1.3372/G101</f>
        <v>0.2435701275045537</v>
      </c>
      <c r="H103" s="2881">
        <f>1.3372/H101</f>
        <v>0.2435701275045537</v>
      </c>
      <c r="I103" s="2881">
        <f>1.3372/I101</f>
        <v>0.2435701275045537</v>
      </c>
      <c r="J103" s="2881">
        <f>1.2799/J101</f>
        <v>0.23313296903460837</v>
      </c>
      <c r="K103" s="2881">
        <f>1.2799/K101</f>
        <v>0.23313296903460837</v>
      </c>
      <c r="L103" s="2881">
        <f>1.2799/L101</f>
        <v>0.23313296903460837</v>
      </c>
      <c r="M103" s="2881">
        <f>1.2799/M101</f>
        <v>0.23313296903460837</v>
      </c>
      <c r="N103" s="2881">
        <f>1.2799/N101</f>
        <v>0.23313296903460837</v>
      </c>
    </row>
    <row r="104" spans="1:14">
      <c r="A104" s="3320"/>
      <c r="B104" s="2880">
        <v>3</v>
      </c>
      <c r="C104" s="2881">
        <f>1.1594/C101</f>
        <v>0.21118397085610199</v>
      </c>
      <c r="D104" s="2881">
        <f>1.1594/D101</f>
        <v>0.21118397085610199</v>
      </c>
      <c r="E104" s="2881">
        <f>1.0788/E101</f>
        <v>0.19650273224043716</v>
      </c>
      <c r="F104" s="2881">
        <f>1.0788/F101</f>
        <v>0.19650273224043716</v>
      </c>
      <c r="G104" s="2881">
        <f>1.0788/G101</f>
        <v>0.19650273224043716</v>
      </c>
      <c r="H104" s="2881">
        <f>1.0788/H101</f>
        <v>0.19650273224043716</v>
      </c>
      <c r="I104" s="2881">
        <f>1.0788/I101</f>
        <v>0.19650273224043716</v>
      </c>
      <c r="J104" s="2881">
        <f>1.0072/J101</f>
        <v>0.18346083788706741</v>
      </c>
      <c r="K104" s="2881">
        <f>1.0072/K101</f>
        <v>0.18346083788706741</v>
      </c>
      <c r="L104" s="2881">
        <f>1.0072/L101</f>
        <v>0.18346083788706741</v>
      </c>
      <c r="M104" s="2881">
        <f>1.0072/M101</f>
        <v>0.18346083788706741</v>
      </c>
      <c r="N104" s="2881">
        <f>1.0072/N101</f>
        <v>0.18346083788706741</v>
      </c>
    </row>
    <row r="105" spans="1:14">
      <c r="A105" s="3320"/>
      <c r="B105" s="2880">
        <v>4</v>
      </c>
      <c r="C105" s="2881">
        <f>0.9622/C101</f>
        <v>0.17526411657559199</v>
      </c>
      <c r="D105" s="2881">
        <f>0.9622/D101</f>
        <v>0.17526411657559199</v>
      </c>
      <c r="E105" s="2881">
        <f>0.8656/E101</f>
        <v>0.15766848816029144</v>
      </c>
      <c r="F105" s="2881">
        <f>0.8656/F101</f>
        <v>0.15766848816029144</v>
      </c>
      <c r="G105" s="2881">
        <f>0.8656/G101</f>
        <v>0.15766848816029144</v>
      </c>
      <c r="H105" s="2881">
        <f>0.8656/H101</f>
        <v>0.15766848816029144</v>
      </c>
      <c r="I105" s="2881">
        <f>0.8656/I101</f>
        <v>0.15766848816029144</v>
      </c>
      <c r="J105" s="2881">
        <f>0.7525/J101</f>
        <v>0.13706739526411657</v>
      </c>
      <c r="K105" s="2881">
        <f>0.7525/K101</f>
        <v>0.13706739526411657</v>
      </c>
      <c r="L105" s="2881">
        <f>0.7525/L101</f>
        <v>0.13706739526411657</v>
      </c>
      <c r="M105" s="2881">
        <f>0.7525/M101</f>
        <v>0.13706739526411657</v>
      </c>
      <c r="N105" s="2881">
        <f>0.7525/N101</f>
        <v>0.13706739526411657</v>
      </c>
    </row>
    <row r="106" spans="1:14">
      <c r="A106" s="3320"/>
      <c r="B106" s="2880">
        <v>5</v>
      </c>
      <c r="C106" s="2881">
        <f>0.8417/C101</f>
        <v>0.15331511839708561</v>
      </c>
      <c r="D106" s="2881">
        <f>0.8417/D101</f>
        <v>0.15331511839708561</v>
      </c>
      <c r="E106" s="2881">
        <f>0.7371/E101</f>
        <v>0.13426229508196721</v>
      </c>
      <c r="F106" s="2881">
        <f>0.7371/F101</f>
        <v>0.13426229508196721</v>
      </c>
      <c r="G106" s="2881">
        <f>0.7371/G101</f>
        <v>0.13426229508196721</v>
      </c>
      <c r="H106" s="2881">
        <f>0.7371/H101</f>
        <v>0.13426229508196721</v>
      </c>
      <c r="I106" s="2881">
        <f>0.7371/I101</f>
        <v>0.13426229508196721</v>
      </c>
      <c r="J106" s="2881">
        <f>0.5659/J101</f>
        <v>0.1030783242258652</v>
      </c>
      <c r="K106" s="2881">
        <f>0.5659/K101</f>
        <v>0.1030783242258652</v>
      </c>
      <c r="L106" s="2881">
        <f>0.5659/L101</f>
        <v>0.1030783242258652</v>
      </c>
      <c r="M106" s="2881">
        <f>0.5659/M101</f>
        <v>0.1030783242258652</v>
      </c>
      <c r="N106" s="2881">
        <f>0.5659/N101</f>
        <v>0.1030783242258652</v>
      </c>
    </row>
    <row r="107" spans="1:14">
      <c r="A107" s="3320"/>
      <c r="B107" s="2880">
        <v>6</v>
      </c>
      <c r="C107" s="2881">
        <f>0.7608/C101</f>
        <v>0.1385792349726776</v>
      </c>
      <c r="D107" s="2881">
        <f>0.7608/D101</f>
        <v>0.1385792349726776</v>
      </c>
      <c r="E107" s="2881">
        <f>0.6482/E101</f>
        <v>0.11806921675774135</v>
      </c>
      <c r="F107" s="2881">
        <f>0.6482/F101</f>
        <v>0.11806921675774135</v>
      </c>
      <c r="G107" s="2881">
        <f>0.6482/G101</f>
        <v>0.11806921675774135</v>
      </c>
      <c r="H107" s="2881">
        <f>0.6482/H101</f>
        <v>0.11806921675774135</v>
      </c>
      <c r="I107" s="2881">
        <f>0.6482/I101</f>
        <v>0.11806921675774135</v>
      </c>
      <c r="J107" s="2881">
        <f>0.4525/J101</f>
        <v>8.242258652094718E-2</v>
      </c>
      <c r="K107" s="2881">
        <f>0.4525/K101</f>
        <v>8.242258652094718E-2</v>
      </c>
      <c r="L107" s="2881">
        <f>0.4525/L101</f>
        <v>8.242258652094718E-2</v>
      </c>
      <c r="M107" s="2881">
        <f>0.4525/M101</f>
        <v>8.242258652094718E-2</v>
      </c>
      <c r="N107" s="2881">
        <f>0.4525/N101</f>
        <v>8.242258652094718E-2</v>
      </c>
    </row>
    <row r="108" spans="1:14">
      <c r="A108" s="3320"/>
      <c r="B108" s="3172" t="s">
        <v>2977</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21"/>
      <c r="B109" s="3173"/>
      <c r="C109" s="2883">
        <f>(-0.163*(C108^2)-0.59*C108+7617)*(10^(-4))/C101</f>
        <v>0.1387431693989071</v>
      </c>
      <c r="D109" s="2883">
        <f>(-0.163*(D108^2)-0.59*D108+7617)*(10^(-4))/D101</f>
        <v>0.1387431693989071</v>
      </c>
      <c r="E109" s="2883">
        <f>(-0.161*(E108^2)-7.509*E108+6533)*(10^(-4))/E101</f>
        <v>0.11899817850637522</v>
      </c>
      <c r="F109" s="2883">
        <f>(-0.161*(F108^2)-7.509*F108+6533)*(10^(-4))/F101</f>
        <v>0.11899817850637522</v>
      </c>
      <c r="G109" s="2883">
        <f>(-0.161*(G108^2)-7.509*G108+6533)*(10^(-4))/G101</f>
        <v>0.11899817850637522</v>
      </c>
      <c r="H109" s="2883">
        <f>(-0.161*(H108^2)-7.509*H108+6533)*(10^(-4))/H101</f>
        <v>0.11899817850637522</v>
      </c>
      <c r="I109" s="2883">
        <f>(-0.161*(I108^2)-7.509*I108+6533)*(10^(-4))/I101</f>
        <v>0.11899817850637522</v>
      </c>
      <c r="J109" s="2883">
        <f>(-0.214*(J108^2)-21.991*J108+4665)*(10^(-4))/J101</f>
        <v>8.4972677595628418E-2</v>
      </c>
      <c r="K109" s="2883">
        <f>(-0.214*(K108^2)-21.991*K108+4665)*(10^(-4))/K101</f>
        <v>8.4972677595628418E-2</v>
      </c>
      <c r="L109" s="2883">
        <f>(-0.214*(L108^2)-21.991*L108+4665)*(10^(-4))/L101</f>
        <v>8.4972677595628418E-2</v>
      </c>
      <c r="M109" s="2883">
        <f>(-0.214*(M108^2)-21.991*M108+4665)*(10^(-4))/M101</f>
        <v>8.4972677595628418E-2</v>
      </c>
      <c r="N109" s="2883">
        <f>(-0.214*(N108^2)-21.991*N108+4665)*(10^(-4))/N101</f>
        <v>8.4972677595628418E-2</v>
      </c>
    </row>
    <row r="110" spans="1:14">
      <c r="A110" s="3317" t="s">
        <v>2978</v>
      </c>
      <c r="B110" s="3317"/>
      <c r="C110" s="3317"/>
      <c r="D110" s="3317"/>
      <c r="E110" s="3317"/>
      <c r="F110" s="3317"/>
      <c r="G110" s="3317"/>
      <c r="H110" s="3317"/>
      <c r="I110" s="3317"/>
      <c r="J110" s="3317"/>
      <c r="K110" s="2886"/>
      <c r="L110" s="2886"/>
      <c r="M110" s="2886"/>
      <c r="N110" s="2886"/>
    </row>
    <row r="112" spans="1:14" ht="13.8" thickBot="1"/>
    <row r="113" spans="1:13" ht="25.8" thickBot="1">
      <c r="A113" s="903" t="s">
        <v>2979</v>
      </c>
      <c r="B113" s="1287">
        <f>G3</f>
        <v>5.49</v>
      </c>
      <c r="C113" s="904" t="s">
        <v>2980</v>
      </c>
      <c r="D113" s="905">
        <f>SUMPRODUCT((A115:A118=F113)*(B114:M114=H113)*B115:M118)</f>
        <v>0</v>
      </c>
      <c r="E113" s="2717" t="s">
        <v>2812</v>
      </c>
      <c r="F113" s="2888">
        <f>E2</f>
        <v>0</v>
      </c>
      <c r="G113" s="2717" t="s">
        <v>2813</v>
      </c>
      <c r="H113" s="2888">
        <f>G2</f>
        <v>0</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2877</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2878</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2879</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8" thickBot="1">
      <c r="A118" s="714" t="s">
        <v>2880</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7" t="s">
        <v>183</v>
      </c>
      <c r="B18" s="882" t="s">
        <v>560</v>
      </c>
      <c r="C18" s="883" t="s">
        <v>561</v>
      </c>
      <c r="D18" s="884"/>
      <c r="E18" s="882">
        <v>1</v>
      </c>
      <c r="F18" s="885" t="s">
        <v>562</v>
      </c>
      <c r="G18" s="886"/>
      <c r="H18" s="878"/>
      <c r="I18" s="878"/>
    </row>
    <row r="19" spans="1:9" s="887" customFormat="1" ht="19.5" customHeight="1">
      <c r="A19" s="3327"/>
      <c r="B19" s="3327" t="s">
        <v>563</v>
      </c>
      <c r="C19" s="883" t="s">
        <v>564</v>
      </c>
      <c r="D19" s="884"/>
      <c r="E19" s="882">
        <v>0.9</v>
      </c>
      <c r="F19" s="885" t="s">
        <v>565</v>
      </c>
      <c r="G19" s="886"/>
      <c r="H19" s="878"/>
      <c r="I19" s="878"/>
    </row>
    <row r="20" spans="1:9" s="887" customFormat="1" ht="19.5" customHeight="1">
      <c r="A20" s="3327"/>
      <c r="B20" s="3327"/>
      <c r="C20" s="883" t="s">
        <v>566</v>
      </c>
      <c r="D20" s="884"/>
      <c r="E20" s="882">
        <v>1.1000000000000001</v>
      </c>
      <c r="F20" s="885" t="s">
        <v>567</v>
      </c>
      <c r="G20" s="886"/>
      <c r="H20" s="878"/>
      <c r="I20" s="878"/>
    </row>
    <row r="21" spans="1:9" s="887" customFormat="1" ht="19.5" customHeight="1">
      <c r="A21" s="3327"/>
      <c r="B21" s="3327"/>
      <c r="C21" s="883" t="s">
        <v>568</v>
      </c>
      <c r="D21" s="884"/>
      <c r="E21" s="882">
        <v>0.8</v>
      </c>
      <c r="F21" s="885" t="s">
        <v>569</v>
      </c>
      <c r="G21" s="886"/>
      <c r="H21" s="878"/>
      <c r="I21" s="878"/>
    </row>
    <row r="22" spans="1:9" s="887" customFormat="1" ht="19.5" customHeight="1">
      <c r="A22" s="3327"/>
      <c r="B22" s="3327"/>
      <c r="C22" s="883" t="s">
        <v>570</v>
      </c>
      <c r="D22" s="884"/>
      <c r="E22" s="882">
        <v>0.5</v>
      </c>
      <c r="F22" s="885"/>
      <c r="G22" s="886"/>
      <c r="H22" s="878"/>
      <c r="I22" s="878"/>
    </row>
    <row r="23" spans="1:9" s="887" customFormat="1" ht="19.5" customHeight="1">
      <c r="A23" s="3327" t="s">
        <v>184</v>
      </c>
      <c r="B23" s="882" t="s">
        <v>560</v>
      </c>
      <c r="C23" s="883" t="s">
        <v>571</v>
      </c>
      <c r="D23" s="884"/>
      <c r="E23" s="882">
        <v>1</v>
      </c>
      <c r="F23" s="885" t="s">
        <v>572</v>
      </c>
      <c r="G23" s="886"/>
      <c r="H23" s="878"/>
      <c r="I23" s="878"/>
    </row>
    <row r="24" spans="1:9" s="887" customFormat="1" ht="19.5" customHeight="1">
      <c r="A24" s="3327"/>
      <c r="B24" s="3327" t="s">
        <v>563</v>
      </c>
      <c r="C24" s="883" t="s">
        <v>573</v>
      </c>
      <c r="D24" s="884"/>
      <c r="E24" s="882">
        <v>0.5</v>
      </c>
      <c r="F24" s="885"/>
      <c r="G24" s="886"/>
      <c r="H24" s="878"/>
      <c r="I24" s="878"/>
    </row>
    <row r="25" spans="1:9" s="887" customFormat="1" ht="19.5" customHeight="1">
      <c r="A25" s="3327"/>
      <c r="B25" s="3327"/>
      <c r="C25" s="883" t="s">
        <v>574</v>
      </c>
      <c r="D25" s="884"/>
      <c r="E25" s="882">
        <v>1.1000000000000001</v>
      </c>
      <c r="F25" s="885"/>
      <c r="G25" s="886"/>
      <c r="H25" s="878"/>
      <c r="I25" s="878"/>
    </row>
    <row r="26" spans="1:9" s="887" customFormat="1" ht="19.5" customHeight="1">
      <c r="A26" s="3327"/>
      <c r="B26" s="3327"/>
      <c r="C26" s="883" t="s">
        <v>575</v>
      </c>
      <c r="D26" s="884"/>
      <c r="E26" s="882">
        <v>1.1000000000000001</v>
      </c>
      <c r="F26" s="885"/>
      <c r="G26" s="886"/>
      <c r="H26" s="878"/>
      <c r="I26" s="878"/>
    </row>
    <row r="27" spans="1:9" s="887" customFormat="1" ht="19.5" customHeight="1">
      <c r="A27" s="3327"/>
      <c r="B27" s="3327"/>
      <c r="C27" s="883" t="s">
        <v>576</v>
      </c>
      <c r="D27" s="884"/>
      <c r="E27" s="882">
        <v>0.9</v>
      </c>
      <c r="F27" s="885" t="s">
        <v>577</v>
      </c>
      <c r="G27" s="886"/>
      <c r="H27" s="878"/>
      <c r="I27" s="878"/>
    </row>
    <row r="28" spans="1:9" s="887" customFormat="1" ht="19.5" customHeight="1">
      <c r="A28" s="3327"/>
      <c r="B28" s="3327"/>
      <c r="C28" s="883" t="s">
        <v>578</v>
      </c>
      <c r="D28" s="884"/>
      <c r="E28" s="882">
        <v>0.9</v>
      </c>
      <c r="F28" s="885" t="s">
        <v>579</v>
      </c>
      <c r="G28" s="886"/>
      <c r="H28" s="878"/>
      <c r="I28" s="878"/>
    </row>
    <row r="29" spans="1:9" s="887" customFormat="1" ht="19.5" customHeight="1">
      <c r="A29" s="3327"/>
      <c r="B29" s="3327"/>
      <c r="C29" s="883" t="s">
        <v>580</v>
      </c>
      <c r="D29" s="884"/>
      <c r="E29" s="882">
        <v>0.9</v>
      </c>
      <c r="F29" s="885" t="s">
        <v>581</v>
      </c>
      <c r="G29" s="886"/>
      <c r="H29" s="878"/>
      <c r="I29" s="878"/>
    </row>
    <row r="30" spans="1:9" s="887" customFormat="1" ht="19.5" customHeight="1">
      <c r="A30" s="3327"/>
      <c r="B30" s="3327"/>
      <c r="C30" s="883" t="s">
        <v>582</v>
      </c>
      <c r="D30" s="884"/>
      <c r="E30" s="882">
        <v>0.9</v>
      </c>
      <c r="F30" s="885" t="s">
        <v>583</v>
      </c>
      <c r="G30" s="886"/>
      <c r="H30" s="878"/>
      <c r="I30" s="878"/>
    </row>
    <row r="31" spans="1:9" s="887" customFormat="1" ht="19.5" customHeight="1">
      <c r="A31" s="3327"/>
      <c r="B31" s="3327"/>
      <c r="C31" s="883" t="s">
        <v>584</v>
      </c>
      <c r="D31" s="884"/>
      <c r="E31" s="882">
        <v>0.8</v>
      </c>
      <c r="F31" s="885" t="s">
        <v>585</v>
      </c>
      <c r="G31" s="886"/>
      <c r="H31" s="878"/>
      <c r="I31" s="878"/>
    </row>
    <row r="32" spans="1:9" s="887" customFormat="1" ht="19.5" customHeight="1">
      <c r="A32" s="3327"/>
      <c r="B32" s="3327"/>
      <c r="C32" s="883" t="s">
        <v>586</v>
      </c>
      <c r="D32" s="884"/>
      <c r="E32" s="882">
        <v>0.8</v>
      </c>
      <c r="F32" s="885" t="s">
        <v>587</v>
      </c>
      <c r="G32" s="886"/>
      <c r="H32" s="878"/>
      <c r="I32" s="878"/>
    </row>
    <row r="33" spans="1:9" s="887" customFormat="1" ht="19.5" customHeight="1">
      <c r="A33" s="3327" t="s">
        <v>185</v>
      </c>
      <c r="B33" s="882" t="s">
        <v>560</v>
      </c>
      <c r="C33" s="883" t="s">
        <v>588</v>
      </c>
      <c r="D33" s="884"/>
      <c r="E33" s="882">
        <v>1</v>
      </c>
      <c r="F33" s="885" t="s">
        <v>589</v>
      </c>
      <c r="G33" s="886"/>
      <c r="H33" s="878"/>
      <c r="I33" s="878"/>
    </row>
    <row r="34" spans="1:9" s="887" customFormat="1" ht="19.5" customHeight="1">
      <c r="A34" s="3327"/>
      <c r="B34" s="882" t="s">
        <v>563</v>
      </c>
      <c r="C34" s="883" t="s">
        <v>590</v>
      </c>
      <c r="D34" s="884"/>
      <c r="E34" s="882">
        <v>1.5</v>
      </c>
      <c r="F34" s="885" t="s">
        <v>591</v>
      </c>
      <c r="G34" s="886"/>
      <c r="H34" s="878"/>
      <c r="I34" s="878"/>
    </row>
    <row r="35" spans="1:9" s="887" customFormat="1" ht="19.5" customHeight="1">
      <c r="A35" s="3327" t="s">
        <v>186</v>
      </c>
      <c r="B35" s="882" t="s">
        <v>560</v>
      </c>
      <c r="C35" s="883" t="s">
        <v>592</v>
      </c>
      <c r="D35" s="884"/>
      <c r="E35" s="882">
        <v>1</v>
      </c>
      <c r="F35" s="885" t="s">
        <v>593</v>
      </c>
      <c r="G35" s="886"/>
      <c r="H35" s="878"/>
      <c r="I35" s="878"/>
    </row>
    <row r="36" spans="1:9" s="887" customFormat="1" ht="19.5" customHeight="1">
      <c r="A36" s="3327"/>
      <c r="B36" s="3327" t="s">
        <v>563</v>
      </c>
      <c r="C36" s="883" t="s">
        <v>594</v>
      </c>
      <c r="D36" s="884"/>
      <c r="E36" s="882">
        <v>1</v>
      </c>
      <c r="F36" s="885" t="s">
        <v>595</v>
      </c>
      <c r="G36" s="886"/>
      <c r="H36" s="878"/>
      <c r="I36" s="878"/>
    </row>
    <row r="37" spans="1:9" s="887" customFormat="1" ht="19.5" customHeight="1">
      <c r="A37" s="3327"/>
      <c r="B37" s="3327"/>
      <c r="C37" s="883" t="s">
        <v>596</v>
      </c>
      <c r="D37" s="884"/>
      <c r="E37" s="882">
        <v>1.5</v>
      </c>
      <c r="F37" s="885" t="s">
        <v>597</v>
      </c>
      <c r="G37" s="886"/>
      <c r="H37" s="878"/>
      <c r="I37" s="878"/>
    </row>
    <row r="38" spans="1:9" s="887" customFormat="1" ht="19.5" customHeight="1">
      <c r="A38" s="3327"/>
      <c r="B38" s="3327"/>
      <c r="C38" s="883" t="s">
        <v>598</v>
      </c>
      <c r="D38" s="884"/>
      <c r="E38" s="882">
        <v>1</v>
      </c>
      <c r="F38" s="885" t="s">
        <v>599</v>
      </c>
      <c r="G38" s="886"/>
      <c r="H38" s="878"/>
      <c r="I38" s="878"/>
    </row>
    <row r="39" spans="1:9" s="887" customFormat="1" ht="19.5" customHeight="1">
      <c r="A39" s="3327"/>
      <c r="B39" s="332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7" t="s">
        <v>614</v>
      </c>
      <c r="C61" s="818" t="s">
        <v>615</v>
      </c>
      <c r="D61" s="818" t="s">
        <v>616</v>
      </c>
      <c r="E61" s="895">
        <v>0.5</v>
      </c>
      <c r="F61" s="882">
        <v>80</v>
      </c>
    </row>
    <row r="62" spans="1:8" s="878" customFormat="1" ht="36">
      <c r="A62" s="882">
        <v>2</v>
      </c>
      <c r="B62" s="3327"/>
      <c r="C62" s="818" t="s">
        <v>617</v>
      </c>
      <c r="D62" s="818" t="s">
        <v>618</v>
      </c>
      <c r="E62" s="895">
        <v>0.5</v>
      </c>
      <c r="F62" s="882">
        <v>80</v>
      </c>
    </row>
    <row r="63" spans="1:8" s="878" customFormat="1" ht="48">
      <c r="A63" s="882">
        <v>3</v>
      </c>
      <c r="B63" s="3327"/>
      <c r="C63" s="818" t="s">
        <v>619</v>
      </c>
      <c r="D63" s="818" t="s">
        <v>620</v>
      </c>
      <c r="E63" s="895">
        <v>0.5</v>
      </c>
      <c r="F63" s="882">
        <v>80</v>
      </c>
    </row>
    <row r="64" spans="1:8" s="878" customFormat="1" ht="48">
      <c r="A64" s="882">
        <v>4</v>
      </c>
      <c r="B64" s="3327"/>
      <c r="C64" s="818" t="s">
        <v>621</v>
      </c>
      <c r="D64" s="818" t="s">
        <v>622</v>
      </c>
      <c r="E64" s="895">
        <v>0.4</v>
      </c>
      <c r="F64" s="882">
        <v>60</v>
      </c>
    </row>
    <row r="65" spans="1:6" s="878" customFormat="1" ht="48">
      <c r="A65" s="882">
        <v>5</v>
      </c>
      <c r="B65" s="3327"/>
      <c r="C65" s="818" t="s">
        <v>623</v>
      </c>
      <c r="D65" s="818" t="s">
        <v>624</v>
      </c>
      <c r="E65" s="895">
        <v>0.2</v>
      </c>
      <c r="F65" s="882">
        <v>30</v>
      </c>
    </row>
    <row r="66" spans="1:6" s="878" customFormat="1" ht="48">
      <c r="A66" s="882">
        <v>6</v>
      </c>
      <c r="B66" s="3327"/>
      <c r="C66" s="818" t="s">
        <v>625</v>
      </c>
      <c r="D66" s="818" t="s">
        <v>626</v>
      </c>
      <c r="E66" s="895">
        <v>0.3</v>
      </c>
      <c r="F66" s="882">
        <v>50</v>
      </c>
    </row>
    <row r="67" spans="1:6" s="878" customFormat="1" ht="48">
      <c r="A67" s="882">
        <v>7</v>
      </c>
      <c r="B67" s="3327"/>
      <c r="C67" s="818" t="s">
        <v>627</v>
      </c>
      <c r="D67" s="818" t="s">
        <v>628</v>
      </c>
      <c r="E67" s="895">
        <v>0.2</v>
      </c>
      <c r="F67" s="882">
        <v>30</v>
      </c>
    </row>
    <row r="68" spans="1:6" s="878" customFormat="1" ht="48">
      <c r="A68" s="882">
        <v>8</v>
      </c>
      <c r="B68" s="3327"/>
      <c r="C68" s="818" t="s">
        <v>629</v>
      </c>
      <c r="D68" s="818" t="s">
        <v>630</v>
      </c>
      <c r="E68" s="895">
        <v>0.2</v>
      </c>
      <c r="F68" s="882">
        <v>30</v>
      </c>
    </row>
    <row r="69" spans="1:6" s="878" customFormat="1" ht="48">
      <c r="A69" s="882">
        <v>9</v>
      </c>
      <c r="B69" s="3327"/>
      <c r="C69" s="818" t="s">
        <v>631</v>
      </c>
      <c r="D69" s="818" t="s">
        <v>632</v>
      </c>
      <c r="E69" s="895">
        <v>0.2</v>
      </c>
      <c r="F69" s="882">
        <v>30</v>
      </c>
    </row>
    <row r="70" spans="1:6" s="878" customFormat="1" ht="60">
      <c r="A70" s="882">
        <v>10</v>
      </c>
      <c r="B70" s="3327"/>
      <c r="C70" s="818" t="s">
        <v>633</v>
      </c>
      <c r="D70" s="818" t="s">
        <v>634</v>
      </c>
      <c r="E70" s="895">
        <v>0.2</v>
      </c>
      <c r="F70" s="882">
        <v>30</v>
      </c>
    </row>
    <row r="71" spans="1:6" s="878" customFormat="1" ht="60">
      <c r="A71" s="882">
        <v>11</v>
      </c>
      <c r="B71" s="3327"/>
      <c r="C71" s="818" t="s">
        <v>635</v>
      </c>
      <c r="D71" s="818" t="s">
        <v>636</v>
      </c>
      <c r="E71" s="895">
        <v>0.2</v>
      </c>
      <c r="F71" s="882">
        <v>30</v>
      </c>
    </row>
    <row r="72" spans="1:6" s="878" customFormat="1" ht="36">
      <c r="A72" s="882">
        <v>12</v>
      </c>
      <c r="B72" s="3327"/>
      <c r="C72" s="818" t="s">
        <v>637</v>
      </c>
      <c r="D72" s="818" t="s">
        <v>638</v>
      </c>
      <c r="E72" s="895">
        <v>0.5</v>
      </c>
      <c r="F72" s="882">
        <v>80</v>
      </c>
    </row>
    <row r="73" spans="1:6" s="878" customFormat="1" ht="36">
      <c r="A73" s="882">
        <v>13</v>
      </c>
      <c r="B73" s="3327"/>
      <c r="C73" s="818" t="s">
        <v>639</v>
      </c>
      <c r="D73" s="818" t="s">
        <v>640</v>
      </c>
      <c r="E73" s="895">
        <v>0.4</v>
      </c>
      <c r="F73" s="882">
        <v>60</v>
      </c>
    </row>
    <row r="74" spans="1:6" s="878" customFormat="1" ht="36">
      <c r="A74" s="882">
        <v>14</v>
      </c>
      <c r="B74" s="3327"/>
      <c r="C74" s="818" t="s">
        <v>641</v>
      </c>
      <c r="D74" s="818" t="s">
        <v>642</v>
      </c>
      <c r="E74" s="895">
        <v>0.2</v>
      </c>
      <c r="F74" s="882">
        <v>30</v>
      </c>
    </row>
    <row r="75" spans="1:6" s="878" customFormat="1" ht="36">
      <c r="A75" s="882">
        <v>15</v>
      </c>
      <c r="B75" s="3327"/>
      <c r="C75" s="818" t="s">
        <v>643</v>
      </c>
      <c r="D75" s="818" t="s">
        <v>644</v>
      </c>
      <c r="E75" s="895">
        <v>0.2</v>
      </c>
      <c r="F75" s="882">
        <v>30</v>
      </c>
    </row>
    <row r="76" spans="1:6" s="878" customFormat="1" ht="36">
      <c r="A76" s="882">
        <v>16</v>
      </c>
      <c r="B76" s="3327" t="s">
        <v>645</v>
      </c>
      <c r="C76" s="818" t="s">
        <v>646</v>
      </c>
      <c r="D76" s="818" t="s">
        <v>647</v>
      </c>
      <c r="E76" s="895">
        <v>0.5</v>
      </c>
      <c r="F76" s="882">
        <v>80</v>
      </c>
    </row>
    <row r="77" spans="1:6" s="878" customFormat="1" ht="36">
      <c r="A77" s="882">
        <v>17</v>
      </c>
      <c r="B77" s="3327"/>
      <c r="C77" s="818" t="s">
        <v>648</v>
      </c>
      <c r="D77" s="818" t="s">
        <v>649</v>
      </c>
      <c r="E77" s="895">
        <v>0.5</v>
      </c>
      <c r="F77" s="882">
        <v>80</v>
      </c>
    </row>
    <row r="78" spans="1:6" s="878" customFormat="1" ht="36">
      <c r="A78" s="882">
        <v>18</v>
      </c>
      <c r="B78" s="3327"/>
      <c r="C78" s="818" t="s">
        <v>650</v>
      </c>
      <c r="D78" s="818" t="s">
        <v>651</v>
      </c>
      <c r="E78" s="895">
        <v>0.2</v>
      </c>
      <c r="F78" s="882">
        <v>30</v>
      </c>
    </row>
    <row r="79" spans="1:6" s="878" customFormat="1" ht="36">
      <c r="A79" s="882">
        <v>19</v>
      </c>
      <c r="B79" s="3327"/>
      <c r="C79" s="818" t="s">
        <v>652</v>
      </c>
      <c r="D79" s="818" t="s">
        <v>653</v>
      </c>
      <c r="E79" s="895">
        <v>0.5</v>
      </c>
      <c r="F79" s="882">
        <v>80</v>
      </c>
    </row>
    <row r="80" spans="1:6" s="878" customFormat="1" ht="36">
      <c r="A80" s="882">
        <v>20</v>
      </c>
      <c r="B80" s="3327"/>
      <c r="C80" s="818" t="s">
        <v>654</v>
      </c>
      <c r="D80" s="818" t="s">
        <v>655</v>
      </c>
      <c r="E80" s="895">
        <v>0.2</v>
      </c>
      <c r="F80" s="882">
        <v>30</v>
      </c>
    </row>
    <row r="81" spans="1:6" s="878" customFormat="1" ht="36">
      <c r="A81" s="882">
        <v>21</v>
      </c>
      <c r="B81" s="3327"/>
      <c r="C81" s="818" t="s">
        <v>656</v>
      </c>
      <c r="D81" s="818" t="s">
        <v>657</v>
      </c>
      <c r="E81" s="895">
        <v>0.2</v>
      </c>
      <c r="F81" s="882">
        <v>30</v>
      </c>
    </row>
    <row r="82" spans="1:6" s="878" customFormat="1" ht="60">
      <c r="A82" s="882">
        <v>22</v>
      </c>
      <c r="B82" s="3327"/>
      <c r="C82" s="818" t="s">
        <v>658</v>
      </c>
      <c r="D82" s="818" t="s">
        <v>659</v>
      </c>
      <c r="E82" s="895">
        <v>0.2</v>
      </c>
      <c r="F82" s="882">
        <v>30</v>
      </c>
    </row>
    <row r="83" spans="1:6" s="878" customFormat="1" ht="60">
      <c r="A83" s="882">
        <v>23</v>
      </c>
      <c r="B83" s="3327"/>
      <c r="C83" s="818" t="s">
        <v>660</v>
      </c>
      <c r="D83" s="818" t="s">
        <v>661</v>
      </c>
      <c r="E83" s="895">
        <v>0.2</v>
      </c>
      <c r="F83" s="882">
        <v>30</v>
      </c>
    </row>
    <row r="84" spans="1:6" s="878" customFormat="1" ht="48">
      <c r="A84" s="882">
        <v>24</v>
      </c>
      <c r="B84" s="3327"/>
      <c r="C84" s="818" t="s">
        <v>662</v>
      </c>
      <c r="D84" s="818" t="s">
        <v>663</v>
      </c>
      <c r="E84" s="895">
        <v>0.2</v>
      </c>
      <c r="F84" s="882">
        <v>30</v>
      </c>
    </row>
    <row r="85" spans="1:6" s="878" customFormat="1" ht="36">
      <c r="A85" s="882">
        <v>25</v>
      </c>
      <c r="B85" s="3327"/>
      <c r="C85" s="818" t="s">
        <v>664</v>
      </c>
      <c r="D85" s="818" t="s">
        <v>665</v>
      </c>
      <c r="E85" s="895">
        <v>0.5</v>
      </c>
      <c r="F85" s="882">
        <v>80</v>
      </c>
    </row>
    <row r="86" spans="1:6" s="878" customFormat="1" ht="36">
      <c r="A86" s="882">
        <v>26</v>
      </c>
      <c r="B86" s="3327"/>
      <c r="C86" s="818" t="s">
        <v>666</v>
      </c>
      <c r="D86" s="818" t="s">
        <v>667</v>
      </c>
      <c r="E86" s="895">
        <v>0.2</v>
      </c>
      <c r="F86" s="882">
        <v>30</v>
      </c>
    </row>
    <row r="87" spans="1:6" s="878" customFormat="1" ht="36">
      <c r="A87" s="882">
        <v>27</v>
      </c>
      <c r="B87" s="3327"/>
      <c r="C87" s="818" t="s">
        <v>668</v>
      </c>
      <c r="D87" s="818" t="s">
        <v>669</v>
      </c>
      <c r="E87" s="895">
        <v>0.2</v>
      </c>
      <c r="F87" s="882">
        <v>30</v>
      </c>
    </row>
    <row r="88" spans="1:6" s="878" customFormat="1" ht="36">
      <c r="A88" s="882">
        <v>28</v>
      </c>
      <c r="B88" s="3327"/>
      <c r="C88" s="818" t="s">
        <v>670</v>
      </c>
      <c r="D88" s="818" t="s">
        <v>671</v>
      </c>
      <c r="E88" s="895">
        <v>0.2</v>
      </c>
      <c r="F88" s="882">
        <v>30</v>
      </c>
    </row>
    <row r="89" spans="1:6" s="878" customFormat="1" ht="36">
      <c r="A89" s="882">
        <v>29</v>
      </c>
      <c r="B89" s="3327"/>
      <c r="C89" s="818" t="s">
        <v>672</v>
      </c>
      <c r="D89" s="818" t="s">
        <v>673</v>
      </c>
      <c r="E89" s="895">
        <v>0.2</v>
      </c>
      <c r="F89" s="882">
        <v>30</v>
      </c>
    </row>
    <row r="90" spans="1:6" s="878" customFormat="1" ht="36">
      <c r="A90" s="882">
        <v>30</v>
      </c>
      <c r="B90" s="3327"/>
      <c r="C90" s="818" t="s">
        <v>674</v>
      </c>
      <c r="D90" s="818" t="s">
        <v>675</v>
      </c>
      <c r="E90" s="895">
        <v>0.2</v>
      </c>
      <c r="F90" s="882">
        <v>30</v>
      </c>
    </row>
    <row r="91" spans="1:6" s="878" customFormat="1" ht="48">
      <c r="A91" s="882">
        <v>31</v>
      </c>
      <c r="B91" s="3327"/>
      <c r="C91" s="818" t="s">
        <v>676</v>
      </c>
      <c r="D91" s="818" t="s">
        <v>677</v>
      </c>
      <c r="E91" s="895">
        <v>0.2</v>
      </c>
      <c r="F91" s="882">
        <v>30</v>
      </c>
    </row>
    <row r="92" spans="1:6" s="878" customFormat="1" ht="36">
      <c r="A92" s="882">
        <v>32</v>
      </c>
      <c r="B92" s="3327" t="s">
        <v>678</v>
      </c>
      <c r="C92" s="882" t="s">
        <v>679</v>
      </c>
      <c r="D92" s="818" t="s">
        <v>680</v>
      </c>
      <c r="E92" s="895">
        <v>0.2</v>
      </c>
      <c r="F92" s="882">
        <v>30</v>
      </c>
    </row>
    <row r="93" spans="1:6" s="878" customFormat="1" ht="36">
      <c r="A93" s="882">
        <v>33</v>
      </c>
      <c r="B93" s="3327"/>
      <c r="C93" s="882" t="s">
        <v>681</v>
      </c>
      <c r="D93" s="818" t="s">
        <v>682</v>
      </c>
      <c r="E93" s="895">
        <v>0.2</v>
      </c>
      <c r="F93" s="882">
        <v>30</v>
      </c>
    </row>
    <row r="94" spans="1:6" s="878" customFormat="1" ht="60">
      <c r="A94" s="882">
        <v>34</v>
      </c>
      <c r="B94" s="3327"/>
      <c r="C94" s="882" t="s">
        <v>683</v>
      </c>
      <c r="D94" s="818" t="s">
        <v>684</v>
      </c>
      <c r="E94" s="895">
        <v>0.2</v>
      </c>
      <c r="F94" s="882">
        <v>30</v>
      </c>
    </row>
    <row r="95" spans="1:6" s="878" customFormat="1" ht="48">
      <c r="A95" s="882">
        <v>35</v>
      </c>
      <c r="B95" s="3327"/>
      <c r="C95" s="882" t="s">
        <v>685</v>
      </c>
      <c r="D95" s="818" t="s">
        <v>686</v>
      </c>
      <c r="E95" s="895">
        <v>0.2</v>
      </c>
      <c r="F95" s="882">
        <v>30</v>
      </c>
    </row>
    <row r="96" spans="1:6" s="878" customFormat="1" ht="72">
      <c r="A96" s="882">
        <v>36</v>
      </c>
      <c r="B96" s="3327"/>
      <c r="C96" s="818" t="s">
        <v>687</v>
      </c>
      <c r="D96" s="818" t="s">
        <v>688</v>
      </c>
      <c r="E96" s="895">
        <v>0.2</v>
      </c>
      <c r="F96" s="882">
        <v>30</v>
      </c>
    </row>
    <row r="97" spans="1:6" s="878" customFormat="1" ht="36">
      <c r="A97" s="882">
        <v>37</v>
      </c>
      <c r="B97" s="3327"/>
      <c r="C97" s="882" t="s">
        <v>689</v>
      </c>
      <c r="D97" s="818" t="s">
        <v>690</v>
      </c>
      <c r="E97" s="895">
        <v>0.2</v>
      </c>
      <c r="F97" s="882">
        <v>30</v>
      </c>
    </row>
    <row r="98" spans="1:6" s="878" customFormat="1" ht="36">
      <c r="A98" s="882">
        <v>38</v>
      </c>
      <c r="B98" s="3327"/>
      <c r="C98" s="882" t="s">
        <v>691</v>
      </c>
      <c r="D98" s="818" t="s">
        <v>692</v>
      </c>
      <c r="E98" s="895">
        <v>0.2</v>
      </c>
      <c r="F98" s="882">
        <v>30</v>
      </c>
    </row>
    <row r="99" spans="1:6" s="878" customFormat="1" ht="36">
      <c r="A99" s="882">
        <v>39</v>
      </c>
      <c r="B99" s="3327" t="s">
        <v>693</v>
      </c>
      <c r="C99" s="882" t="s">
        <v>694</v>
      </c>
      <c r="D99" s="818" t="s">
        <v>695</v>
      </c>
      <c r="E99" s="895">
        <v>0.3</v>
      </c>
      <c r="F99" s="882">
        <v>50</v>
      </c>
    </row>
    <row r="100" spans="1:6" s="878" customFormat="1" ht="36">
      <c r="A100" s="882">
        <v>40</v>
      </c>
      <c r="B100" s="3327"/>
      <c r="C100" s="882" t="s">
        <v>696</v>
      </c>
      <c r="D100" s="818" t="s">
        <v>697</v>
      </c>
      <c r="E100" s="895">
        <v>0.2</v>
      </c>
      <c r="F100" s="882">
        <v>30</v>
      </c>
    </row>
    <row r="101" spans="1:6" s="878" customFormat="1" ht="36">
      <c r="A101" s="882">
        <v>41</v>
      </c>
      <c r="B101" s="3327"/>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7" t="s">
        <v>708</v>
      </c>
      <c r="C105" s="882" t="s">
        <v>709</v>
      </c>
      <c r="D105" s="818" t="s">
        <v>710</v>
      </c>
      <c r="E105" s="895">
        <v>0.2</v>
      </c>
      <c r="F105" s="882">
        <v>30</v>
      </c>
    </row>
    <row r="106" spans="1:6" s="878" customFormat="1" ht="48">
      <c r="A106" s="882">
        <v>46</v>
      </c>
      <c r="B106" s="3327"/>
      <c r="C106" s="882" t="s">
        <v>711</v>
      </c>
      <c r="D106" s="818" t="s">
        <v>712</v>
      </c>
      <c r="E106" s="895">
        <v>0.2</v>
      </c>
      <c r="F106" s="882">
        <v>30</v>
      </c>
    </row>
    <row r="107" spans="1:6" s="878" customFormat="1" ht="36">
      <c r="A107" s="882">
        <v>47</v>
      </c>
      <c r="B107" s="3327" t="s">
        <v>713</v>
      </c>
      <c r="C107" s="882" t="s">
        <v>714</v>
      </c>
      <c r="D107" s="818" t="s">
        <v>715</v>
      </c>
      <c r="E107" s="895">
        <v>0.3</v>
      </c>
      <c r="F107" s="882">
        <v>50</v>
      </c>
    </row>
    <row r="108" spans="1:6" s="878" customFormat="1" ht="48">
      <c r="A108" s="882">
        <v>48</v>
      </c>
      <c r="B108" s="332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7" t="s">
        <v>724</v>
      </c>
      <c r="C111" s="882" t="s">
        <v>725</v>
      </c>
      <c r="D111" s="818" t="s">
        <v>726</v>
      </c>
      <c r="E111" s="895">
        <v>0.2</v>
      </c>
      <c r="F111" s="882">
        <v>30</v>
      </c>
    </row>
    <row r="112" spans="1:6" s="878" customFormat="1" ht="36">
      <c r="A112" s="882">
        <v>52</v>
      </c>
      <c r="B112" s="3327"/>
      <c r="C112" s="882" t="s">
        <v>727</v>
      </c>
      <c r="D112" s="818" t="s">
        <v>728</v>
      </c>
      <c r="E112" s="895">
        <v>0.2</v>
      </c>
      <c r="F112" s="882">
        <v>30</v>
      </c>
    </row>
    <row r="113" spans="1:6" s="878" customFormat="1" ht="36">
      <c r="A113" s="882">
        <v>53</v>
      </c>
      <c r="B113" s="3327"/>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7" t="s">
        <v>737</v>
      </c>
      <c r="C116" s="882" t="s">
        <v>738</v>
      </c>
      <c r="D116" s="818" t="s">
        <v>739</v>
      </c>
      <c r="E116" s="895">
        <v>0.2</v>
      </c>
      <c r="F116" s="882">
        <v>30</v>
      </c>
    </row>
    <row r="117" spans="1:6" ht="36">
      <c r="A117" s="882">
        <v>57</v>
      </c>
      <c r="B117" s="3327"/>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4" t="s">
        <v>3001</v>
      </c>
    </row>
    <row r="2" spans="1:5" ht="15.6">
      <c r="A2" s="2895" t="s">
        <v>2993</v>
      </c>
      <c r="B2" s="2896" t="e">
        <f ca="1">SUMIF(B6:B13,"&lt;&gt;#ref!",B6:B13)</f>
        <v>#DIV/0!</v>
      </c>
      <c r="C2" s="2895" t="s">
        <v>2994</v>
      </c>
      <c r="D2" s="2895" t="s">
        <v>2995</v>
      </c>
      <c r="E2" s="2896">
        <f ca="1">SUMIF(E6:E13,"&lt;&gt;#ref!",E6:E13)</f>
        <v>0</v>
      </c>
    </row>
    <row r="3" spans="1:5" ht="15.6">
      <c r="A3" s="2895" t="s">
        <v>2996</v>
      </c>
      <c r="B3" s="2896" t="e">
        <f ca="1">ROUND(B2*10000/E2,0)</f>
        <v>#DIV/0!</v>
      </c>
      <c r="C3" s="2895" t="s">
        <v>3002</v>
      </c>
      <c r="D3" s="2897"/>
      <c r="E3" s="2897"/>
    </row>
    <row r="4" spans="1:5" ht="15.6">
      <c r="A4" s="2898"/>
      <c r="B4" s="2897"/>
      <c r="C4" s="2897"/>
      <c r="D4" s="2897"/>
      <c r="E4" s="2897"/>
    </row>
    <row r="5" spans="1:5" ht="31.2">
      <c r="A5" s="2899" t="s">
        <v>2997</v>
      </c>
      <c r="B5" s="2895" t="s">
        <v>2998</v>
      </c>
      <c r="C5" s="2896"/>
      <c r="D5" s="2897"/>
      <c r="E5" s="2895" t="s">
        <v>2999</v>
      </c>
    </row>
    <row r="6" spans="1:5" ht="15.6">
      <c r="A6" s="2900" t="s">
        <v>3000</v>
      </c>
      <c r="B6" s="2896" t="e">
        <f ca="1">SUMIF(INDIRECT("'"&amp;A6&amp;"'"&amp;"!A:A"),"总价",INDIRECT("'"&amp;A6&amp;"'"&amp;"!B:B"))</f>
        <v>#DIV/0!</v>
      </c>
      <c r="C6" s="2895" t="s">
        <v>2994</v>
      </c>
      <c r="D6" s="2897"/>
      <c r="E6" s="2568">
        <f ca="1">SUMIF(INDIRECT("'"&amp;A6&amp;"'"&amp;"!C:C"),"建筑面积",INDIRECT("'"&amp;A6&amp;"'"&amp;"!D:D"))</f>
        <v>0</v>
      </c>
    </row>
    <row r="7" spans="1:5" ht="15.6">
      <c r="A7" s="2900"/>
      <c r="B7" s="2896" t="e">
        <f ca="1">SUMIF(INDIRECT("'"&amp;A7&amp;"'"&amp;"!A:A"),"总价",INDIRECT("'"&amp;A7&amp;"'"&amp;"!B:B"))</f>
        <v>#REF!</v>
      </c>
      <c r="C7" s="2895" t="s">
        <v>2994</v>
      </c>
      <c r="D7" s="2897"/>
      <c r="E7" s="2568" t="e">
        <f t="shared" ref="E7:E13" ca="1" si="0">SUMIF(INDIRECT("'"&amp;A7&amp;"'"&amp;"!C:C"),"建筑面积",INDIRECT("'"&amp;A7&amp;"'"&amp;"!D:D"))</f>
        <v>#REF!</v>
      </c>
    </row>
    <row r="8" spans="1:5" ht="15.6">
      <c r="A8" s="2900"/>
      <c r="B8" s="2896" t="e">
        <f t="shared" ref="B8:B13" ca="1" si="1">SUMIF(INDIRECT("'"&amp;A8&amp;"'"&amp;"!A:A"),"总价",INDIRECT("'"&amp;A8&amp;"'"&amp;"!B:B"))</f>
        <v>#REF!</v>
      </c>
      <c r="C8" s="2895" t="s">
        <v>2994</v>
      </c>
      <c r="D8" s="2897"/>
      <c r="E8" s="2568" t="e">
        <f t="shared" ca="1" si="0"/>
        <v>#REF!</v>
      </c>
    </row>
    <row r="9" spans="1:5" ht="15.6">
      <c r="A9" s="2900"/>
      <c r="B9" s="2896" t="e">
        <f t="shared" ca="1" si="1"/>
        <v>#REF!</v>
      </c>
      <c r="C9" s="2895" t="s">
        <v>2994</v>
      </c>
      <c r="D9" s="2897"/>
      <c r="E9" s="2568" t="e">
        <f t="shared" ca="1" si="0"/>
        <v>#REF!</v>
      </c>
    </row>
    <row r="10" spans="1:5" ht="15.6">
      <c r="A10" s="2900"/>
      <c r="B10" s="2896" t="e">
        <f t="shared" ca="1" si="1"/>
        <v>#REF!</v>
      </c>
      <c r="C10" s="2895" t="s">
        <v>2994</v>
      </c>
      <c r="D10" s="2897"/>
      <c r="E10" s="2568" t="e">
        <f t="shared" ca="1" si="0"/>
        <v>#REF!</v>
      </c>
    </row>
    <row r="11" spans="1:5" ht="15.6">
      <c r="A11" s="2900"/>
      <c r="B11" s="2896" t="e">
        <f t="shared" ca="1" si="1"/>
        <v>#REF!</v>
      </c>
      <c r="C11" s="2895" t="s">
        <v>2994</v>
      </c>
      <c r="D11" s="2897"/>
      <c r="E11" s="2568" t="e">
        <f t="shared" ca="1" si="0"/>
        <v>#REF!</v>
      </c>
    </row>
    <row r="12" spans="1:5" ht="15.6">
      <c r="A12" s="2900"/>
      <c r="B12" s="2896" t="e">
        <f t="shared" ca="1" si="1"/>
        <v>#REF!</v>
      </c>
      <c r="C12" s="2895" t="s">
        <v>2994</v>
      </c>
      <c r="D12" s="2897"/>
      <c r="E12" s="2568" t="e">
        <f t="shared" ca="1" si="0"/>
        <v>#REF!</v>
      </c>
    </row>
    <row r="13" spans="1:5" ht="15.6">
      <c r="A13" s="2900"/>
      <c r="B13" s="2896" t="e">
        <f t="shared" ca="1" si="1"/>
        <v>#REF!</v>
      </c>
      <c r="C13" s="2895" t="s">
        <v>2994</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33" t="s">
        <v>1145</v>
      </c>
      <c r="C1" s="3333"/>
      <c r="D1" s="3333"/>
      <c r="E1" s="3333"/>
      <c r="F1" s="3333"/>
      <c r="G1" s="3332" t="s">
        <v>1146</v>
      </c>
      <c r="H1" s="3332"/>
      <c r="I1" s="3332"/>
      <c r="J1" s="3332"/>
      <c r="K1" s="3332"/>
      <c r="L1" s="3332"/>
      <c r="N1" s="3332" t="s">
        <v>1147</v>
      </c>
      <c r="O1" s="3332"/>
      <c r="P1" s="3332"/>
      <c r="Q1" s="3332"/>
      <c r="R1" s="1446"/>
      <c r="S1" s="3332" t="s">
        <v>1148</v>
      </c>
      <c r="T1" s="3332"/>
      <c r="U1" s="3332"/>
      <c r="V1" s="3332"/>
      <c r="X1" s="3331" t="s">
        <v>1149</v>
      </c>
      <c r="Y1" s="3332"/>
      <c r="Z1" s="3332"/>
      <c r="AA1" s="3332"/>
      <c r="AB1" s="3332"/>
      <c r="AD1" s="3331" t="s">
        <v>1150</v>
      </c>
      <c r="AE1" s="3332"/>
      <c r="AF1" s="3332"/>
      <c r="AG1" s="3332"/>
      <c r="AH1" s="3332"/>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4">
      <c r="A3" s="2920" t="s">
        <v>3031</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4">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6" customFormat="1">
      <c r="A7" s="1461" t="s">
        <v>3049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6" customFormat="1" ht="13.8" thickBot="1">
      <c r="A8" s="1461" t="s">
        <v>3045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6" customFormat="1">
      <c r="A9" s="1461" t="s">
        <v>3043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6" customFormat="1" ht="13.8" thickBot="1">
      <c r="A10" s="1461" t="s">
        <v>3041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6" customFormat="1">
      <c r="A11" s="1461" t="s">
        <v>3044</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29">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6" customFormat="1" ht="14.4" customHeight="1">
      <c r="A12" s="1461" t="s">
        <v>3038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29"/>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6" customFormat="1" ht="14.4" customHeight="1">
      <c r="A13" s="1461" t="s">
        <v>3037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29"/>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6" customFormat="1" ht="15" customHeight="1" thickBot="1">
      <c r="A14" s="1461" t="s">
        <v>3030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38"/>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1" t="s">
        <v>3027</v>
      </c>
      <c r="B15" s="1469">
        <v>439</v>
      </c>
      <c r="C15" s="1469">
        <v>327</v>
      </c>
      <c r="D15" s="1469">
        <f>C15</f>
        <v>327</v>
      </c>
      <c r="E15" s="1469">
        <v>627</v>
      </c>
      <c r="F15" s="1470">
        <v>283</v>
      </c>
      <c r="G15" s="3334">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 customHeight="1">
      <c r="A16" s="1461" t="s">
        <v>3028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29"/>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1" customFormat="1" ht="14.4"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29"/>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3"/>
      <c r="AD17" s="1780">
        <f>ROUND(AVERAGE(I17:I$30)/100,4)</f>
        <v>2.46E-2</v>
      </c>
      <c r="AE17" s="1780">
        <f>ROUND(AVERAGE(J17:J$30)/100,4)</f>
        <v>1.6E-2</v>
      </c>
      <c r="AF17" s="1780">
        <f t="shared" si="1"/>
        <v>1.6E-2</v>
      </c>
      <c r="AG17" s="1780">
        <f>ROUND(AVERAGE(K17:K$30)/100,4)</f>
        <v>2.75E-2</v>
      </c>
      <c r="AH17" s="1780">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38"/>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1" t="s">
        <v>154</v>
      </c>
      <c r="B19" s="1469">
        <v>392</v>
      </c>
      <c r="C19" s="1469">
        <v>302</v>
      </c>
      <c r="D19" s="1469">
        <f>C19</f>
        <v>302</v>
      </c>
      <c r="E19" s="1469">
        <v>553</v>
      </c>
      <c r="F19" s="1470">
        <v>266</v>
      </c>
      <c r="G19" s="3334">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29"/>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29"/>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8"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30"/>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8" thickBot="1">
      <c r="A23" s="1461" t="s">
        <v>151</v>
      </c>
      <c r="B23" s="1469">
        <v>333</v>
      </c>
      <c r="C23" s="1469">
        <v>277</v>
      </c>
      <c r="D23" s="1469">
        <f t="shared" si="133"/>
        <v>277</v>
      </c>
      <c r="E23" s="1469">
        <v>459</v>
      </c>
      <c r="F23" s="1470">
        <v>249</v>
      </c>
      <c r="G23" s="3328">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29"/>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29"/>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30"/>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8" thickBot="1">
      <c r="A27" s="1461" t="s">
        <v>147</v>
      </c>
      <c r="B27" s="1490">
        <v>318</v>
      </c>
      <c r="C27" s="1490">
        <v>268</v>
      </c>
      <c r="D27" s="1490">
        <f t="shared" si="133"/>
        <v>268</v>
      </c>
      <c r="E27" s="1490">
        <v>437</v>
      </c>
      <c r="F27" s="1491">
        <v>237</v>
      </c>
      <c r="G27" s="3328">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29"/>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8"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29"/>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8"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30"/>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8" thickBot="1">
      <c r="A31" s="1461" t="s">
        <v>1158</v>
      </c>
      <c r="B31" s="1469">
        <v>299</v>
      </c>
      <c r="C31" s="1469">
        <v>252</v>
      </c>
      <c r="D31" s="1469">
        <f t="shared" si="133"/>
        <v>252</v>
      </c>
      <c r="E31" s="1469">
        <v>409</v>
      </c>
      <c r="F31" s="1470">
        <v>227</v>
      </c>
      <c r="G31" s="3335">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36"/>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36"/>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37"/>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8" thickBot="1">
      <c r="A35" s="1461" t="s">
        <v>1162</v>
      </c>
      <c r="B35" s="1511">
        <v>278</v>
      </c>
      <c r="C35" s="1511">
        <v>234</v>
      </c>
      <c r="D35" s="1511">
        <f t="shared" si="133"/>
        <v>234</v>
      </c>
      <c r="E35" s="1511">
        <v>379</v>
      </c>
      <c r="F35" s="1512">
        <v>220</v>
      </c>
      <c r="G35" s="3328">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29"/>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29"/>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8" thickBot="1">
      <c r="A38" s="1461" t="s">
        <v>1165</v>
      </c>
      <c r="B38" s="1477">
        <f>B37/(1+N37)</f>
        <v>275.19025476197027</v>
      </c>
      <c r="C38" s="1513">
        <v>232</v>
      </c>
      <c r="D38" s="1513">
        <f t="shared" si="133"/>
        <v>232</v>
      </c>
      <c r="E38" s="1477">
        <f t="shared" si="144"/>
        <v>375.65990977608692</v>
      </c>
      <c r="F38" s="1477">
        <f t="shared" si="144"/>
        <v>214.12518283971252</v>
      </c>
      <c r="G38" s="3330"/>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8" thickBot="1">
      <c r="A39" s="1461" t="s">
        <v>1166</v>
      </c>
      <c r="B39" s="1469">
        <v>275</v>
      </c>
      <c r="C39" s="1469">
        <v>232</v>
      </c>
      <c r="D39" s="1469">
        <f t="shared" si="133"/>
        <v>232</v>
      </c>
      <c r="E39" s="1469">
        <v>376</v>
      </c>
      <c r="F39" s="1470">
        <v>213</v>
      </c>
      <c r="G39" s="3328">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29">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29">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8"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30">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8" thickBot="1">
      <c r="A43" s="1461" t="s">
        <v>1170</v>
      </c>
      <c r="B43" s="1469">
        <v>269</v>
      </c>
      <c r="C43" s="1469">
        <v>221</v>
      </c>
      <c r="D43" s="1469">
        <f t="shared" si="133"/>
        <v>221</v>
      </c>
      <c r="E43" s="1469">
        <v>373</v>
      </c>
      <c r="F43" s="1470">
        <v>196</v>
      </c>
      <c r="G43" s="3328">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29">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29">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8"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30">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8" thickBot="1">
      <c r="A47" s="1461" t="s">
        <v>1174</v>
      </c>
      <c r="B47" s="1469">
        <v>220</v>
      </c>
      <c r="C47" s="1469">
        <v>187</v>
      </c>
      <c r="D47" s="1469">
        <f t="shared" si="133"/>
        <v>187</v>
      </c>
      <c r="E47" s="1469">
        <v>301</v>
      </c>
      <c r="F47" s="1470">
        <v>168</v>
      </c>
      <c r="G47" s="3328">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29">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29">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30">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8" thickBot="1">
      <c r="A51" s="1461" t="s">
        <v>1178</v>
      </c>
      <c r="B51" s="1511">
        <v>214</v>
      </c>
      <c r="C51" s="1511">
        <v>188</v>
      </c>
      <c r="D51" s="1511">
        <f t="shared" si="133"/>
        <v>188</v>
      </c>
      <c r="E51" s="1511">
        <v>289</v>
      </c>
      <c r="F51" s="1512">
        <v>166</v>
      </c>
      <c r="G51" s="3328">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29">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29">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8"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30">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8" thickBot="1">
      <c r="A55" s="1461" t="s">
        <v>1182</v>
      </c>
      <c r="B55" s="1469">
        <v>188</v>
      </c>
      <c r="C55" s="1469">
        <v>165</v>
      </c>
      <c r="D55" s="1469">
        <f t="shared" si="133"/>
        <v>165</v>
      </c>
      <c r="E55" s="1469">
        <v>254</v>
      </c>
      <c r="F55" s="1470">
        <v>148</v>
      </c>
      <c r="G55" s="3328">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29">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29">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30">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8" thickBot="1">
      <c r="A59" s="1461" t="s">
        <v>1186</v>
      </c>
      <c r="B59" s="1490">
        <v>159</v>
      </c>
      <c r="C59" s="1490">
        <v>141</v>
      </c>
      <c r="D59" s="1490">
        <f t="shared" si="133"/>
        <v>141</v>
      </c>
      <c r="E59" s="1490">
        <v>195</v>
      </c>
      <c r="F59" s="1491">
        <v>122</v>
      </c>
      <c r="G59" s="3328">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29">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29">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30">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8" thickBot="1">
      <c r="A63" s="1461" t="s">
        <v>1190</v>
      </c>
      <c r="B63" s="1490">
        <v>138</v>
      </c>
      <c r="C63" s="1490">
        <v>131</v>
      </c>
      <c r="D63" s="1490">
        <f t="shared" si="133"/>
        <v>131</v>
      </c>
      <c r="E63" s="1490">
        <v>155</v>
      </c>
      <c r="F63" s="1491">
        <v>114</v>
      </c>
      <c r="G63" s="3328">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29">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29">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30">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8" thickBot="1">
      <c r="A67" s="1461" t="s">
        <v>1194</v>
      </c>
      <c r="B67" s="1511">
        <v>121</v>
      </c>
      <c r="C67" s="1511">
        <v>122</v>
      </c>
      <c r="D67" s="1511">
        <f t="shared" si="133"/>
        <v>122</v>
      </c>
      <c r="E67" s="1511">
        <v>124</v>
      </c>
      <c r="F67" s="1512">
        <v>107</v>
      </c>
      <c r="G67" s="3328">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29">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29">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8"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30">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8" thickBot="1">
      <c r="A71" s="1461" t="s">
        <v>1198</v>
      </c>
      <c r="B71" s="1532">
        <v>111</v>
      </c>
      <c r="C71" s="1532">
        <v>114</v>
      </c>
      <c r="D71" s="1532">
        <f t="shared" si="133"/>
        <v>114</v>
      </c>
      <c r="E71" s="1532">
        <v>108</v>
      </c>
      <c r="F71" s="1533">
        <v>104</v>
      </c>
      <c r="G71" s="3328">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29">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29">
        <v>2003</v>
      </c>
      <c r="H73" s="1465">
        <v>2</v>
      </c>
      <c r="I73" s="1534"/>
      <c r="J73" s="1534"/>
      <c r="K73" s="1534"/>
      <c r="L73" s="1534"/>
      <c r="X73" s="1526"/>
      <c r="Y73" s="1526"/>
      <c r="Z73" s="1526"/>
    </row>
    <row r="74" spans="1:26" ht="13.8" thickBot="1">
      <c r="A74" s="1461" t="s">
        <v>1201</v>
      </c>
      <c r="B74" s="1536">
        <f t="shared" si="169"/>
        <v>107.25</v>
      </c>
      <c r="C74" s="1536">
        <f t="shared" si="169"/>
        <v>108.75</v>
      </c>
      <c r="D74" s="1536">
        <f t="shared" si="133"/>
        <v>108.75</v>
      </c>
      <c r="E74" s="1536">
        <f t="shared" si="170"/>
        <v>105.75</v>
      </c>
      <c r="F74" s="1536">
        <f t="shared" si="170"/>
        <v>102.5</v>
      </c>
      <c r="G74" s="3330">
        <v>2003</v>
      </c>
      <c r="H74" s="1537">
        <v>1</v>
      </c>
      <c r="I74" s="1534"/>
      <c r="J74" s="1534"/>
      <c r="K74" s="1534"/>
      <c r="L74" s="1534"/>
      <c r="S74" s="1472"/>
      <c r="T74" s="1473"/>
      <c r="U74" s="1473"/>
      <c r="X74" s="1526"/>
      <c r="Y74" s="1526"/>
      <c r="Z74" s="1526"/>
    </row>
    <row r="75" spans="1:26" ht="13.8" thickBot="1">
      <c r="A75" s="1461" t="s">
        <v>1202</v>
      </c>
      <c r="B75" s="1538">
        <v>106</v>
      </c>
      <c r="C75" s="1538">
        <v>107</v>
      </c>
      <c r="D75" s="1538">
        <f t="shared" si="133"/>
        <v>107</v>
      </c>
      <c r="E75" s="1538">
        <v>105</v>
      </c>
      <c r="F75" s="1539">
        <v>102</v>
      </c>
      <c r="G75" s="3328">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29">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29">
        <v>2002</v>
      </c>
      <c r="H77" s="1465">
        <v>2</v>
      </c>
      <c r="I77" s="1534"/>
      <c r="J77" s="1534"/>
      <c r="K77" s="1534"/>
      <c r="L77" s="1534"/>
      <c r="X77" s="1526"/>
      <c r="Y77" s="1526"/>
      <c r="Z77" s="1526"/>
    </row>
    <row r="78" spans="1:26" s="1498" customFormat="1" ht="13.8" thickBot="1">
      <c r="A78" s="1494" t="s">
        <v>1205</v>
      </c>
      <c r="B78" s="1540">
        <f t="shared" si="171"/>
        <v>103</v>
      </c>
      <c r="C78" s="1540">
        <f t="shared" si="171"/>
        <v>104</v>
      </c>
      <c r="D78" s="1540">
        <f t="shared" si="133"/>
        <v>104</v>
      </c>
      <c r="E78" s="1540">
        <f t="shared" si="172"/>
        <v>103.5</v>
      </c>
      <c r="F78" s="1540">
        <f t="shared" si="172"/>
        <v>100.5</v>
      </c>
      <c r="G78" s="3330">
        <v>2002</v>
      </c>
      <c r="H78" s="1541">
        <v>1</v>
      </c>
      <c r="I78" s="1542"/>
      <c r="J78" s="1542"/>
      <c r="K78" s="1542"/>
      <c r="L78" s="1542"/>
      <c r="N78" s="1543"/>
      <c r="S78" s="1543"/>
      <c r="X78" s="1544"/>
      <c r="Y78" s="1544"/>
      <c r="Z78" s="1544"/>
    </row>
    <row r="79" spans="1:26" ht="13.8"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8"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8"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7.399999999999999">
      <c r="A3" s="3019" t="str">
        <f>IF(项目基本情况!B9="房地产市场价值","估价结果一览表（市场价值不需“结果表-1”）","估价结果一览表")</f>
        <v>估价结果一览表</v>
      </c>
      <c r="B3" s="3019"/>
      <c r="C3" s="3019"/>
      <c r="D3" s="3019"/>
      <c r="E3" s="3019"/>
    </row>
    <row r="4" spans="1:5" ht="18" thickBot="1">
      <c r="A4" s="1951"/>
      <c r="B4" s="3017" t="s">
        <v>1624</v>
      </c>
      <c r="C4" s="3017"/>
      <c r="D4" s="3017"/>
      <c r="E4" s="1951"/>
    </row>
    <row r="5" spans="1:5" ht="16.2" thickTop="1">
      <c r="A5" s="1949"/>
      <c r="B5" s="3015" t="s">
        <v>1616</v>
      </c>
      <c r="C5" s="1952" t="s">
        <v>1617</v>
      </c>
      <c r="D5" s="1040">
        <f ca="1">结果表!H101</f>
        <v>46521</v>
      </c>
      <c r="E5" s="1949"/>
    </row>
    <row r="6" spans="1:5" ht="15.6">
      <c r="A6" s="1949"/>
      <c r="B6" s="3015"/>
      <c r="C6" s="1952" t="s">
        <v>1618</v>
      </c>
      <c r="D6" s="1040" t="str">
        <f ca="1">NUMBERSTRING(INT(D5*10000),2)&amp;"元整"</f>
        <v>肆亿陆仟伍佰贰拾壹万元整</v>
      </c>
      <c r="E6" s="1949"/>
    </row>
    <row r="7" spans="1:5" ht="15.6">
      <c r="A7" s="1949"/>
      <c r="B7" s="3020"/>
      <c r="C7" s="1953" t="s">
        <v>1619</v>
      </c>
      <c r="D7" s="1041" t="e">
        <f ca="1">结果表!H102</f>
        <v>#DIV/0!</v>
      </c>
      <c r="E7" s="1949"/>
    </row>
    <row r="8" spans="1:5" ht="15.6">
      <c r="A8" s="1949"/>
      <c r="B8" s="3021" t="str">
        <f>结果表!E103</f>
        <v>2.估价师知悉的法定优先受偿款</v>
      </c>
      <c r="C8" s="1954" t="s">
        <v>1620</v>
      </c>
      <c r="D8" s="1041">
        <f>结果表!H103</f>
        <v>0</v>
      </c>
      <c r="E8" s="1949"/>
    </row>
    <row r="9" spans="1:5" ht="15.6">
      <c r="A9" s="1949"/>
      <c r="B9" s="3023"/>
      <c r="C9" s="1952" t="s">
        <v>1618</v>
      </c>
      <c r="D9" s="1040" t="str">
        <f>NUMBERSTRING(INT(D8*10000),2)&amp;"元整"</f>
        <v>零元整</v>
      </c>
      <c r="E9" s="1949"/>
    </row>
    <row r="10" spans="1:5" ht="15.6">
      <c r="A10" s="1949"/>
      <c r="B10" s="1955" t="s">
        <v>1623</v>
      </c>
      <c r="C10" s="1956" t="s">
        <v>1621</v>
      </c>
      <c r="D10" s="1042">
        <f>结果表!H104</f>
        <v>0</v>
      </c>
      <c r="E10" s="1949"/>
    </row>
    <row r="11" spans="1:5" ht="15.6">
      <c r="A11" s="1949"/>
      <c r="B11" s="1955" t="s">
        <v>1625</v>
      </c>
      <c r="C11" s="1956" t="s">
        <v>1626</v>
      </c>
      <c r="D11" s="1042">
        <f>结果表!H105</f>
        <v>0</v>
      </c>
      <c r="E11" s="1949"/>
    </row>
    <row r="12" spans="1:5" ht="15.6">
      <c r="A12" s="1949"/>
      <c r="B12" s="1955" t="s">
        <v>1627</v>
      </c>
      <c r="C12" s="1956" t="s">
        <v>1626</v>
      </c>
      <c r="D12" s="1042">
        <f>结果表!H106</f>
        <v>0</v>
      </c>
      <c r="E12" s="1949"/>
    </row>
    <row r="13" spans="1:5" ht="15.6">
      <c r="A13" s="1949"/>
      <c r="B13" s="3014" t="str">
        <f>结果表!E107</f>
        <v>3.房地产抵押价值</v>
      </c>
      <c r="C13" s="1957" t="s">
        <v>1617</v>
      </c>
      <c r="D13" s="1043">
        <f ca="1">结果表!H107</f>
        <v>46521</v>
      </c>
      <c r="E13" s="1949"/>
    </row>
    <row r="14" spans="1:5" ht="15.6">
      <c r="A14" s="1949"/>
      <c r="B14" s="3015"/>
      <c r="C14" s="1952" t="s">
        <v>1618</v>
      </c>
      <c r="D14" s="1040" t="str">
        <f ca="1">NUMBERSTRING(INT(D13*10000),2)&amp;"元整"</f>
        <v>肆亿陆仟伍佰贰拾壹万元整</v>
      </c>
      <c r="E14" s="1949"/>
    </row>
    <row r="15" spans="1:5" ht="15.6">
      <c r="A15" s="1949"/>
      <c r="B15" s="3020"/>
      <c r="C15" s="1953" t="s">
        <v>1628</v>
      </c>
      <c r="D15" s="1052">
        <f ca="1">结果表!H108</f>
        <v>6328</v>
      </c>
      <c r="E15" s="1949"/>
    </row>
    <row r="16" spans="1:5" ht="15.6">
      <c r="A16" s="1949"/>
      <c r="B16" s="3021" t="str">
        <f>结果表!E109</f>
        <v>——</v>
      </c>
      <c r="C16" s="1957" t="s">
        <v>1629</v>
      </c>
      <c r="D16" s="1958" t="str">
        <f>结果表!H109</f>
        <v>——</v>
      </c>
      <c r="E16" s="1949"/>
    </row>
    <row r="17" spans="1:5" ht="15.6">
      <c r="A17" s="1949"/>
      <c r="B17" s="3022"/>
      <c r="C17" s="1952" t="s">
        <v>1630</v>
      </c>
      <c r="D17" s="1040" t="e">
        <f>NUMBERSTRING(INT(D16*10000),2)&amp;"元整"</f>
        <v>#VALUE!</v>
      </c>
      <c r="E17" s="1949"/>
    </row>
    <row r="18" spans="1:5" ht="15.6">
      <c r="A18" s="1949"/>
      <c r="B18" s="3023"/>
      <c r="C18" s="1953" t="s">
        <v>1619</v>
      </c>
      <c r="D18" s="1052" t="str">
        <f>结果表!H110</f>
        <v>——</v>
      </c>
      <c r="E18" s="1949"/>
    </row>
    <row r="19" spans="1:5" ht="15.6">
      <c r="A19" s="1949"/>
      <c r="B19" s="3014" t="str">
        <f>结果表!E111</f>
        <v>——</v>
      </c>
      <c r="C19" s="1957" t="s">
        <v>1617</v>
      </c>
      <c r="D19" s="1041" t="str">
        <f>结果表!H111</f>
        <v>——</v>
      </c>
      <c r="E19" s="1949"/>
    </row>
    <row r="20" spans="1:5" ht="15.6">
      <c r="A20" s="1949"/>
      <c r="B20" s="3015"/>
      <c r="C20" s="1952" t="s">
        <v>1630</v>
      </c>
      <c r="D20" s="1040" t="e">
        <f>NUMBERSTRING(INT(D19*10000),2)&amp;"元整"</f>
        <v>#VALUE!</v>
      </c>
      <c r="E20" s="1949"/>
    </row>
    <row r="21" spans="1:5" ht="16.2" thickBot="1">
      <c r="A21" s="1949"/>
      <c r="B21" s="3016"/>
      <c r="C21" s="1959" t="s">
        <v>1628</v>
      </c>
      <c r="D21" s="1053"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 activePane="bottomLeft" state="frozen"/>
      <selection activeCell="C50" sqref="C50"/>
      <selection pane="bottomLeft" activeCell="U21" sqref="U21"/>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40" t="s">
        <v>3004</v>
      </c>
      <c r="D1" s="3341"/>
      <c r="E1" s="3341"/>
      <c r="F1" s="3341"/>
      <c r="G1" s="3341"/>
      <c r="H1" s="3341"/>
      <c r="I1" s="3341"/>
      <c r="J1" s="3341"/>
      <c r="K1" s="3341"/>
      <c r="L1" s="3341"/>
      <c r="M1" s="3341"/>
      <c r="N1" s="3341"/>
      <c r="O1" s="3341"/>
      <c r="P1" s="3341"/>
      <c r="Q1" s="3341"/>
      <c r="R1" s="3341"/>
      <c r="S1" s="3342"/>
      <c r="T1" s="1204" t="s">
        <v>3005</v>
      </c>
    </row>
    <row r="2" spans="1:45" s="707" customFormat="1" ht="39.6">
      <c r="A2" s="1205"/>
      <c r="B2" s="703" t="s">
        <v>3006</v>
      </c>
      <c r="C2" s="704" t="str">
        <f t="shared" ref="C2:L2" si="0">C3&amp;"(含)"&amp;"-"&amp;D3</f>
        <v>0(含)-100</v>
      </c>
      <c r="D2" s="705" t="str">
        <f t="shared" si="0"/>
        <v>100(含)-200</v>
      </c>
      <c r="E2" s="705" t="str">
        <f t="shared" si="0"/>
        <v>200(含)-400</v>
      </c>
      <c r="F2" s="705" t="str">
        <f t="shared" si="0"/>
        <v>400(含)-600</v>
      </c>
      <c r="G2" s="705" t="str">
        <f t="shared" si="0"/>
        <v>600(含)-800</v>
      </c>
      <c r="H2" s="705" t="str">
        <f t="shared" si="0"/>
        <v>800(含)-1000</v>
      </c>
      <c r="I2" s="705" t="str">
        <f t="shared" si="0"/>
        <v>1000(含)-1500</v>
      </c>
      <c r="J2" s="705" t="str">
        <f t="shared" si="0"/>
        <v>1500(含)-2000</v>
      </c>
      <c r="K2" s="705" t="str">
        <f t="shared" si="0"/>
        <v>2000(含)-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400</v>
      </c>
      <c r="G3" s="1704">
        <v>600</v>
      </c>
      <c r="H3" s="1704">
        <v>800</v>
      </c>
      <c r="I3" s="1704">
        <v>1000</v>
      </c>
      <c r="J3" s="1704">
        <v>1500</v>
      </c>
      <c r="K3" s="1704">
        <v>2000</v>
      </c>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100</v>
      </c>
      <c r="D4" s="1211">
        <v>99</v>
      </c>
      <c r="E4" s="1210">
        <v>98</v>
      </c>
      <c r="F4" s="1211">
        <v>97</v>
      </c>
      <c r="G4" s="1210">
        <v>96</v>
      </c>
      <c r="H4" s="1211">
        <v>95</v>
      </c>
      <c r="I4" s="1210">
        <v>94</v>
      </c>
      <c r="J4" s="1211">
        <v>93</v>
      </c>
      <c r="K4" s="1210">
        <v>92</v>
      </c>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61" t="s">
        <v>3124</v>
      </c>
      <c r="C5" s="1121" t="s">
        <v>3113</v>
      </c>
      <c r="D5" s="1115" t="s">
        <v>3125</v>
      </c>
      <c r="E5" s="1115" t="s">
        <v>3126</v>
      </c>
      <c r="F5" s="1716" t="s">
        <v>3112</v>
      </c>
      <c r="G5" s="1711"/>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2962" t="s">
        <v>3127</v>
      </c>
      <c r="C7" s="2963" t="s">
        <v>3128</v>
      </c>
      <c r="D7" s="2964" t="s">
        <v>3129</v>
      </c>
      <c r="E7" s="1115"/>
      <c r="F7" s="1716"/>
      <c r="G7" s="1716"/>
      <c r="H7" s="1716"/>
      <c r="I7" s="1716"/>
      <c r="J7" s="1716"/>
      <c r="K7" s="1716"/>
      <c r="L7" s="1716"/>
      <c r="M7" s="1717"/>
      <c r="N7" s="1718"/>
      <c r="O7" s="1719"/>
      <c r="P7" s="1720"/>
      <c r="Q7" s="1721"/>
      <c r="R7" s="1722"/>
      <c r="S7" s="1723"/>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98</v>
      </c>
      <c r="E8" s="1119">
        <f t="shared" ref="E8:S8" si="8">D8-$T7</f>
        <v>96</v>
      </c>
      <c r="F8" s="1715">
        <f t="shared" si="8"/>
        <v>94</v>
      </c>
      <c r="G8" s="1715">
        <f t="shared" si="8"/>
        <v>92</v>
      </c>
      <c r="H8" s="1715">
        <f t="shared" si="8"/>
        <v>90</v>
      </c>
      <c r="I8" s="1715">
        <f t="shared" si="8"/>
        <v>88</v>
      </c>
      <c r="J8" s="1715">
        <f t="shared" si="8"/>
        <v>86</v>
      </c>
      <c r="K8" s="1715">
        <f t="shared" si="8"/>
        <v>84</v>
      </c>
      <c r="L8" s="1715">
        <f t="shared" si="8"/>
        <v>82</v>
      </c>
      <c r="M8" s="1715">
        <f t="shared" si="8"/>
        <v>80</v>
      </c>
      <c r="N8" s="1715">
        <f t="shared" si="8"/>
        <v>78</v>
      </c>
      <c r="O8" s="1715">
        <f t="shared" si="8"/>
        <v>76</v>
      </c>
      <c r="P8" s="1715">
        <f t="shared" si="8"/>
        <v>74</v>
      </c>
      <c r="Q8" s="1715">
        <f t="shared" si="8"/>
        <v>72</v>
      </c>
      <c r="R8" s="1715">
        <f t="shared" si="8"/>
        <v>70</v>
      </c>
      <c r="S8" s="1715">
        <f t="shared" si="8"/>
        <v>68</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2962" t="s">
        <v>3130</v>
      </c>
      <c r="C9" s="2963" t="s">
        <v>3131</v>
      </c>
      <c r="D9" s="2964" t="s">
        <v>3132</v>
      </c>
      <c r="E9" s="1115"/>
      <c r="F9" s="1716"/>
      <c r="G9" s="1716"/>
      <c r="H9" s="1716"/>
      <c r="I9" s="1716"/>
      <c r="J9" s="1716"/>
      <c r="K9" s="1716"/>
      <c r="L9" s="1724"/>
      <c r="M9" s="1717"/>
      <c r="N9" s="1718"/>
      <c r="O9" s="1719"/>
      <c r="P9" s="1720"/>
      <c r="Q9" s="1721"/>
      <c r="R9" s="1722"/>
      <c r="S9" s="1723"/>
      <c r="T9" s="713">
        <v>20</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80</v>
      </c>
      <c r="E10" s="1221">
        <f t="shared" ref="E10:S10" si="9">D10-$T9</f>
        <v>60</v>
      </c>
      <c r="F10" s="1725">
        <f t="shared" si="9"/>
        <v>40</v>
      </c>
      <c r="G10" s="1725">
        <f t="shared" si="9"/>
        <v>20</v>
      </c>
      <c r="H10" s="1725">
        <f t="shared" si="9"/>
        <v>0</v>
      </c>
      <c r="I10" s="1725">
        <f t="shared" si="9"/>
        <v>-20</v>
      </c>
      <c r="J10" s="1725">
        <f t="shared" si="9"/>
        <v>-40</v>
      </c>
      <c r="K10" s="1725">
        <f t="shared" si="9"/>
        <v>-60</v>
      </c>
      <c r="L10" s="1725">
        <f t="shared" si="9"/>
        <v>-80</v>
      </c>
      <c r="M10" s="1725">
        <f t="shared" si="9"/>
        <v>-100</v>
      </c>
      <c r="N10" s="1725">
        <f t="shared" si="9"/>
        <v>-120</v>
      </c>
      <c r="O10" s="1725">
        <f t="shared" si="9"/>
        <v>-140</v>
      </c>
      <c r="P10" s="1725">
        <f t="shared" si="9"/>
        <v>-160</v>
      </c>
      <c r="Q10" s="1725">
        <f t="shared" si="9"/>
        <v>-180</v>
      </c>
      <c r="R10" s="1725">
        <f t="shared" si="9"/>
        <v>-200</v>
      </c>
      <c r="S10" s="1725">
        <f t="shared" si="9"/>
        <v>-220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t="s">
        <v>3133</v>
      </c>
      <c r="D17" s="1232" t="s">
        <v>3134</v>
      </c>
      <c r="E17" s="1231" t="s">
        <v>3135</v>
      </c>
      <c r="F17" s="1232" t="s">
        <v>3136</v>
      </c>
      <c r="G17" s="1231" t="s">
        <v>3137</v>
      </c>
      <c r="H17" s="1232" t="s">
        <v>3138</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v>100</v>
      </c>
      <c r="D18" s="1244">
        <v>75</v>
      </c>
      <c r="E18" s="1244">
        <v>65</v>
      </c>
      <c r="F18" s="1244">
        <v>55</v>
      </c>
      <c r="G18" s="1244">
        <v>55</v>
      </c>
      <c r="H18" s="1244">
        <v>90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3"/>
      <c r="F19" s="1783"/>
      <c r="G19" s="1783"/>
      <c r="H19" s="1280"/>
      <c r="I19" s="168"/>
      <c r="J19" s="168"/>
      <c r="K19" s="168"/>
      <c r="L19" s="168"/>
      <c r="M19" s="168"/>
      <c r="N19" s="168"/>
      <c r="O19" s="168"/>
      <c r="P19" s="168"/>
      <c r="Q19" s="168"/>
      <c r="R19" s="788"/>
      <c r="S19" s="138"/>
    </row>
    <row r="20" spans="1:45" ht="16.2" thickBot="1">
      <c r="A20" s="715" t="s">
        <v>3013</v>
      </c>
      <c r="B20" s="338">
        <f ca="1">IF(D20="——",S22,S22-F20)</f>
        <v>16397</v>
      </c>
      <c r="C20" s="168"/>
      <c r="D20" s="2904" t="s">
        <v>70</v>
      </c>
      <c r="E20" s="1784"/>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6">
      <c r="A21" s="715" t="s">
        <v>3015</v>
      </c>
      <c r="B21" s="338">
        <f ca="1">ROUND(B20*10000/B22,0)</f>
        <v>5323</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30802.55</v>
      </c>
      <c r="C22" s="3194" t="s">
        <v>33</v>
      </c>
      <c r="D22" s="3195"/>
      <c r="E22" s="3195"/>
      <c r="F22" s="3195"/>
      <c r="G22" s="3195"/>
      <c r="H22" s="3195"/>
      <c r="I22" s="3195"/>
      <c r="J22" s="3195"/>
      <c r="K22" s="3195"/>
      <c r="L22" s="3195"/>
      <c r="M22" s="3195"/>
      <c r="N22" s="3195"/>
      <c r="O22" s="3195"/>
      <c r="P22" s="3195"/>
      <c r="Q22" s="3339"/>
      <c r="R22" s="716">
        <f ca="1">ROUND(S22*10000/B22,0)</f>
        <v>5323</v>
      </c>
      <c r="S22" s="24">
        <f ca="1">SUM(S24:S10000)</f>
        <v>16397</v>
      </c>
    </row>
    <row r="23" spans="1:45" s="12" customFormat="1" ht="24">
      <c r="A23" s="11" t="s">
        <v>3017</v>
      </c>
      <c r="B23" s="11" t="s">
        <v>3018</v>
      </c>
      <c r="C23" s="11" t="s">
        <v>3019</v>
      </c>
      <c r="D23" s="11" t="str">
        <f>B5</f>
        <v>装修情况</v>
      </c>
      <c r="E23" s="11" t="s">
        <v>3019</v>
      </c>
      <c r="F23" s="11" t="str">
        <f>B7</f>
        <v>层高</v>
      </c>
      <c r="G23" s="11" t="s">
        <v>3019</v>
      </c>
      <c r="H23" s="11" t="str">
        <f>B9</f>
        <v>结构</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3109</v>
      </c>
      <c r="B24" s="718">
        <v>249.95</v>
      </c>
      <c r="C24" s="719">
        <v>1</v>
      </c>
      <c r="D24" s="720" t="s">
        <v>3112</v>
      </c>
      <c r="E24" s="719">
        <v>1</v>
      </c>
      <c r="F24" s="720" t="s">
        <v>3114</v>
      </c>
      <c r="G24" s="719">
        <v>1</v>
      </c>
      <c r="H24" s="720" t="s">
        <v>3116</v>
      </c>
      <c r="I24" s="719">
        <v>1</v>
      </c>
      <c r="J24" s="720"/>
      <c r="K24" s="719">
        <v>1</v>
      </c>
      <c r="L24" s="720"/>
      <c r="M24" s="719">
        <v>1</v>
      </c>
      <c r="N24" s="720"/>
      <c r="O24" s="719">
        <v>1</v>
      </c>
      <c r="P24" s="720" t="s">
        <v>3118</v>
      </c>
      <c r="Q24" s="719">
        <v>1</v>
      </c>
      <c r="R24" s="721">
        <f ca="1">结果表!G20</f>
        <v>6328</v>
      </c>
      <c r="S24" s="719">
        <f t="shared" ref="S24:S54" ca="1" si="11">ROUND(R24*B24/10000,0)</f>
        <v>158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3061</v>
      </c>
      <c r="B25" s="59">
        <v>500.22</v>
      </c>
      <c r="C25" s="24">
        <f>IF(B25="",1,(LOOKUP(B25,$3:$3,$4:$4)-LOOKUP($B$24,$3:$3,$4:$4)+100)/100)</f>
        <v>0.99</v>
      </c>
      <c r="D25" s="720" t="s">
        <v>3112</v>
      </c>
      <c r="E25" s="24">
        <f>(SUMIF($5:$5,D25,$6:$6)-SUMIF($5:$5,$D$24,$6:$6)+100)/100</f>
        <v>1</v>
      </c>
      <c r="F25" s="720" t="s">
        <v>3114</v>
      </c>
      <c r="G25" s="24">
        <f>(SUMIF($7:$7,F25,$8:$8)-SUMIF($7:$7,$F$24,$8:$8)+100)/100</f>
        <v>1</v>
      </c>
      <c r="H25" s="720" t="s">
        <v>3116</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3118</v>
      </c>
      <c r="Q25" s="24">
        <f>(SUMIF($17:$17,P25,$18:$18)-SUMIF($17:$17,$P$24,$18:$18)+100)/100</f>
        <v>1</v>
      </c>
      <c r="R25" s="716">
        <f ca="1">IF(B25="",0,ROUND($R$24*C25*E25*G25*I25*K25*M25*O25*Q25,0))</f>
        <v>6265</v>
      </c>
      <c r="S25" s="361">
        <f t="shared" ca="1" si="11"/>
        <v>313</v>
      </c>
    </row>
    <row r="26" spans="1:45">
      <c r="A26" s="159" t="s">
        <v>3062</v>
      </c>
      <c r="B26" s="59">
        <v>367.74</v>
      </c>
      <c r="C26" s="24">
        <f t="shared" ref="C26:C89" si="12">IF(B26="",1,(LOOKUP(B26,$3:$3,$4:$4)-LOOKUP($B$24,$3:$3,$4:$4)+100)/100)</f>
        <v>1</v>
      </c>
      <c r="D26" s="720" t="s">
        <v>3112</v>
      </c>
      <c r="E26" s="24">
        <f t="shared" ref="E26:E89" si="13">(SUMIF($5:$5,D26,$6:$6)-SUMIF($5:$5,$D$24,$6:$6)+100)/100</f>
        <v>1</v>
      </c>
      <c r="F26" s="720" t="s">
        <v>3114</v>
      </c>
      <c r="G26" s="24">
        <f t="shared" ref="G26:G89" si="14">(SUMIF($7:$7,F26,$8:$8)-SUMIF($7:$7,$F$24,$8:$8)+100)/100</f>
        <v>1</v>
      </c>
      <c r="H26" s="720" t="s">
        <v>3116</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3118</v>
      </c>
      <c r="Q26" s="24">
        <f t="shared" ref="Q26:Q89" si="19">(SUMIF($17:$17,P26,$18:$18)-SUMIF($17:$17,$P$24,$18:$18)+100)/100</f>
        <v>1</v>
      </c>
      <c r="R26" s="716">
        <f t="shared" ref="R26:R89" ca="1" si="20">IF(B26="",0,ROUND($R$24*C26*E26*G26*I26*K26*M26*O26*Q26,0))</f>
        <v>6328</v>
      </c>
      <c r="S26" s="361">
        <f t="shared" ca="1" si="11"/>
        <v>233</v>
      </c>
    </row>
    <row r="27" spans="1:45">
      <c r="A27" s="159" t="s">
        <v>3063</v>
      </c>
      <c r="B27" s="59">
        <v>276.88</v>
      </c>
      <c r="C27" s="24">
        <f t="shared" si="12"/>
        <v>1</v>
      </c>
      <c r="D27" s="720" t="s">
        <v>3112</v>
      </c>
      <c r="E27" s="24">
        <f t="shared" si="13"/>
        <v>1</v>
      </c>
      <c r="F27" s="720" t="s">
        <v>3114</v>
      </c>
      <c r="G27" s="24">
        <f t="shared" si="14"/>
        <v>1</v>
      </c>
      <c r="H27" s="720" t="s">
        <v>3116</v>
      </c>
      <c r="I27" s="24">
        <f t="shared" si="15"/>
        <v>1</v>
      </c>
      <c r="J27" s="720"/>
      <c r="K27" s="24">
        <f t="shared" si="16"/>
        <v>1</v>
      </c>
      <c r="L27" s="720"/>
      <c r="M27" s="24">
        <f t="shared" si="17"/>
        <v>1</v>
      </c>
      <c r="N27" s="720"/>
      <c r="O27" s="24">
        <f t="shared" si="18"/>
        <v>1</v>
      </c>
      <c r="P27" s="720" t="s">
        <v>3118</v>
      </c>
      <c r="Q27" s="24">
        <f t="shared" si="19"/>
        <v>1</v>
      </c>
      <c r="R27" s="716">
        <f t="shared" ca="1" si="20"/>
        <v>6328</v>
      </c>
      <c r="S27" s="361">
        <f t="shared" ca="1" si="11"/>
        <v>175</v>
      </c>
    </row>
    <row r="28" spans="1:45">
      <c r="A28" s="159" t="s">
        <v>3064</v>
      </c>
      <c r="B28" s="59">
        <v>344.6</v>
      </c>
      <c r="C28" s="24">
        <f t="shared" si="12"/>
        <v>1</v>
      </c>
      <c r="D28" s="720" t="s">
        <v>3112</v>
      </c>
      <c r="E28" s="24">
        <f t="shared" si="13"/>
        <v>1</v>
      </c>
      <c r="F28" s="720" t="s">
        <v>3114</v>
      </c>
      <c r="G28" s="24">
        <f t="shared" si="14"/>
        <v>1</v>
      </c>
      <c r="H28" s="720" t="s">
        <v>3116</v>
      </c>
      <c r="I28" s="24">
        <f t="shared" si="15"/>
        <v>1</v>
      </c>
      <c r="J28" s="720"/>
      <c r="K28" s="24">
        <f t="shared" si="16"/>
        <v>1</v>
      </c>
      <c r="L28" s="720"/>
      <c r="M28" s="24">
        <f t="shared" si="17"/>
        <v>1</v>
      </c>
      <c r="N28" s="720"/>
      <c r="O28" s="24">
        <f t="shared" si="18"/>
        <v>1</v>
      </c>
      <c r="P28" s="720" t="s">
        <v>3118</v>
      </c>
      <c r="Q28" s="24">
        <f t="shared" si="19"/>
        <v>1</v>
      </c>
      <c r="R28" s="716">
        <f t="shared" ca="1" si="20"/>
        <v>6328</v>
      </c>
      <c r="S28" s="361">
        <f t="shared" ca="1" si="11"/>
        <v>218</v>
      </c>
    </row>
    <row r="29" spans="1:45">
      <c r="A29" s="159" t="s">
        <v>3065</v>
      </c>
      <c r="B29" s="59">
        <v>173.92</v>
      </c>
      <c r="C29" s="24">
        <f t="shared" si="12"/>
        <v>1.01</v>
      </c>
      <c r="D29" s="720" t="s">
        <v>3112</v>
      </c>
      <c r="E29" s="24">
        <f t="shared" si="13"/>
        <v>1</v>
      </c>
      <c r="F29" s="720" t="s">
        <v>3114</v>
      </c>
      <c r="G29" s="24">
        <f t="shared" si="14"/>
        <v>1</v>
      </c>
      <c r="H29" s="720" t="s">
        <v>3116</v>
      </c>
      <c r="I29" s="24">
        <f t="shared" si="15"/>
        <v>1</v>
      </c>
      <c r="J29" s="720"/>
      <c r="K29" s="24">
        <f t="shared" si="16"/>
        <v>1</v>
      </c>
      <c r="L29" s="720"/>
      <c r="M29" s="24">
        <f t="shared" si="17"/>
        <v>1</v>
      </c>
      <c r="N29" s="720"/>
      <c r="O29" s="24">
        <f t="shared" si="18"/>
        <v>1</v>
      </c>
      <c r="P29" s="720" t="s">
        <v>3118</v>
      </c>
      <c r="Q29" s="24">
        <f t="shared" si="19"/>
        <v>1</v>
      </c>
      <c r="R29" s="716">
        <f t="shared" ca="1" si="20"/>
        <v>6391</v>
      </c>
      <c r="S29" s="361">
        <f t="shared" ca="1" si="11"/>
        <v>111</v>
      </c>
    </row>
    <row r="30" spans="1:45">
      <c r="A30" s="159" t="s">
        <v>3066</v>
      </c>
      <c r="B30" s="59">
        <v>158.53</v>
      </c>
      <c r="C30" s="24">
        <f t="shared" si="12"/>
        <v>1.01</v>
      </c>
      <c r="D30" s="720" t="s">
        <v>3112</v>
      </c>
      <c r="E30" s="24">
        <f t="shared" si="13"/>
        <v>1</v>
      </c>
      <c r="F30" s="720" t="s">
        <v>3114</v>
      </c>
      <c r="G30" s="24">
        <f t="shared" si="14"/>
        <v>1</v>
      </c>
      <c r="H30" s="720" t="s">
        <v>3116</v>
      </c>
      <c r="I30" s="24">
        <f t="shared" si="15"/>
        <v>1</v>
      </c>
      <c r="J30" s="720"/>
      <c r="K30" s="24">
        <f t="shared" si="16"/>
        <v>1</v>
      </c>
      <c r="L30" s="720"/>
      <c r="M30" s="24">
        <f t="shared" si="17"/>
        <v>1</v>
      </c>
      <c r="N30" s="720"/>
      <c r="O30" s="24">
        <f t="shared" si="18"/>
        <v>1</v>
      </c>
      <c r="P30" s="720" t="s">
        <v>3118</v>
      </c>
      <c r="Q30" s="24">
        <f t="shared" si="19"/>
        <v>1</v>
      </c>
      <c r="R30" s="716">
        <f t="shared" ca="1" si="20"/>
        <v>6391</v>
      </c>
      <c r="S30" s="361">
        <f t="shared" ca="1" si="11"/>
        <v>101</v>
      </c>
    </row>
    <row r="31" spans="1:45">
      <c r="A31" s="159" t="s">
        <v>3067</v>
      </c>
      <c r="B31" s="59">
        <v>319.99</v>
      </c>
      <c r="C31" s="24">
        <f t="shared" si="12"/>
        <v>1</v>
      </c>
      <c r="D31" s="720" t="s">
        <v>3112</v>
      </c>
      <c r="E31" s="24">
        <f t="shared" si="13"/>
        <v>1</v>
      </c>
      <c r="F31" s="720" t="s">
        <v>3114</v>
      </c>
      <c r="G31" s="24">
        <f t="shared" si="14"/>
        <v>1</v>
      </c>
      <c r="H31" s="720" t="s">
        <v>3116</v>
      </c>
      <c r="I31" s="24">
        <f t="shared" si="15"/>
        <v>1</v>
      </c>
      <c r="J31" s="720"/>
      <c r="K31" s="24">
        <f t="shared" si="16"/>
        <v>1</v>
      </c>
      <c r="L31" s="720"/>
      <c r="M31" s="24">
        <f t="shared" si="17"/>
        <v>1</v>
      </c>
      <c r="N31" s="720"/>
      <c r="O31" s="24">
        <f t="shared" si="18"/>
        <v>1</v>
      </c>
      <c r="P31" s="720" t="s">
        <v>3118</v>
      </c>
      <c r="Q31" s="24">
        <f t="shared" si="19"/>
        <v>1</v>
      </c>
      <c r="R31" s="716">
        <f t="shared" ca="1" si="20"/>
        <v>6328</v>
      </c>
      <c r="S31" s="361">
        <f t="shared" ca="1" si="11"/>
        <v>202</v>
      </c>
    </row>
    <row r="32" spans="1:45">
      <c r="A32" s="159" t="s">
        <v>3068</v>
      </c>
      <c r="B32" s="59">
        <v>153.97</v>
      </c>
      <c r="C32" s="24">
        <f t="shared" si="12"/>
        <v>1.01</v>
      </c>
      <c r="D32" s="720" t="s">
        <v>3112</v>
      </c>
      <c r="E32" s="24">
        <f t="shared" si="13"/>
        <v>1</v>
      </c>
      <c r="F32" s="720" t="s">
        <v>3114</v>
      </c>
      <c r="G32" s="24">
        <f t="shared" si="14"/>
        <v>1</v>
      </c>
      <c r="H32" s="720" t="s">
        <v>3116</v>
      </c>
      <c r="I32" s="24">
        <f t="shared" si="15"/>
        <v>1</v>
      </c>
      <c r="J32" s="720"/>
      <c r="K32" s="24">
        <f t="shared" si="16"/>
        <v>1</v>
      </c>
      <c r="L32" s="720"/>
      <c r="M32" s="24">
        <f t="shared" si="17"/>
        <v>1</v>
      </c>
      <c r="N32" s="720"/>
      <c r="O32" s="24">
        <f t="shared" si="18"/>
        <v>1</v>
      </c>
      <c r="P32" s="720" t="s">
        <v>3118</v>
      </c>
      <c r="Q32" s="24">
        <f t="shared" si="19"/>
        <v>1</v>
      </c>
      <c r="R32" s="716">
        <f t="shared" ca="1" si="20"/>
        <v>6391</v>
      </c>
      <c r="S32" s="361">
        <f t="shared" ca="1" si="11"/>
        <v>98</v>
      </c>
    </row>
    <row r="33" spans="1:19">
      <c r="A33" s="159" t="s">
        <v>3069</v>
      </c>
      <c r="B33" s="59">
        <v>153.97</v>
      </c>
      <c r="C33" s="24">
        <f t="shared" si="12"/>
        <v>1.01</v>
      </c>
      <c r="D33" s="720" t="s">
        <v>3112</v>
      </c>
      <c r="E33" s="24">
        <f t="shared" si="13"/>
        <v>1</v>
      </c>
      <c r="F33" s="720" t="s">
        <v>3114</v>
      </c>
      <c r="G33" s="24">
        <f t="shared" si="14"/>
        <v>1</v>
      </c>
      <c r="H33" s="720" t="s">
        <v>3116</v>
      </c>
      <c r="I33" s="24">
        <f t="shared" si="15"/>
        <v>1</v>
      </c>
      <c r="J33" s="720"/>
      <c r="K33" s="24">
        <f t="shared" si="16"/>
        <v>1</v>
      </c>
      <c r="L33" s="720"/>
      <c r="M33" s="24">
        <f t="shared" si="17"/>
        <v>1</v>
      </c>
      <c r="N33" s="720"/>
      <c r="O33" s="24">
        <f t="shared" si="18"/>
        <v>1</v>
      </c>
      <c r="P33" s="720" t="s">
        <v>3118</v>
      </c>
      <c r="Q33" s="24">
        <f t="shared" si="19"/>
        <v>1</v>
      </c>
      <c r="R33" s="716">
        <f t="shared" ca="1" si="20"/>
        <v>6391</v>
      </c>
      <c r="S33" s="361">
        <f t="shared" ca="1" si="11"/>
        <v>98</v>
      </c>
    </row>
    <row r="34" spans="1:19">
      <c r="A34" s="159" t="s">
        <v>3070</v>
      </c>
      <c r="B34" s="59">
        <v>401.93</v>
      </c>
      <c r="C34" s="24">
        <f t="shared" si="12"/>
        <v>0.99</v>
      </c>
      <c r="D34" s="720" t="s">
        <v>3112</v>
      </c>
      <c r="E34" s="24">
        <f t="shared" si="13"/>
        <v>1</v>
      </c>
      <c r="F34" s="720" t="s">
        <v>3114</v>
      </c>
      <c r="G34" s="24">
        <f t="shared" si="14"/>
        <v>1</v>
      </c>
      <c r="H34" s="720" t="s">
        <v>3116</v>
      </c>
      <c r="I34" s="24">
        <f t="shared" si="15"/>
        <v>1</v>
      </c>
      <c r="J34" s="720"/>
      <c r="K34" s="24">
        <f t="shared" si="16"/>
        <v>1</v>
      </c>
      <c r="L34" s="720"/>
      <c r="M34" s="24">
        <f t="shared" si="17"/>
        <v>1</v>
      </c>
      <c r="N34" s="720"/>
      <c r="O34" s="24">
        <f t="shared" si="18"/>
        <v>1</v>
      </c>
      <c r="P34" s="720" t="s">
        <v>3118</v>
      </c>
      <c r="Q34" s="24">
        <f t="shared" si="19"/>
        <v>1</v>
      </c>
      <c r="R34" s="716">
        <f t="shared" ca="1" si="20"/>
        <v>6265</v>
      </c>
      <c r="S34" s="361">
        <f t="shared" ca="1" si="11"/>
        <v>252</v>
      </c>
    </row>
    <row r="35" spans="1:19">
      <c r="A35" s="159" t="s">
        <v>3071</v>
      </c>
      <c r="B35" s="59">
        <v>366.93</v>
      </c>
      <c r="C35" s="24">
        <f t="shared" si="12"/>
        <v>1</v>
      </c>
      <c r="D35" s="720" t="s">
        <v>3112</v>
      </c>
      <c r="E35" s="24">
        <f t="shared" si="13"/>
        <v>1</v>
      </c>
      <c r="F35" s="720" t="s">
        <v>3114</v>
      </c>
      <c r="G35" s="24">
        <f t="shared" si="14"/>
        <v>1</v>
      </c>
      <c r="H35" s="720" t="s">
        <v>3116</v>
      </c>
      <c r="I35" s="24">
        <f t="shared" si="15"/>
        <v>1</v>
      </c>
      <c r="J35" s="720"/>
      <c r="K35" s="24">
        <f t="shared" si="16"/>
        <v>1</v>
      </c>
      <c r="L35" s="720"/>
      <c r="M35" s="24">
        <f t="shared" si="17"/>
        <v>1</v>
      </c>
      <c r="N35" s="720"/>
      <c r="O35" s="24">
        <f t="shared" si="18"/>
        <v>1</v>
      </c>
      <c r="P35" s="720" t="s">
        <v>3118</v>
      </c>
      <c r="Q35" s="24">
        <f t="shared" si="19"/>
        <v>1</v>
      </c>
      <c r="R35" s="716">
        <f t="shared" ca="1" si="20"/>
        <v>6328</v>
      </c>
      <c r="S35" s="361">
        <f t="shared" ca="1" si="11"/>
        <v>232</v>
      </c>
    </row>
    <row r="36" spans="1:19">
      <c r="A36" s="159" t="s">
        <v>3072</v>
      </c>
      <c r="B36" s="59">
        <v>622.17999999999995</v>
      </c>
      <c r="C36" s="24">
        <f t="shared" si="12"/>
        <v>0.98</v>
      </c>
      <c r="D36" s="720" t="s">
        <v>3112</v>
      </c>
      <c r="E36" s="24">
        <f t="shared" si="13"/>
        <v>1</v>
      </c>
      <c r="F36" s="720" t="s">
        <v>3114</v>
      </c>
      <c r="G36" s="24">
        <f t="shared" si="14"/>
        <v>1</v>
      </c>
      <c r="H36" s="720" t="s">
        <v>3116</v>
      </c>
      <c r="I36" s="24">
        <f t="shared" si="15"/>
        <v>1</v>
      </c>
      <c r="J36" s="720"/>
      <c r="K36" s="24">
        <f t="shared" si="16"/>
        <v>1</v>
      </c>
      <c r="L36" s="720"/>
      <c r="M36" s="24">
        <f t="shared" si="17"/>
        <v>1</v>
      </c>
      <c r="N36" s="720"/>
      <c r="O36" s="24">
        <f t="shared" si="18"/>
        <v>1</v>
      </c>
      <c r="P36" s="720" t="s">
        <v>3118</v>
      </c>
      <c r="Q36" s="24">
        <f t="shared" si="19"/>
        <v>1</v>
      </c>
      <c r="R36" s="716">
        <f t="shared" ca="1" si="20"/>
        <v>6201</v>
      </c>
      <c r="S36" s="361">
        <f t="shared" ca="1" si="11"/>
        <v>386</v>
      </c>
    </row>
    <row r="37" spans="1:19">
      <c r="A37" s="159" t="s">
        <v>3073</v>
      </c>
      <c r="B37" s="59">
        <v>161.94</v>
      </c>
      <c r="C37" s="24">
        <f t="shared" si="12"/>
        <v>1.01</v>
      </c>
      <c r="D37" s="720" t="s">
        <v>3112</v>
      </c>
      <c r="E37" s="24">
        <f t="shared" si="13"/>
        <v>1</v>
      </c>
      <c r="F37" s="720" t="s">
        <v>3114</v>
      </c>
      <c r="G37" s="24">
        <f t="shared" si="14"/>
        <v>1</v>
      </c>
      <c r="H37" s="720" t="s">
        <v>3116</v>
      </c>
      <c r="I37" s="24">
        <f t="shared" si="15"/>
        <v>1</v>
      </c>
      <c r="J37" s="720"/>
      <c r="K37" s="24">
        <f t="shared" si="16"/>
        <v>1</v>
      </c>
      <c r="L37" s="720"/>
      <c r="M37" s="24">
        <f t="shared" si="17"/>
        <v>1</v>
      </c>
      <c r="N37" s="720"/>
      <c r="O37" s="24">
        <f t="shared" si="18"/>
        <v>1</v>
      </c>
      <c r="P37" s="720" t="s">
        <v>3118</v>
      </c>
      <c r="Q37" s="24">
        <f t="shared" si="19"/>
        <v>1</v>
      </c>
      <c r="R37" s="716">
        <f t="shared" ca="1" si="20"/>
        <v>6391</v>
      </c>
      <c r="S37" s="361">
        <f t="shared" ca="1" si="11"/>
        <v>103</v>
      </c>
    </row>
    <row r="38" spans="1:19">
      <c r="A38" s="159" t="s">
        <v>3074</v>
      </c>
      <c r="B38" s="59">
        <v>281.02</v>
      </c>
      <c r="C38" s="24">
        <f t="shared" si="12"/>
        <v>1</v>
      </c>
      <c r="D38" s="720" t="s">
        <v>3112</v>
      </c>
      <c r="E38" s="24">
        <f t="shared" si="13"/>
        <v>1</v>
      </c>
      <c r="F38" s="720" t="s">
        <v>3114</v>
      </c>
      <c r="G38" s="24">
        <f t="shared" si="14"/>
        <v>1</v>
      </c>
      <c r="H38" s="720" t="s">
        <v>3116</v>
      </c>
      <c r="I38" s="24">
        <f t="shared" si="15"/>
        <v>1</v>
      </c>
      <c r="J38" s="720"/>
      <c r="K38" s="24">
        <f t="shared" si="16"/>
        <v>1</v>
      </c>
      <c r="L38" s="720"/>
      <c r="M38" s="24">
        <f t="shared" si="17"/>
        <v>1</v>
      </c>
      <c r="N38" s="720"/>
      <c r="O38" s="24">
        <f t="shared" si="18"/>
        <v>1</v>
      </c>
      <c r="P38" s="720" t="s">
        <v>3118</v>
      </c>
      <c r="Q38" s="24">
        <f t="shared" si="19"/>
        <v>1</v>
      </c>
      <c r="R38" s="716">
        <f t="shared" ca="1" si="20"/>
        <v>6328</v>
      </c>
      <c r="S38" s="361">
        <f t="shared" ca="1" si="11"/>
        <v>178</v>
      </c>
    </row>
    <row r="39" spans="1:19">
      <c r="A39" s="159" t="s">
        <v>3075</v>
      </c>
      <c r="B39" s="59">
        <v>442.38</v>
      </c>
      <c r="C39" s="24">
        <f t="shared" si="12"/>
        <v>0.99</v>
      </c>
      <c r="D39" s="720" t="s">
        <v>3112</v>
      </c>
      <c r="E39" s="24">
        <f t="shared" si="13"/>
        <v>1</v>
      </c>
      <c r="F39" s="720" t="s">
        <v>3114</v>
      </c>
      <c r="G39" s="24">
        <f t="shared" si="14"/>
        <v>1</v>
      </c>
      <c r="H39" s="720" t="s">
        <v>3116</v>
      </c>
      <c r="I39" s="24">
        <f t="shared" si="15"/>
        <v>1</v>
      </c>
      <c r="J39" s="720"/>
      <c r="K39" s="24">
        <f t="shared" si="16"/>
        <v>1</v>
      </c>
      <c r="L39" s="720"/>
      <c r="M39" s="24">
        <f t="shared" si="17"/>
        <v>1</v>
      </c>
      <c r="N39" s="720"/>
      <c r="O39" s="24">
        <f t="shared" si="18"/>
        <v>1</v>
      </c>
      <c r="P39" s="720" t="s">
        <v>3118</v>
      </c>
      <c r="Q39" s="24">
        <f t="shared" si="19"/>
        <v>1</v>
      </c>
      <c r="R39" s="716">
        <f t="shared" ca="1" si="20"/>
        <v>6265</v>
      </c>
      <c r="S39" s="361">
        <f t="shared" ca="1" si="11"/>
        <v>277</v>
      </c>
    </row>
    <row r="40" spans="1:19">
      <c r="A40" s="159" t="s">
        <v>3076</v>
      </c>
      <c r="B40" s="59">
        <v>385.33</v>
      </c>
      <c r="C40" s="24">
        <f t="shared" si="12"/>
        <v>1</v>
      </c>
      <c r="D40" s="720" t="s">
        <v>3112</v>
      </c>
      <c r="E40" s="24">
        <f t="shared" si="13"/>
        <v>1</v>
      </c>
      <c r="F40" s="720" t="s">
        <v>3114</v>
      </c>
      <c r="G40" s="24">
        <f t="shared" si="14"/>
        <v>1</v>
      </c>
      <c r="H40" s="720" t="s">
        <v>3116</v>
      </c>
      <c r="I40" s="24">
        <f t="shared" si="15"/>
        <v>1</v>
      </c>
      <c r="J40" s="720"/>
      <c r="K40" s="24">
        <f t="shared" si="16"/>
        <v>1</v>
      </c>
      <c r="L40" s="720"/>
      <c r="M40" s="24">
        <f t="shared" si="17"/>
        <v>1</v>
      </c>
      <c r="N40" s="720"/>
      <c r="O40" s="24">
        <f t="shared" si="18"/>
        <v>1</v>
      </c>
      <c r="P40" s="720" t="s">
        <v>3118</v>
      </c>
      <c r="Q40" s="24">
        <f t="shared" si="19"/>
        <v>1</v>
      </c>
      <c r="R40" s="716">
        <f t="shared" ca="1" si="20"/>
        <v>6328</v>
      </c>
      <c r="S40" s="361">
        <f t="shared" ca="1" si="11"/>
        <v>244</v>
      </c>
    </row>
    <row r="41" spans="1:19">
      <c r="A41" s="159" t="s">
        <v>3077</v>
      </c>
      <c r="B41" s="59">
        <v>432.32</v>
      </c>
      <c r="C41" s="24">
        <f t="shared" si="12"/>
        <v>0.99</v>
      </c>
      <c r="D41" s="720" t="s">
        <v>3112</v>
      </c>
      <c r="E41" s="24">
        <f t="shared" si="13"/>
        <v>1</v>
      </c>
      <c r="F41" s="720" t="s">
        <v>3114</v>
      </c>
      <c r="G41" s="24">
        <f t="shared" si="14"/>
        <v>1</v>
      </c>
      <c r="H41" s="720" t="s">
        <v>3116</v>
      </c>
      <c r="I41" s="24">
        <f t="shared" si="15"/>
        <v>1</v>
      </c>
      <c r="J41" s="720"/>
      <c r="K41" s="24">
        <f t="shared" si="16"/>
        <v>1</v>
      </c>
      <c r="L41" s="720"/>
      <c r="M41" s="24">
        <f t="shared" si="17"/>
        <v>1</v>
      </c>
      <c r="N41" s="720"/>
      <c r="O41" s="24">
        <f t="shared" si="18"/>
        <v>1</v>
      </c>
      <c r="P41" s="720" t="s">
        <v>3118</v>
      </c>
      <c r="Q41" s="24">
        <f t="shared" si="19"/>
        <v>1</v>
      </c>
      <c r="R41" s="716">
        <f t="shared" ca="1" si="20"/>
        <v>6265</v>
      </c>
      <c r="S41" s="361">
        <f t="shared" ca="1" si="11"/>
        <v>271</v>
      </c>
    </row>
    <row r="42" spans="1:19">
      <c r="A42" s="159" t="s">
        <v>3078</v>
      </c>
      <c r="B42" s="59">
        <v>394.24</v>
      </c>
      <c r="C42" s="24">
        <f t="shared" si="12"/>
        <v>1</v>
      </c>
      <c r="D42" s="720" t="s">
        <v>3112</v>
      </c>
      <c r="E42" s="24">
        <f t="shared" si="13"/>
        <v>1</v>
      </c>
      <c r="F42" s="720" t="s">
        <v>3114</v>
      </c>
      <c r="G42" s="24">
        <f t="shared" si="14"/>
        <v>1</v>
      </c>
      <c r="H42" s="720" t="s">
        <v>3116</v>
      </c>
      <c r="I42" s="24">
        <f t="shared" si="15"/>
        <v>1</v>
      </c>
      <c r="J42" s="720"/>
      <c r="K42" s="24">
        <f t="shared" si="16"/>
        <v>1</v>
      </c>
      <c r="L42" s="720"/>
      <c r="M42" s="24">
        <f t="shared" si="17"/>
        <v>1</v>
      </c>
      <c r="N42" s="720"/>
      <c r="O42" s="24">
        <f t="shared" si="18"/>
        <v>1</v>
      </c>
      <c r="P42" s="720" t="s">
        <v>3118</v>
      </c>
      <c r="Q42" s="24">
        <f t="shared" si="19"/>
        <v>1</v>
      </c>
      <c r="R42" s="716">
        <f t="shared" ca="1" si="20"/>
        <v>6328</v>
      </c>
      <c r="S42" s="361">
        <f t="shared" ca="1" si="11"/>
        <v>249</v>
      </c>
    </row>
    <row r="43" spans="1:19">
      <c r="A43" s="159" t="s">
        <v>3079</v>
      </c>
      <c r="B43" s="59">
        <v>483.15</v>
      </c>
      <c r="C43" s="24">
        <f t="shared" si="12"/>
        <v>0.99</v>
      </c>
      <c r="D43" s="720" t="s">
        <v>3112</v>
      </c>
      <c r="E43" s="24">
        <f t="shared" si="13"/>
        <v>1</v>
      </c>
      <c r="F43" s="720" t="s">
        <v>3114</v>
      </c>
      <c r="G43" s="24">
        <f t="shared" si="14"/>
        <v>1</v>
      </c>
      <c r="H43" s="720" t="s">
        <v>3116</v>
      </c>
      <c r="I43" s="24">
        <f t="shared" si="15"/>
        <v>1</v>
      </c>
      <c r="J43" s="720"/>
      <c r="K43" s="24">
        <f t="shared" si="16"/>
        <v>1</v>
      </c>
      <c r="L43" s="720"/>
      <c r="M43" s="24">
        <f t="shared" si="17"/>
        <v>1</v>
      </c>
      <c r="N43" s="720"/>
      <c r="O43" s="24">
        <f t="shared" si="18"/>
        <v>1</v>
      </c>
      <c r="P43" s="720" t="s">
        <v>3118</v>
      </c>
      <c r="Q43" s="24">
        <f t="shared" si="19"/>
        <v>1</v>
      </c>
      <c r="R43" s="716">
        <f t="shared" ca="1" si="20"/>
        <v>6265</v>
      </c>
      <c r="S43" s="361">
        <f t="shared" ca="1" si="11"/>
        <v>303</v>
      </c>
    </row>
    <row r="44" spans="1:19">
      <c r="A44" s="159" t="s">
        <v>3080</v>
      </c>
      <c r="B44" s="59">
        <v>94.29</v>
      </c>
      <c r="C44" s="24">
        <f t="shared" si="12"/>
        <v>1.02</v>
      </c>
      <c r="D44" s="720" t="s">
        <v>3112</v>
      </c>
      <c r="E44" s="24">
        <f t="shared" si="13"/>
        <v>1</v>
      </c>
      <c r="F44" s="720" t="s">
        <v>3114</v>
      </c>
      <c r="G44" s="24">
        <f t="shared" si="14"/>
        <v>1</v>
      </c>
      <c r="H44" s="720" t="s">
        <v>3116</v>
      </c>
      <c r="I44" s="24">
        <f t="shared" si="15"/>
        <v>1</v>
      </c>
      <c r="J44" s="720"/>
      <c r="K44" s="24">
        <f t="shared" si="16"/>
        <v>1</v>
      </c>
      <c r="L44" s="720"/>
      <c r="M44" s="24">
        <f t="shared" si="17"/>
        <v>1</v>
      </c>
      <c r="N44" s="720"/>
      <c r="O44" s="24">
        <f t="shared" si="18"/>
        <v>1</v>
      </c>
      <c r="P44" s="720" t="s">
        <v>3118</v>
      </c>
      <c r="Q44" s="24">
        <f t="shared" si="19"/>
        <v>1</v>
      </c>
      <c r="R44" s="716">
        <f t="shared" ca="1" si="20"/>
        <v>6455</v>
      </c>
      <c r="S44" s="361">
        <f t="shared" ca="1" si="11"/>
        <v>61</v>
      </c>
    </row>
    <row r="45" spans="1:19">
      <c r="A45" s="159" t="s">
        <v>3081</v>
      </c>
      <c r="B45" s="59">
        <v>641.16999999999996</v>
      </c>
      <c r="C45" s="24">
        <f t="shared" si="12"/>
        <v>0.98</v>
      </c>
      <c r="D45" s="720" t="s">
        <v>3112</v>
      </c>
      <c r="E45" s="24">
        <f t="shared" si="13"/>
        <v>1</v>
      </c>
      <c r="F45" s="720" t="s">
        <v>3114</v>
      </c>
      <c r="G45" s="24">
        <f t="shared" si="14"/>
        <v>1</v>
      </c>
      <c r="H45" s="720" t="s">
        <v>3116</v>
      </c>
      <c r="I45" s="24">
        <f t="shared" si="15"/>
        <v>1</v>
      </c>
      <c r="J45" s="720"/>
      <c r="K45" s="24">
        <f t="shared" si="16"/>
        <v>1</v>
      </c>
      <c r="L45" s="720"/>
      <c r="M45" s="24">
        <f t="shared" si="17"/>
        <v>1</v>
      </c>
      <c r="N45" s="720"/>
      <c r="O45" s="24">
        <f t="shared" si="18"/>
        <v>1</v>
      </c>
      <c r="P45" s="720" t="s">
        <v>3119</v>
      </c>
      <c r="Q45" s="24">
        <f t="shared" si="19"/>
        <v>0.75</v>
      </c>
      <c r="R45" s="716">
        <f t="shared" ca="1" si="20"/>
        <v>4651</v>
      </c>
      <c r="S45" s="361">
        <f t="shared" ca="1" si="11"/>
        <v>298</v>
      </c>
    </row>
    <row r="46" spans="1:19">
      <c r="A46" s="159" t="s">
        <v>3082</v>
      </c>
      <c r="B46" s="59">
        <v>237.42</v>
      </c>
      <c r="C46" s="24">
        <f t="shared" si="12"/>
        <v>1</v>
      </c>
      <c r="D46" s="720" t="s">
        <v>3112</v>
      </c>
      <c r="E46" s="24">
        <f t="shared" si="13"/>
        <v>1</v>
      </c>
      <c r="F46" s="720" t="s">
        <v>3114</v>
      </c>
      <c r="G46" s="24">
        <f t="shared" si="14"/>
        <v>1</v>
      </c>
      <c r="H46" s="720" t="s">
        <v>3116</v>
      </c>
      <c r="I46" s="24">
        <f t="shared" si="15"/>
        <v>1</v>
      </c>
      <c r="J46" s="720"/>
      <c r="K46" s="24">
        <f t="shared" si="16"/>
        <v>1</v>
      </c>
      <c r="L46" s="720"/>
      <c r="M46" s="24">
        <f t="shared" si="17"/>
        <v>1</v>
      </c>
      <c r="N46" s="720"/>
      <c r="O46" s="24">
        <f t="shared" si="18"/>
        <v>1</v>
      </c>
      <c r="P46" s="720" t="s">
        <v>3119</v>
      </c>
      <c r="Q46" s="24">
        <f t="shared" si="19"/>
        <v>0.75</v>
      </c>
      <c r="R46" s="716">
        <f t="shared" ca="1" si="20"/>
        <v>4746</v>
      </c>
      <c r="S46" s="361">
        <f t="shared" ca="1" si="11"/>
        <v>113</v>
      </c>
    </row>
    <row r="47" spans="1:19">
      <c r="A47" s="159" t="s">
        <v>3083</v>
      </c>
      <c r="B47" s="59">
        <v>474.42</v>
      </c>
      <c r="C47" s="24">
        <f t="shared" si="12"/>
        <v>0.99</v>
      </c>
      <c r="D47" s="720" t="s">
        <v>3112</v>
      </c>
      <c r="E47" s="24">
        <f t="shared" si="13"/>
        <v>1</v>
      </c>
      <c r="F47" s="720" t="s">
        <v>3114</v>
      </c>
      <c r="G47" s="24">
        <f t="shared" si="14"/>
        <v>1</v>
      </c>
      <c r="H47" s="720" t="s">
        <v>3116</v>
      </c>
      <c r="I47" s="24">
        <f t="shared" si="15"/>
        <v>1</v>
      </c>
      <c r="J47" s="720"/>
      <c r="K47" s="24">
        <f t="shared" si="16"/>
        <v>1</v>
      </c>
      <c r="L47" s="720"/>
      <c r="M47" s="24">
        <f t="shared" si="17"/>
        <v>1</v>
      </c>
      <c r="N47" s="720"/>
      <c r="O47" s="24">
        <f t="shared" si="18"/>
        <v>1</v>
      </c>
      <c r="P47" s="720" t="s">
        <v>3119</v>
      </c>
      <c r="Q47" s="24">
        <f t="shared" si="19"/>
        <v>0.75</v>
      </c>
      <c r="R47" s="716">
        <f t="shared" ca="1" si="20"/>
        <v>4699</v>
      </c>
      <c r="S47" s="361">
        <f t="shared" ca="1" si="11"/>
        <v>223</v>
      </c>
    </row>
    <row r="48" spans="1:19">
      <c r="A48" s="159" t="s">
        <v>3084</v>
      </c>
      <c r="B48" s="59">
        <v>407.01</v>
      </c>
      <c r="C48" s="24">
        <f t="shared" si="12"/>
        <v>0.99</v>
      </c>
      <c r="D48" s="720" t="s">
        <v>3112</v>
      </c>
      <c r="E48" s="24">
        <f t="shared" si="13"/>
        <v>1</v>
      </c>
      <c r="F48" s="720" t="s">
        <v>3114</v>
      </c>
      <c r="G48" s="24">
        <f t="shared" si="14"/>
        <v>1</v>
      </c>
      <c r="H48" s="720" t="s">
        <v>3116</v>
      </c>
      <c r="I48" s="24">
        <f t="shared" si="15"/>
        <v>1</v>
      </c>
      <c r="J48" s="720"/>
      <c r="K48" s="24">
        <f t="shared" si="16"/>
        <v>1</v>
      </c>
      <c r="L48" s="720"/>
      <c r="M48" s="24">
        <f t="shared" si="17"/>
        <v>1</v>
      </c>
      <c r="N48" s="720"/>
      <c r="O48" s="24">
        <f t="shared" si="18"/>
        <v>1</v>
      </c>
      <c r="P48" s="720" t="s">
        <v>3119</v>
      </c>
      <c r="Q48" s="24">
        <f t="shared" si="19"/>
        <v>0.75</v>
      </c>
      <c r="R48" s="716">
        <f t="shared" ca="1" si="20"/>
        <v>4699</v>
      </c>
      <c r="S48" s="361">
        <f t="shared" ca="1" si="11"/>
        <v>191</v>
      </c>
    </row>
    <row r="49" spans="1:19">
      <c r="A49" s="159" t="s">
        <v>3085</v>
      </c>
      <c r="B49" s="59">
        <v>262.60000000000002</v>
      </c>
      <c r="C49" s="24">
        <f t="shared" si="12"/>
        <v>1</v>
      </c>
      <c r="D49" s="720" t="s">
        <v>3112</v>
      </c>
      <c r="E49" s="24">
        <f t="shared" si="13"/>
        <v>1</v>
      </c>
      <c r="F49" s="720" t="s">
        <v>3114</v>
      </c>
      <c r="G49" s="24">
        <f t="shared" si="14"/>
        <v>1</v>
      </c>
      <c r="H49" s="720" t="s">
        <v>3116</v>
      </c>
      <c r="I49" s="24">
        <f t="shared" si="15"/>
        <v>1</v>
      </c>
      <c r="J49" s="720"/>
      <c r="K49" s="24">
        <f t="shared" si="16"/>
        <v>1</v>
      </c>
      <c r="L49" s="720"/>
      <c r="M49" s="24">
        <f t="shared" si="17"/>
        <v>1</v>
      </c>
      <c r="N49" s="720"/>
      <c r="O49" s="24">
        <f t="shared" si="18"/>
        <v>1</v>
      </c>
      <c r="P49" s="720" t="s">
        <v>3119</v>
      </c>
      <c r="Q49" s="24">
        <f t="shared" si="19"/>
        <v>0.75</v>
      </c>
      <c r="R49" s="716">
        <f t="shared" ca="1" si="20"/>
        <v>4746</v>
      </c>
      <c r="S49" s="361">
        <f t="shared" ca="1" si="11"/>
        <v>125</v>
      </c>
    </row>
    <row r="50" spans="1:19">
      <c r="A50" s="159" t="s">
        <v>3086</v>
      </c>
      <c r="B50" s="59">
        <v>337.69</v>
      </c>
      <c r="C50" s="24">
        <f t="shared" si="12"/>
        <v>1</v>
      </c>
      <c r="D50" s="720" t="s">
        <v>3112</v>
      </c>
      <c r="E50" s="24">
        <f t="shared" si="13"/>
        <v>1</v>
      </c>
      <c r="F50" s="720" t="s">
        <v>3114</v>
      </c>
      <c r="G50" s="24">
        <f t="shared" si="14"/>
        <v>1</v>
      </c>
      <c r="H50" s="720" t="s">
        <v>3116</v>
      </c>
      <c r="I50" s="24">
        <f t="shared" si="15"/>
        <v>1</v>
      </c>
      <c r="J50" s="720"/>
      <c r="K50" s="24">
        <f t="shared" si="16"/>
        <v>1</v>
      </c>
      <c r="L50" s="720"/>
      <c r="M50" s="24">
        <f t="shared" si="17"/>
        <v>1</v>
      </c>
      <c r="N50" s="720"/>
      <c r="O50" s="24">
        <f t="shared" si="18"/>
        <v>1</v>
      </c>
      <c r="P50" s="720" t="s">
        <v>3119</v>
      </c>
      <c r="Q50" s="24">
        <f t="shared" si="19"/>
        <v>0.75</v>
      </c>
      <c r="R50" s="716">
        <f t="shared" ca="1" si="20"/>
        <v>4746</v>
      </c>
      <c r="S50" s="361">
        <f t="shared" ca="1" si="11"/>
        <v>160</v>
      </c>
    </row>
    <row r="51" spans="1:19">
      <c r="A51" s="159" t="s">
        <v>3087</v>
      </c>
      <c r="B51" s="59">
        <v>223.24</v>
      </c>
      <c r="C51" s="24">
        <f t="shared" si="12"/>
        <v>1</v>
      </c>
      <c r="D51" s="720" t="s">
        <v>3112</v>
      </c>
      <c r="E51" s="24">
        <f t="shared" si="13"/>
        <v>1</v>
      </c>
      <c r="F51" s="720" t="s">
        <v>3114</v>
      </c>
      <c r="G51" s="24">
        <f t="shared" si="14"/>
        <v>1</v>
      </c>
      <c r="H51" s="720" t="s">
        <v>3116</v>
      </c>
      <c r="I51" s="24">
        <f t="shared" si="15"/>
        <v>1</v>
      </c>
      <c r="J51" s="720"/>
      <c r="K51" s="24">
        <f t="shared" si="16"/>
        <v>1</v>
      </c>
      <c r="L51" s="720"/>
      <c r="M51" s="24">
        <f t="shared" si="17"/>
        <v>1</v>
      </c>
      <c r="N51" s="720"/>
      <c r="O51" s="24">
        <f t="shared" si="18"/>
        <v>1</v>
      </c>
      <c r="P51" s="720" t="s">
        <v>3119</v>
      </c>
      <c r="Q51" s="24">
        <f t="shared" si="19"/>
        <v>0.75</v>
      </c>
      <c r="R51" s="716">
        <f t="shared" ca="1" si="20"/>
        <v>4746</v>
      </c>
      <c r="S51" s="361">
        <f t="shared" ca="1" si="11"/>
        <v>106</v>
      </c>
    </row>
    <row r="52" spans="1:19">
      <c r="A52" s="159" t="s">
        <v>3088</v>
      </c>
      <c r="B52" s="59">
        <v>188.24</v>
      </c>
      <c r="C52" s="24">
        <f t="shared" si="12"/>
        <v>1.01</v>
      </c>
      <c r="D52" s="720" t="s">
        <v>3112</v>
      </c>
      <c r="E52" s="24">
        <f t="shared" si="13"/>
        <v>1</v>
      </c>
      <c r="F52" s="720" t="s">
        <v>3114</v>
      </c>
      <c r="G52" s="24">
        <f t="shared" si="14"/>
        <v>1</v>
      </c>
      <c r="H52" s="720" t="s">
        <v>3116</v>
      </c>
      <c r="I52" s="24">
        <f t="shared" si="15"/>
        <v>1</v>
      </c>
      <c r="J52" s="720"/>
      <c r="K52" s="24">
        <f t="shared" si="16"/>
        <v>1</v>
      </c>
      <c r="L52" s="720"/>
      <c r="M52" s="24">
        <f t="shared" si="17"/>
        <v>1</v>
      </c>
      <c r="N52" s="720"/>
      <c r="O52" s="24">
        <f t="shared" si="18"/>
        <v>1</v>
      </c>
      <c r="P52" s="720" t="s">
        <v>3119</v>
      </c>
      <c r="Q52" s="24">
        <f t="shared" si="19"/>
        <v>0.75</v>
      </c>
      <c r="R52" s="716">
        <f t="shared" ca="1" si="20"/>
        <v>4793</v>
      </c>
      <c r="S52" s="361">
        <f t="shared" ca="1" si="11"/>
        <v>90</v>
      </c>
    </row>
    <row r="53" spans="1:19">
      <c r="A53" s="159" t="s">
        <v>3089</v>
      </c>
      <c r="B53" s="59">
        <v>293.43</v>
      </c>
      <c r="C53" s="24">
        <f t="shared" si="12"/>
        <v>1</v>
      </c>
      <c r="D53" s="720" t="s">
        <v>3112</v>
      </c>
      <c r="E53" s="24">
        <f t="shared" si="13"/>
        <v>1</v>
      </c>
      <c r="F53" s="720" t="s">
        <v>3114</v>
      </c>
      <c r="G53" s="24">
        <f t="shared" si="14"/>
        <v>1</v>
      </c>
      <c r="H53" s="720" t="s">
        <v>3116</v>
      </c>
      <c r="I53" s="24">
        <f t="shared" si="15"/>
        <v>1</v>
      </c>
      <c r="J53" s="720"/>
      <c r="K53" s="24">
        <f t="shared" si="16"/>
        <v>1</v>
      </c>
      <c r="L53" s="720"/>
      <c r="M53" s="24">
        <f t="shared" si="17"/>
        <v>1</v>
      </c>
      <c r="N53" s="720"/>
      <c r="O53" s="24">
        <f t="shared" si="18"/>
        <v>1</v>
      </c>
      <c r="P53" s="720" t="s">
        <v>3119</v>
      </c>
      <c r="Q53" s="24">
        <f t="shared" si="19"/>
        <v>0.75</v>
      </c>
      <c r="R53" s="716">
        <f t="shared" ca="1" si="20"/>
        <v>4746</v>
      </c>
      <c r="S53" s="361">
        <f t="shared" ca="1" si="11"/>
        <v>139</v>
      </c>
    </row>
    <row r="54" spans="1:19">
      <c r="A54" s="159" t="s">
        <v>3090</v>
      </c>
      <c r="B54" s="59">
        <v>146.03</v>
      </c>
      <c r="C54" s="24">
        <f t="shared" si="12"/>
        <v>1.01</v>
      </c>
      <c r="D54" s="720" t="s">
        <v>3112</v>
      </c>
      <c r="E54" s="24">
        <f t="shared" si="13"/>
        <v>1</v>
      </c>
      <c r="F54" s="720" t="s">
        <v>3114</v>
      </c>
      <c r="G54" s="24">
        <f t="shared" si="14"/>
        <v>1</v>
      </c>
      <c r="H54" s="720" t="s">
        <v>3116</v>
      </c>
      <c r="I54" s="24">
        <f t="shared" si="15"/>
        <v>1</v>
      </c>
      <c r="J54" s="720"/>
      <c r="K54" s="24">
        <f t="shared" si="16"/>
        <v>1</v>
      </c>
      <c r="L54" s="720"/>
      <c r="M54" s="24">
        <f t="shared" si="17"/>
        <v>1</v>
      </c>
      <c r="N54" s="720"/>
      <c r="O54" s="24">
        <f t="shared" si="18"/>
        <v>1</v>
      </c>
      <c r="P54" s="720" t="s">
        <v>3119</v>
      </c>
      <c r="Q54" s="24">
        <f t="shared" si="19"/>
        <v>0.75</v>
      </c>
      <c r="R54" s="716">
        <f t="shared" ca="1" si="20"/>
        <v>4793</v>
      </c>
      <c r="S54" s="361">
        <f t="shared" ca="1" si="11"/>
        <v>70</v>
      </c>
    </row>
    <row r="55" spans="1:19">
      <c r="A55" s="159" t="s">
        <v>3091</v>
      </c>
      <c r="B55" s="59">
        <v>146.03</v>
      </c>
      <c r="C55" s="24">
        <f t="shared" si="12"/>
        <v>1.01</v>
      </c>
      <c r="D55" s="720" t="s">
        <v>3112</v>
      </c>
      <c r="E55" s="24">
        <f t="shared" si="13"/>
        <v>1</v>
      </c>
      <c r="F55" s="720" t="s">
        <v>3114</v>
      </c>
      <c r="G55" s="24">
        <f t="shared" si="14"/>
        <v>1</v>
      </c>
      <c r="H55" s="720" t="s">
        <v>3116</v>
      </c>
      <c r="I55" s="24">
        <f t="shared" si="15"/>
        <v>1</v>
      </c>
      <c r="J55" s="720"/>
      <c r="K55" s="24">
        <f t="shared" si="16"/>
        <v>1</v>
      </c>
      <c r="L55" s="720"/>
      <c r="M55" s="24">
        <f t="shared" si="17"/>
        <v>1</v>
      </c>
      <c r="N55" s="720"/>
      <c r="O55" s="24">
        <f t="shared" si="18"/>
        <v>1</v>
      </c>
      <c r="P55" s="720" t="s">
        <v>3119</v>
      </c>
      <c r="Q55" s="24">
        <f t="shared" si="19"/>
        <v>0.75</v>
      </c>
      <c r="R55" s="716">
        <f t="shared" ca="1" si="20"/>
        <v>4793</v>
      </c>
      <c r="S55" s="361">
        <f t="shared" ref="S55:S77" ca="1" si="21">ROUND(R55*B55/10000,0)</f>
        <v>70</v>
      </c>
    </row>
    <row r="56" spans="1:19">
      <c r="A56" s="159" t="s">
        <v>3092</v>
      </c>
      <c r="B56" s="59">
        <v>381.2</v>
      </c>
      <c r="C56" s="24">
        <f t="shared" si="12"/>
        <v>1</v>
      </c>
      <c r="D56" s="720" t="s">
        <v>3112</v>
      </c>
      <c r="E56" s="24">
        <f t="shared" si="13"/>
        <v>1</v>
      </c>
      <c r="F56" s="720" t="s">
        <v>3114</v>
      </c>
      <c r="G56" s="24">
        <f t="shared" si="14"/>
        <v>1</v>
      </c>
      <c r="H56" s="720" t="s">
        <v>3116</v>
      </c>
      <c r="I56" s="24">
        <f t="shared" si="15"/>
        <v>1</v>
      </c>
      <c r="J56" s="720"/>
      <c r="K56" s="24">
        <f t="shared" si="16"/>
        <v>1</v>
      </c>
      <c r="L56" s="720"/>
      <c r="M56" s="24">
        <f t="shared" si="17"/>
        <v>1</v>
      </c>
      <c r="N56" s="720"/>
      <c r="O56" s="24">
        <f t="shared" si="18"/>
        <v>1</v>
      </c>
      <c r="P56" s="720" t="s">
        <v>3119</v>
      </c>
      <c r="Q56" s="24">
        <f t="shared" si="19"/>
        <v>0.75</v>
      </c>
      <c r="R56" s="716">
        <f t="shared" ca="1" si="20"/>
        <v>4746</v>
      </c>
      <c r="S56" s="361">
        <f t="shared" ca="1" si="21"/>
        <v>181</v>
      </c>
    </row>
    <row r="57" spans="1:19">
      <c r="A57" s="159" t="s">
        <v>3093</v>
      </c>
      <c r="B57" s="59">
        <v>357.37</v>
      </c>
      <c r="C57" s="24">
        <f t="shared" si="12"/>
        <v>1</v>
      </c>
      <c r="D57" s="720" t="s">
        <v>3112</v>
      </c>
      <c r="E57" s="24">
        <f t="shared" si="13"/>
        <v>1</v>
      </c>
      <c r="F57" s="720" t="s">
        <v>3114</v>
      </c>
      <c r="G57" s="24">
        <f t="shared" si="14"/>
        <v>1</v>
      </c>
      <c r="H57" s="720" t="s">
        <v>3116</v>
      </c>
      <c r="I57" s="24">
        <f t="shared" si="15"/>
        <v>1</v>
      </c>
      <c r="J57" s="720"/>
      <c r="K57" s="24">
        <f t="shared" si="16"/>
        <v>1</v>
      </c>
      <c r="L57" s="720"/>
      <c r="M57" s="24">
        <f t="shared" si="17"/>
        <v>1</v>
      </c>
      <c r="N57" s="720"/>
      <c r="O57" s="24">
        <f t="shared" si="18"/>
        <v>1</v>
      </c>
      <c r="P57" s="720" t="s">
        <v>3119</v>
      </c>
      <c r="Q57" s="24">
        <f t="shared" si="19"/>
        <v>0.75</v>
      </c>
      <c r="R57" s="716">
        <f t="shared" ca="1" si="20"/>
        <v>4746</v>
      </c>
      <c r="S57" s="361">
        <f t="shared" ca="1" si="21"/>
        <v>170</v>
      </c>
    </row>
    <row r="58" spans="1:19">
      <c r="A58" s="159" t="s">
        <v>3094</v>
      </c>
      <c r="B58" s="59">
        <v>628.79999999999995</v>
      </c>
      <c r="C58" s="24">
        <f t="shared" si="12"/>
        <v>0.98</v>
      </c>
      <c r="D58" s="720" t="s">
        <v>3112</v>
      </c>
      <c r="E58" s="24">
        <f t="shared" si="13"/>
        <v>1</v>
      </c>
      <c r="F58" s="720" t="s">
        <v>3114</v>
      </c>
      <c r="G58" s="24">
        <f t="shared" si="14"/>
        <v>1</v>
      </c>
      <c r="H58" s="720" t="s">
        <v>3116</v>
      </c>
      <c r="I58" s="24">
        <f t="shared" si="15"/>
        <v>1</v>
      </c>
      <c r="J58" s="720"/>
      <c r="K58" s="24">
        <f t="shared" si="16"/>
        <v>1</v>
      </c>
      <c r="L58" s="720"/>
      <c r="M58" s="24">
        <f t="shared" si="17"/>
        <v>1</v>
      </c>
      <c r="N58" s="720"/>
      <c r="O58" s="24">
        <f t="shared" si="18"/>
        <v>1</v>
      </c>
      <c r="P58" s="720" t="s">
        <v>3119</v>
      </c>
      <c r="Q58" s="24">
        <f t="shared" si="19"/>
        <v>0.75</v>
      </c>
      <c r="R58" s="716">
        <f t="shared" ca="1" si="20"/>
        <v>4651</v>
      </c>
      <c r="S58" s="361">
        <f t="shared" ca="1" si="21"/>
        <v>292</v>
      </c>
    </row>
    <row r="59" spans="1:19">
      <c r="A59" s="159" t="s">
        <v>3095</v>
      </c>
      <c r="B59" s="59">
        <v>153.59</v>
      </c>
      <c r="C59" s="24">
        <f t="shared" si="12"/>
        <v>1.01</v>
      </c>
      <c r="D59" s="720" t="s">
        <v>3112</v>
      </c>
      <c r="E59" s="24">
        <f t="shared" si="13"/>
        <v>1</v>
      </c>
      <c r="F59" s="720" t="s">
        <v>3114</v>
      </c>
      <c r="G59" s="24">
        <f t="shared" si="14"/>
        <v>1</v>
      </c>
      <c r="H59" s="720" t="s">
        <v>3116</v>
      </c>
      <c r="I59" s="24">
        <f t="shared" si="15"/>
        <v>1</v>
      </c>
      <c r="J59" s="720"/>
      <c r="K59" s="24">
        <f t="shared" si="16"/>
        <v>1</v>
      </c>
      <c r="L59" s="720"/>
      <c r="M59" s="24">
        <f t="shared" si="17"/>
        <v>1</v>
      </c>
      <c r="N59" s="720"/>
      <c r="O59" s="24">
        <f t="shared" si="18"/>
        <v>1</v>
      </c>
      <c r="P59" s="720" t="s">
        <v>3119</v>
      </c>
      <c r="Q59" s="24">
        <f t="shared" si="19"/>
        <v>0.75</v>
      </c>
      <c r="R59" s="716">
        <f t="shared" ca="1" si="20"/>
        <v>4793</v>
      </c>
      <c r="S59" s="361">
        <f t="shared" ca="1" si="21"/>
        <v>74</v>
      </c>
    </row>
    <row r="60" spans="1:19">
      <c r="A60" s="159" t="s">
        <v>3096</v>
      </c>
      <c r="B60" s="59">
        <v>355.79</v>
      </c>
      <c r="C60" s="24">
        <f t="shared" si="12"/>
        <v>1</v>
      </c>
      <c r="D60" s="720" t="s">
        <v>3112</v>
      </c>
      <c r="E60" s="24">
        <f t="shared" si="13"/>
        <v>1</v>
      </c>
      <c r="F60" s="720" t="s">
        <v>3114</v>
      </c>
      <c r="G60" s="24">
        <f t="shared" si="14"/>
        <v>1</v>
      </c>
      <c r="H60" s="720" t="s">
        <v>3116</v>
      </c>
      <c r="I60" s="24">
        <f t="shared" si="15"/>
        <v>1</v>
      </c>
      <c r="J60" s="720"/>
      <c r="K60" s="24">
        <f t="shared" si="16"/>
        <v>1</v>
      </c>
      <c r="L60" s="720"/>
      <c r="M60" s="24">
        <f t="shared" si="17"/>
        <v>1</v>
      </c>
      <c r="N60" s="720"/>
      <c r="O60" s="24">
        <f t="shared" si="18"/>
        <v>1</v>
      </c>
      <c r="P60" s="720" t="s">
        <v>3119</v>
      </c>
      <c r="Q60" s="24">
        <f t="shared" si="19"/>
        <v>0.75</v>
      </c>
      <c r="R60" s="716">
        <f t="shared" ca="1" si="20"/>
        <v>4746</v>
      </c>
      <c r="S60" s="361">
        <f t="shared" ca="1" si="21"/>
        <v>169</v>
      </c>
    </row>
    <row r="61" spans="1:19">
      <c r="A61" s="159" t="s">
        <v>3097</v>
      </c>
      <c r="B61" s="59">
        <v>419.63</v>
      </c>
      <c r="C61" s="24">
        <f t="shared" si="12"/>
        <v>0.99</v>
      </c>
      <c r="D61" s="720" t="s">
        <v>3112</v>
      </c>
      <c r="E61" s="24">
        <f t="shared" si="13"/>
        <v>1</v>
      </c>
      <c r="F61" s="720" t="s">
        <v>3114</v>
      </c>
      <c r="G61" s="24">
        <f t="shared" si="14"/>
        <v>1</v>
      </c>
      <c r="H61" s="720" t="s">
        <v>3116</v>
      </c>
      <c r="I61" s="24">
        <f t="shared" si="15"/>
        <v>1</v>
      </c>
      <c r="J61" s="720"/>
      <c r="K61" s="24">
        <f t="shared" si="16"/>
        <v>1</v>
      </c>
      <c r="L61" s="720"/>
      <c r="M61" s="24">
        <f t="shared" si="17"/>
        <v>1</v>
      </c>
      <c r="N61" s="720"/>
      <c r="O61" s="24">
        <f t="shared" si="18"/>
        <v>1</v>
      </c>
      <c r="P61" s="720" t="s">
        <v>3119</v>
      </c>
      <c r="Q61" s="24">
        <f t="shared" si="19"/>
        <v>0.75</v>
      </c>
      <c r="R61" s="716">
        <f t="shared" ca="1" si="20"/>
        <v>4699</v>
      </c>
      <c r="S61" s="361">
        <f t="shared" ca="1" si="21"/>
        <v>197</v>
      </c>
    </row>
    <row r="62" spans="1:19">
      <c r="A62" s="159" t="s">
        <v>3098</v>
      </c>
      <c r="B62" s="59">
        <v>372.21</v>
      </c>
      <c r="C62" s="24">
        <f t="shared" si="12"/>
        <v>1</v>
      </c>
      <c r="D62" s="720" t="s">
        <v>3112</v>
      </c>
      <c r="E62" s="24">
        <f t="shared" si="13"/>
        <v>1</v>
      </c>
      <c r="F62" s="720" t="s">
        <v>3114</v>
      </c>
      <c r="G62" s="24">
        <f t="shared" si="14"/>
        <v>1</v>
      </c>
      <c r="H62" s="720" t="s">
        <v>3116</v>
      </c>
      <c r="I62" s="24">
        <f t="shared" si="15"/>
        <v>1</v>
      </c>
      <c r="J62" s="720"/>
      <c r="K62" s="24">
        <f t="shared" si="16"/>
        <v>1</v>
      </c>
      <c r="L62" s="720"/>
      <c r="M62" s="24">
        <f t="shared" si="17"/>
        <v>1</v>
      </c>
      <c r="N62" s="720"/>
      <c r="O62" s="24">
        <f t="shared" si="18"/>
        <v>1</v>
      </c>
      <c r="P62" s="720" t="s">
        <v>3119</v>
      </c>
      <c r="Q62" s="24">
        <f t="shared" si="19"/>
        <v>0.75</v>
      </c>
      <c r="R62" s="716">
        <f t="shared" ca="1" si="20"/>
        <v>4746</v>
      </c>
      <c r="S62" s="361">
        <f t="shared" ca="1" si="21"/>
        <v>177</v>
      </c>
    </row>
    <row r="63" spans="1:19">
      <c r="A63" s="159" t="s">
        <v>3099</v>
      </c>
      <c r="B63" s="59">
        <v>409.93</v>
      </c>
      <c r="C63" s="24">
        <f t="shared" si="12"/>
        <v>0.99</v>
      </c>
      <c r="D63" s="720" t="s">
        <v>3112</v>
      </c>
      <c r="E63" s="24">
        <f t="shared" si="13"/>
        <v>1</v>
      </c>
      <c r="F63" s="720" t="s">
        <v>3114</v>
      </c>
      <c r="G63" s="24">
        <f t="shared" si="14"/>
        <v>1</v>
      </c>
      <c r="H63" s="720" t="s">
        <v>3116</v>
      </c>
      <c r="I63" s="24">
        <f t="shared" si="15"/>
        <v>1</v>
      </c>
      <c r="J63" s="720"/>
      <c r="K63" s="24">
        <f t="shared" si="16"/>
        <v>1</v>
      </c>
      <c r="L63" s="720"/>
      <c r="M63" s="24">
        <f t="shared" si="17"/>
        <v>1</v>
      </c>
      <c r="N63" s="720"/>
      <c r="O63" s="24">
        <f t="shared" si="18"/>
        <v>1</v>
      </c>
      <c r="P63" s="720" t="s">
        <v>3119</v>
      </c>
      <c r="Q63" s="24">
        <f t="shared" si="19"/>
        <v>0.75</v>
      </c>
      <c r="R63" s="716">
        <f t="shared" ca="1" si="20"/>
        <v>4699</v>
      </c>
      <c r="S63" s="361">
        <f t="shared" ca="1" si="21"/>
        <v>193</v>
      </c>
    </row>
    <row r="64" spans="1:19">
      <c r="A64" s="159" t="s">
        <v>3100</v>
      </c>
      <c r="B64" s="59">
        <v>373.9</v>
      </c>
      <c r="C64" s="24">
        <f t="shared" si="12"/>
        <v>1</v>
      </c>
      <c r="D64" s="720" t="s">
        <v>3112</v>
      </c>
      <c r="E64" s="24">
        <f t="shared" si="13"/>
        <v>1</v>
      </c>
      <c r="F64" s="720" t="s">
        <v>3114</v>
      </c>
      <c r="G64" s="24">
        <f t="shared" si="14"/>
        <v>1</v>
      </c>
      <c r="H64" s="720" t="s">
        <v>3116</v>
      </c>
      <c r="I64" s="24">
        <f t="shared" si="15"/>
        <v>1</v>
      </c>
      <c r="J64" s="720"/>
      <c r="K64" s="24">
        <f t="shared" si="16"/>
        <v>1</v>
      </c>
      <c r="L64" s="720"/>
      <c r="M64" s="24">
        <f t="shared" si="17"/>
        <v>1</v>
      </c>
      <c r="N64" s="720"/>
      <c r="O64" s="24">
        <f t="shared" si="18"/>
        <v>1</v>
      </c>
      <c r="P64" s="720" t="s">
        <v>3119</v>
      </c>
      <c r="Q64" s="24">
        <f t="shared" si="19"/>
        <v>0.75</v>
      </c>
      <c r="R64" s="716">
        <f t="shared" ca="1" si="20"/>
        <v>4746</v>
      </c>
      <c r="S64" s="361">
        <f t="shared" ca="1" si="21"/>
        <v>177</v>
      </c>
    </row>
    <row r="65" spans="1:19">
      <c r="A65" s="159" t="s">
        <v>3101</v>
      </c>
      <c r="B65" s="59">
        <v>569.6</v>
      </c>
      <c r="C65" s="24">
        <f t="shared" si="12"/>
        <v>0.99</v>
      </c>
      <c r="D65" s="720" t="s">
        <v>3112</v>
      </c>
      <c r="E65" s="24">
        <f t="shared" si="13"/>
        <v>1</v>
      </c>
      <c r="F65" s="720" t="s">
        <v>3114</v>
      </c>
      <c r="G65" s="24">
        <f t="shared" si="14"/>
        <v>1</v>
      </c>
      <c r="H65" s="720" t="s">
        <v>3116</v>
      </c>
      <c r="I65" s="24">
        <f t="shared" si="15"/>
        <v>1</v>
      </c>
      <c r="J65" s="720"/>
      <c r="K65" s="24">
        <f t="shared" si="16"/>
        <v>1</v>
      </c>
      <c r="L65" s="720"/>
      <c r="M65" s="24">
        <f t="shared" si="17"/>
        <v>1</v>
      </c>
      <c r="N65" s="720"/>
      <c r="O65" s="24">
        <f t="shared" si="18"/>
        <v>1</v>
      </c>
      <c r="P65" s="720" t="s">
        <v>3119</v>
      </c>
      <c r="Q65" s="24">
        <f t="shared" si="19"/>
        <v>0.75</v>
      </c>
      <c r="R65" s="716">
        <f t="shared" ca="1" si="20"/>
        <v>4699</v>
      </c>
      <c r="S65" s="361">
        <f t="shared" ca="1" si="21"/>
        <v>268</v>
      </c>
    </row>
    <row r="66" spans="1:19">
      <c r="A66" s="159" t="s">
        <v>3102</v>
      </c>
      <c r="B66" s="59">
        <v>1439.25</v>
      </c>
      <c r="C66" s="24">
        <f t="shared" si="12"/>
        <v>0.96</v>
      </c>
      <c r="D66" s="720" t="s">
        <v>3112</v>
      </c>
      <c r="E66" s="24">
        <f t="shared" si="13"/>
        <v>1</v>
      </c>
      <c r="F66" s="720" t="s">
        <v>3114</v>
      </c>
      <c r="G66" s="24">
        <f t="shared" si="14"/>
        <v>1</v>
      </c>
      <c r="H66" s="720" t="s">
        <v>3116</v>
      </c>
      <c r="I66" s="24">
        <f t="shared" si="15"/>
        <v>1</v>
      </c>
      <c r="J66" s="720"/>
      <c r="K66" s="24">
        <f t="shared" si="16"/>
        <v>1</v>
      </c>
      <c r="L66" s="720"/>
      <c r="M66" s="24">
        <f t="shared" si="17"/>
        <v>1</v>
      </c>
      <c r="N66" s="720"/>
      <c r="O66" s="24">
        <f t="shared" si="18"/>
        <v>1</v>
      </c>
      <c r="P66" s="720" t="s">
        <v>3120</v>
      </c>
      <c r="Q66" s="24">
        <f t="shared" si="19"/>
        <v>0.65</v>
      </c>
      <c r="R66" s="716">
        <f t="shared" ca="1" si="20"/>
        <v>3949</v>
      </c>
      <c r="S66" s="361">
        <f t="shared" ca="1" si="21"/>
        <v>568</v>
      </c>
    </row>
    <row r="67" spans="1:19">
      <c r="A67" s="159" t="s">
        <v>3103</v>
      </c>
      <c r="B67" s="59">
        <v>1501</v>
      </c>
      <c r="C67" s="24">
        <f t="shared" si="12"/>
        <v>0.95</v>
      </c>
      <c r="D67" s="720" t="s">
        <v>3112</v>
      </c>
      <c r="E67" s="24">
        <f t="shared" si="13"/>
        <v>1</v>
      </c>
      <c r="F67" s="720" t="s">
        <v>3114</v>
      </c>
      <c r="G67" s="24">
        <f t="shared" si="14"/>
        <v>1</v>
      </c>
      <c r="H67" s="720" t="s">
        <v>3116</v>
      </c>
      <c r="I67" s="24">
        <f t="shared" si="15"/>
        <v>1</v>
      </c>
      <c r="J67" s="720"/>
      <c r="K67" s="24">
        <f t="shared" si="16"/>
        <v>1</v>
      </c>
      <c r="L67" s="720"/>
      <c r="M67" s="24">
        <f t="shared" si="17"/>
        <v>1</v>
      </c>
      <c r="N67" s="720"/>
      <c r="O67" s="24">
        <f t="shared" si="18"/>
        <v>1</v>
      </c>
      <c r="P67" s="720" t="s">
        <v>3120</v>
      </c>
      <c r="Q67" s="24">
        <f t="shared" si="19"/>
        <v>0.65</v>
      </c>
      <c r="R67" s="716">
        <f t="shared" ca="1" si="20"/>
        <v>3908</v>
      </c>
      <c r="S67" s="361">
        <f t="shared" ca="1" si="21"/>
        <v>587</v>
      </c>
    </row>
    <row r="68" spans="1:19">
      <c r="A68" s="159" t="s">
        <v>3104</v>
      </c>
      <c r="B68" s="59">
        <v>1441.56</v>
      </c>
      <c r="C68" s="24">
        <f t="shared" si="12"/>
        <v>0.96</v>
      </c>
      <c r="D68" s="720" t="s">
        <v>3112</v>
      </c>
      <c r="E68" s="24">
        <f t="shared" si="13"/>
        <v>1</v>
      </c>
      <c r="F68" s="720" t="s">
        <v>3114</v>
      </c>
      <c r="G68" s="24">
        <f t="shared" si="14"/>
        <v>1</v>
      </c>
      <c r="H68" s="720" t="s">
        <v>3116</v>
      </c>
      <c r="I68" s="24">
        <f t="shared" si="15"/>
        <v>1</v>
      </c>
      <c r="J68" s="720"/>
      <c r="K68" s="24">
        <f t="shared" si="16"/>
        <v>1</v>
      </c>
      <c r="L68" s="720"/>
      <c r="M68" s="24">
        <f t="shared" si="17"/>
        <v>1</v>
      </c>
      <c r="N68" s="720"/>
      <c r="O68" s="24">
        <f t="shared" si="18"/>
        <v>1</v>
      </c>
      <c r="P68" s="720" t="s">
        <v>3121</v>
      </c>
      <c r="Q68" s="24">
        <f t="shared" si="19"/>
        <v>0.55000000000000004</v>
      </c>
      <c r="R68" s="716">
        <f t="shared" ca="1" si="20"/>
        <v>3341</v>
      </c>
      <c r="S68" s="361">
        <f t="shared" ca="1" si="21"/>
        <v>482</v>
      </c>
    </row>
    <row r="69" spans="1:19">
      <c r="A69" s="159" t="s">
        <v>3105</v>
      </c>
      <c r="B69" s="59">
        <v>1377.12</v>
      </c>
      <c r="C69" s="24">
        <f t="shared" si="12"/>
        <v>0.96</v>
      </c>
      <c r="D69" s="720" t="s">
        <v>3112</v>
      </c>
      <c r="E69" s="24">
        <f t="shared" si="13"/>
        <v>1</v>
      </c>
      <c r="F69" s="720" t="s">
        <v>3114</v>
      </c>
      <c r="G69" s="24">
        <f t="shared" si="14"/>
        <v>1</v>
      </c>
      <c r="H69" s="720" t="s">
        <v>3116</v>
      </c>
      <c r="I69" s="24">
        <f t="shared" si="15"/>
        <v>1</v>
      </c>
      <c r="J69" s="720"/>
      <c r="K69" s="24">
        <f t="shared" si="16"/>
        <v>1</v>
      </c>
      <c r="L69" s="720"/>
      <c r="M69" s="24">
        <f t="shared" si="17"/>
        <v>1</v>
      </c>
      <c r="N69" s="720"/>
      <c r="O69" s="24">
        <f t="shared" si="18"/>
        <v>1</v>
      </c>
      <c r="P69" s="720" t="s">
        <v>3121</v>
      </c>
      <c r="Q69" s="24">
        <f t="shared" si="19"/>
        <v>0.55000000000000004</v>
      </c>
      <c r="R69" s="716">
        <f t="shared" ca="1" si="20"/>
        <v>3341</v>
      </c>
      <c r="S69" s="361">
        <f t="shared" ca="1" si="21"/>
        <v>460</v>
      </c>
    </row>
    <row r="70" spans="1:19">
      <c r="A70" s="159" t="s">
        <v>3106</v>
      </c>
      <c r="B70" s="59">
        <v>1440.56</v>
      </c>
      <c r="C70" s="24">
        <f t="shared" si="12"/>
        <v>0.96</v>
      </c>
      <c r="D70" s="720" t="s">
        <v>3112</v>
      </c>
      <c r="E70" s="24">
        <f t="shared" si="13"/>
        <v>1</v>
      </c>
      <c r="F70" s="720" t="s">
        <v>3114</v>
      </c>
      <c r="G70" s="24">
        <f t="shared" si="14"/>
        <v>1</v>
      </c>
      <c r="H70" s="720" t="s">
        <v>3116</v>
      </c>
      <c r="I70" s="24">
        <f t="shared" si="15"/>
        <v>1</v>
      </c>
      <c r="J70" s="720"/>
      <c r="K70" s="24">
        <f t="shared" si="16"/>
        <v>1</v>
      </c>
      <c r="L70" s="720"/>
      <c r="M70" s="24">
        <f t="shared" si="17"/>
        <v>1</v>
      </c>
      <c r="N70" s="720"/>
      <c r="O70" s="24">
        <f t="shared" si="18"/>
        <v>1</v>
      </c>
      <c r="P70" s="720" t="s">
        <v>3122</v>
      </c>
      <c r="Q70" s="24">
        <f t="shared" si="19"/>
        <v>0.55000000000000004</v>
      </c>
      <c r="R70" s="716">
        <f t="shared" ca="1" si="20"/>
        <v>3341</v>
      </c>
      <c r="S70" s="361">
        <f t="shared" ca="1" si="21"/>
        <v>481</v>
      </c>
    </row>
    <row r="71" spans="1:19">
      <c r="A71" s="159" t="s">
        <v>3107</v>
      </c>
      <c r="B71" s="59">
        <v>1377.12</v>
      </c>
      <c r="C71" s="24">
        <f t="shared" si="12"/>
        <v>0.96</v>
      </c>
      <c r="D71" s="720" t="s">
        <v>3112</v>
      </c>
      <c r="E71" s="24">
        <f t="shared" si="13"/>
        <v>1</v>
      </c>
      <c r="F71" s="720" t="s">
        <v>3114</v>
      </c>
      <c r="G71" s="24">
        <f t="shared" si="14"/>
        <v>1</v>
      </c>
      <c r="H71" s="720" t="s">
        <v>3116</v>
      </c>
      <c r="I71" s="24">
        <f t="shared" si="15"/>
        <v>1</v>
      </c>
      <c r="J71" s="720"/>
      <c r="K71" s="24">
        <f t="shared" si="16"/>
        <v>1</v>
      </c>
      <c r="L71" s="720"/>
      <c r="M71" s="24">
        <f t="shared" si="17"/>
        <v>1</v>
      </c>
      <c r="N71" s="720"/>
      <c r="O71" s="24">
        <f t="shared" si="18"/>
        <v>1</v>
      </c>
      <c r="P71" s="720" t="s">
        <v>3122</v>
      </c>
      <c r="Q71" s="24">
        <f t="shared" si="19"/>
        <v>0.55000000000000004</v>
      </c>
      <c r="R71" s="716">
        <f t="shared" ca="1" si="20"/>
        <v>3341</v>
      </c>
      <c r="S71" s="361">
        <f t="shared" ca="1" si="21"/>
        <v>460</v>
      </c>
    </row>
    <row r="72" spans="1:19">
      <c r="A72" s="159" t="s">
        <v>3108</v>
      </c>
      <c r="B72" s="59">
        <v>8081.16</v>
      </c>
      <c r="C72" s="24">
        <f t="shared" si="12"/>
        <v>0.94</v>
      </c>
      <c r="D72" s="720" t="s">
        <v>3113</v>
      </c>
      <c r="E72" s="24">
        <f t="shared" si="13"/>
        <v>1.06</v>
      </c>
      <c r="F72" s="720" t="s">
        <v>3115</v>
      </c>
      <c r="G72" s="24">
        <f t="shared" si="14"/>
        <v>1.02</v>
      </c>
      <c r="H72" s="720" t="s">
        <v>3117</v>
      </c>
      <c r="I72" s="24">
        <f t="shared" si="15"/>
        <v>1.2</v>
      </c>
      <c r="J72" s="720"/>
      <c r="K72" s="24">
        <f t="shared" si="16"/>
        <v>1</v>
      </c>
      <c r="L72" s="720"/>
      <c r="M72" s="24">
        <f t="shared" si="17"/>
        <v>1</v>
      </c>
      <c r="N72" s="720"/>
      <c r="O72" s="24">
        <f t="shared" si="18"/>
        <v>1</v>
      </c>
      <c r="P72" s="720" t="s">
        <v>3123</v>
      </c>
      <c r="Q72" s="24">
        <f t="shared" si="19"/>
        <v>0.9</v>
      </c>
      <c r="R72" s="716">
        <f t="shared" ca="1" si="20"/>
        <v>6946</v>
      </c>
      <c r="S72" s="361">
        <f t="shared" ca="1" si="21"/>
        <v>5613</v>
      </c>
    </row>
    <row r="73" spans="1:19">
      <c r="A73" s="159"/>
      <c r="B73" s="59"/>
      <c r="C73" s="24">
        <f t="shared" si="12"/>
        <v>1</v>
      </c>
      <c r="D73" s="720"/>
      <c r="E73" s="24">
        <f t="shared" si="13"/>
        <v>0.06</v>
      </c>
      <c r="F73" s="720"/>
      <c r="G73" s="24">
        <f t="shared" si="14"/>
        <v>0.02</v>
      </c>
      <c r="H73" s="720"/>
      <c r="I73" s="24">
        <f t="shared" si="15"/>
        <v>0.2</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0.06</v>
      </c>
      <c r="F74" s="720"/>
      <c r="G74" s="24">
        <f t="shared" si="14"/>
        <v>0.02</v>
      </c>
      <c r="H74" s="720"/>
      <c r="I74" s="24">
        <f t="shared" si="15"/>
        <v>0.2</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0.06</v>
      </c>
      <c r="F75" s="720"/>
      <c r="G75" s="24">
        <f t="shared" si="14"/>
        <v>0.02</v>
      </c>
      <c r="H75" s="720"/>
      <c r="I75" s="24">
        <f t="shared" si="15"/>
        <v>0.2</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0.06</v>
      </c>
      <c r="F76" s="720"/>
      <c r="G76" s="24">
        <f t="shared" si="14"/>
        <v>0.02</v>
      </c>
      <c r="H76" s="720"/>
      <c r="I76" s="24">
        <f t="shared" si="15"/>
        <v>0.2</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0.06</v>
      </c>
      <c r="F77" s="720"/>
      <c r="G77" s="24">
        <f t="shared" si="14"/>
        <v>0.02</v>
      </c>
      <c r="H77" s="720"/>
      <c r="I77" s="24">
        <f t="shared" si="15"/>
        <v>0.2</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0.06</v>
      </c>
      <c r="F78" s="720"/>
      <c r="G78" s="24">
        <f t="shared" si="14"/>
        <v>0.02</v>
      </c>
      <c r="H78" s="720"/>
      <c r="I78" s="24">
        <f t="shared" si="15"/>
        <v>0.2</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0.06</v>
      </c>
      <c r="F79" s="720"/>
      <c r="G79" s="24">
        <f t="shared" si="14"/>
        <v>0.02</v>
      </c>
      <c r="H79" s="720"/>
      <c r="I79" s="24">
        <f t="shared" si="15"/>
        <v>0.2</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0.06</v>
      </c>
      <c r="F80" s="720"/>
      <c r="G80" s="24">
        <f t="shared" si="14"/>
        <v>0.02</v>
      </c>
      <c r="H80" s="720"/>
      <c r="I80" s="24">
        <f t="shared" si="15"/>
        <v>0.2</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0.06</v>
      </c>
      <c r="F81" s="720"/>
      <c r="G81" s="24">
        <f t="shared" si="14"/>
        <v>0.02</v>
      </c>
      <c r="H81" s="720"/>
      <c r="I81" s="24">
        <f t="shared" si="15"/>
        <v>0.2</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0.06</v>
      </c>
      <c r="F82" s="720"/>
      <c r="G82" s="24">
        <f t="shared" si="14"/>
        <v>0.02</v>
      </c>
      <c r="H82" s="720"/>
      <c r="I82" s="24">
        <f t="shared" si="15"/>
        <v>0.2</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0.06</v>
      </c>
      <c r="F83" s="720"/>
      <c r="G83" s="24">
        <f t="shared" si="14"/>
        <v>0.02</v>
      </c>
      <c r="H83" s="720"/>
      <c r="I83" s="24">
        <f t="shared" si="15"/>
        <v>0.2</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0.06</v>
      </c>
      <c r="F84" s="720"/>
      <c r="G84" s="24">
        <f t="shared" si="14"/>
        <v>0.02</v>
      </c>
      <c r="H84" s="720"/>
      <c r="I84" s="24">
        <f t="shared" si="15"/>
        <v>0.2</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0.06</v>
      </c>
      <c r="F85" s="720"/>
      <c r="G85" s="24">
        <f t="shared" si="14"/>
        <v>0.02</v>
      </c>
      <c r="H85" s="720"/>
      <c r="I85" s="24">
        <f t="shared" si="15"/>
        <v>0.2</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0.06</v>
      </c>
      <c r="F86" s="720"/>
      <c r="G86" s="24">
        <f t="shared" si="14"/>
        <v>0.02</v>
      </c>
      <c r="H86" s="720"/>
      <c r="I86" s="24">
        <f t="shared" si="15"/>
        <v>0.2</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0.06</v>
      </c>
      <c r="F87" s="720"/>
      <c r="G87" s="24">
        <f t="shared" si="14"/>
        <v>0.02</v>
      </c>
      <c r="H87" s="720"/>
      <c r="I87" s="24">
        <f t="shared" si="15"/>
        <v>0.2</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0.06</v>
      </c>
      <c r="F88" s="720"/>
      <c r="G88" s="24">
        <f t="shared" si="14"/>
        <v>0.02</v>
      </c>
      <c r="H88" s="720"/>
      <c r="I88" s="24">
        <f t="shared" si="15"/>
        <v>0.2</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0.06</v>
      </c>
      <c r="F89" s="720"/>
      <c r="G89" s="24">
        <f t="shared" si="14"/>
        <v>0.02</v>
      </c>
      <c r="H89" s="720"/>
      <c r="I89" s="24">
        <f t="shared" si="15"/>
        <v>0.2</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0.02</v>
      </c>
      <c r="H90" s="720"/>
      <c r="I90" s="24">
        <f t="shared" ref="I90:I153" si="26">(SUMIF($9:$9,H90,$10:$10)-SUMIF($9:$9,$H$24,$10:$10)+100)/100</f>
        <v>0.2</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0.02</v>
      </c>
      <c r="H91" s="720"/>
      <c r="I91" s="24">
        <f t="shared" si="26"/>
        <v>0.2</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0.06</v>
      </c>
      <c r="F92" s="720"/>
      <c r="G92" s="24">
        <f t="shared" si="25"/>
        <v>0.02</v>
      </c>
      <c r="H92" s="720"/>
      <c r="I92" s="24">
        <f t="shared" si="26"/>
        <v>0.2</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0.06</v>
      </c>
      <c r="F93" s="720"/>
      <c r="G93" s="24">
        <f t="shared" si="25"/>
        <v>0.02</v>
      </c>
      <c r="H93" s="720"/>
      <c r="I93" s="24">
        <f t="shared" si="26"/>
        <v>0.2</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0.06</v>
      </c>
      <c r="F94" s="720"/>
      <c r="G94" s="24">
        <f t="shared" si="25"/>
        <v>0.02</v>
      </c>
      <c r="H94" s="720"/>
      <c r="I94" s="24">
        <f t="shared" si="26"/>
        <v>0.2</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0.06</v>
      </c>
      <c r="F95" s="720"/>
      <c r="G95" s="24">
        <f t="shared" si="25"/>
        <v>0.02</v>
      </c>
      <c r="H95" s="720"/>
      <c r="I95" s="24">
        <f t="shared" si="26"/>
        <v>0.2</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0.06</v>
      </c>
      <c r="F96" s="720"/>
      <c r="G96" s="24">
        <f t="shared" si="25"/>
        <v>0.02</v>
      </c>
      <c r="H96" s="720"/>
      <c r="I96" s="24">
        <f t="shared" si="26"/>
        <v>0.2</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0.06</v>
      </c>
      <c r="F97" s="720"/>
      <c r="G97" s="24">
        <f t="shared" si="25"/>
        <v>0.02</v>
      </c>
      <c r="H97" s="720"/>
      <c r="I97" s="24">
        <f t="shared" si="26"/>
        <v>0.2</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0.06</v>
      </c>
      <c r="F98" s="720"/>
      <c r="G98" s="24">
        <f t="shared" si="25"/>
        <v>0.02</v>
      </c>
      <c r="H98" s="720"/>
      <c r="I98" s="24">
        <f t="shared" si="26"/>
        <v>0.2</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0.06</v>
      </c>
      <c r="F99" s="720"/>
      <c r="G99" s="24">
        <f t="shared" si="25"/>
        <v>0.02</v>
      </c>
      <c r="H99" s="720"/>
      <c r="I99" s="24">
        <f t="shared" si="26"/>
        <v>0.2</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0.06</v>
      </c>
      <c r="F100" s="720"/>
      <c r="G100" s="24">
        <f t="shared" si="25"/>
        <v>0.02</v>
      </c>
      <c r="H100" s="720"/>
      <c r="I100" s="24">
        <f t="shared" si="26"/>
        <v>0.2</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0.06</v>
      </c>
      <c r="F101" s="720"/>
      <c r="G101" s="24">
        <f t="shared" si="25"/>
        <v>0.02</v>
      </c>
      <c r="H101" s="720"/>
      <c r="I101" s="24">
        <f t="shared" si="26"/>
        <v>0.2</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0.06</v>
      </c>
      <c r="F102" s="720"/>
      <c r="G102" s="24">
        <f t="shared" si="25"/>
        <v>0.02</v>
      </c>
      <c r="H102" s="720"/>
      <c r="I102" s="24">
        <f t="shared" si="26"/>
        <v>0.2</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0.06</v>
      </c>
      <c r="F103" s="720"/>
      <c r="G103" s="24">
        <f t="shared" si="25"/>
        <v>0.02</v>
      </c>
      <c r="H103" s="720"/>
      <c r="I103" s="24">
        <f t="shared" si="26"/>
        <v>0.2</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0.06</v>
      </c>
      <c r="F104" s="720"/>
      <c r="G104" s="24">
        <f t="shared" si="25"/>
        <v>0.02</v>
      </c>
      <c r="H104" s="720"/>
      <c r="I104" s="24">
        <f t="shared" si="26"/>
        <v>0.2</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0.06</v>
      </c>
      <c r="F105" s="720"/>
      <c r="G105" s="24">
        <f t="shared" si="25"/>
        <v>0.02</v>
      </c>
      <c r="H105" s="720"/>
      <c r="I105" s="24">
        <f t="shared" si="26"/>
        <v>0.2</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0.06</v>
      </c>
      <c r="F106" s="720"/>
      <c r="G106" s="24">
        <f t="shared" si="25"/>
        <v>0.02</v>
      </c>
      <c r="H106" s="720"/>
      <c r="I106" s="24">
        <f t="shared" si="26"/>
        <v>0.2</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0.06</v>
      </c>
      <c r="F107" s="720"/>
      <c r="G107" s="24">
        <f t="shared" si="25"/>
        <v>0.02</v>
      </c>
      <c r="H107" s="720"/>
      <c r="I107" s="24">
        <f t="shared" si="26"/>
        <v>0.2</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0.06</v>
      </c>
      <c r="F108" s="720"/>
      <c r="G108" s="24">
        <f t="shared" si="25"/>
        <v>0.02</v>
      </c>
      <c r="H108" s="720"/>
      <c r="I108" s="24">
        <f t="shared" si="26"/>
        <v>0.2</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0.06</v>
      </c>
      <c r="F109" s="720"/>
      <c r="G109" s="24">
        <f t="shared" si="25"/>
        <v>0.02</v>
      </c>
      <c r="H109" s="720"/>
      <c r="I109" s="24">
        <f t="shared" si="26"/>
        <v>0.2</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0.06</v>
      </c>
      <c r="F110" s="720"/>
      <c r="G110" s="24">
        <f t="shared" si="25"/>
        <v>0.02</v>
      </c>
      <c r="H110" s="720"/>
      <c r="I110" s="24">
        <f t="shared" si="26"/>
        <v>0.2</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0.06</v>
      </c>
      <c r="F111" s="720"/>
      <c r="G111" s="24">
        <f t="shared" si="25"/>
        <v>0.02</v>
      </c>
      <c r="H111" s="720"/>
      <c r="I111" s="24">
        <f t="shared" si="26"/>
        <v>0.2</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0.06</v>
      </c>
      <c r="F112" s="720"/>
      <c r="G112" s="24">
        <f t="shared" si="25"/>
        <v>0.02</v>
      </c>
      <c r="H112" s="720"/>
      <c r="I112" s="24">
        <f t="shared" si="26"/>
        <v>0.2</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0.06</v>
      </c>
      <c r="F113" s="720"/>
      <c r="G113" s="24">
        <f t="shared" si="25"/>
        <v>0.02</v>
      </c>
      <c r="H113" s="720"/>
      <c r="I113" s="24">
        <f t="shared" si="26"/>
        <v>0.2</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0.06</v>
      </c>
      <c r="F114" s="720"/>
      <c r="G114" s="24">
        <f t="shared" si="25"/>
        <v>0.02</v>
      </c>
      <c r="H114" s="720"/>
      <c r="I114" s="24">
        <f t="shared" si="26"/>
        <v>0.2</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0.06</v>
      </c>
      <c r="F115" s="720"/>
      <c r="G115" s="24">
        <f t="shared" si="25"/>
        <v>0.02</v>
      </c>
      <c r="H115" s="720"/>
      <c r="I115" s="24">
        <f t="shared" si="26"/>
        <v>0.2</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0.06</v>
      </c>
      <c r="F116" s="720"/>
      <c r="G116" s="24">
        <f t="shared" si="25"/>
        <v>0.02</v>
      </c>
      <c r="H116" s="720"/>
      <c r="I116" s="24">
        <f t="shared" si="26"/>
        <v>0.2</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0.06</v>
      </c>
      <c r="F117" s="720"/>
      <c r="G117" s="24">
        <f t="shared" si="25"/>
        <v>0.02</v>
      </c>
      <c r="H117" s="720"/>
      <c r="I117" s="24">
        <f t="shared" si="26"/>
        <v>0.2</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0.06</v>
      </c>
      <c r="F118" s="720"/>
      <c r="G118" s="24">
        <f t="shared" si="25"/>
        <v>0.02</v>
      </c>
      <c r="H118" s="720"/>
      <c r="I118" s="24">
        <f t="shared" si="26"/>
        <v>0.2</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0.06</v>
      </c>
      <c r="F119" s="720"/>
      <c r="G119" s="24">
        <f t="shared" si="25"/>
        <v>0.02</v>
      </c>
      <c r="H119" s="720"/>
      <c r="I119" s="24">
        <f t="shared" si="26"/>
        <v>0.2</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0.06</v>
      </c>
      <c r="F120" s="720"/>
      <c r="G120" s="24">
        <f t="shared" si="25"/>
        <v>0.02</v>
      </c>
      <c r="H120" s="720"/>
      <c r="I120" s="24">
        <f t="shared" si="26"/>
        <v>0.2</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0.06</v>
      </c>
      <c r="F121" s="720"/>
      <c r="G121" s="24">
        <f t="shared" si="25"/>
        <v>0.02</v>
      </c>
      <c r="H121" s="720"/>
      <c r="I121" s="24">
        <f t="shared" si="26"/>
        <v>0.2</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0.06</v>
      </c>
      <c r="F122" s="720"/>
      <c r="G122" s="24">
        <f t="shared" si="25"/>
        <v>0.02</v>
      </c>
      <c r="H122" s="720"/>
      <c r="I122" s="24">
        <f t="shared" si="26"/>
        <v>0.2</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0.06</v>
      </c>
      <c r="F123" s="720"/>
      <c r="G123" s="24">
        <f t="shared" si="25"/>
        <v>0.02</v>
      </c>
      <c r="H123" s="720"/>
      <c r="I123" s="24">
        <f t="shared" si="26"/>
        <v>0.2</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0.06</v>
      </c>
      <c r="F124" s="720"/>
      <c r="G124" s="24">
        <f t="shared" si="25"/>
        <v>0.02</v>
      </c>
      <c r="H124" s="720"/>
      <c r="I124" s="24">
        <f t="shared" si="26"/>
        <v>0.2</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0.06</v>
      </c>
      <c r="F125" s="720"/>
      <c r="G125" s="24">
        <f t="shared" si="25"/>
        <v>0.02</v>
      </c>
      <c r="H125" s="720"/>
      <c r="I125" s="24">
        <f t="shared" si="26"/>
        <v>0.2</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0.06</v>
      </c>
      <c r="F126" s="720"/>
      <c r="G126" s="24">
        <f t="shared" si="25"/>
        <v>0.02</v>
      </c>
      <c r="H126" s="720"/>
      <c r="I126" s="24">
        <f t="shared" si="26"/>
        <v>0.2</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0.06</v>
      </c>
      <c r="F127" s="720"/>
      <c r="G127" s="24">
        <f t="shared" si="25"/>
        <v>0.02</v>
      </c>
      <c r="H127" s="720"/>
      <c r="I127" s="24">
        <f t="shared" si="26"/>
        <v>0.2</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0.06</v>
      </c>
      <c r="F128" s="720"/>
      <c r="G128" s="24">
        <f t="shared" si="25"/>
        <v>0.02</v>
      </c>
      <c r="H128" s="720"/>
      <c r="I128" s="24">
        <f t="shared" si="26"/>
        <v>0.2</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0.06</v>
      </c>
      <c r="F129" s="720"/>
      <c r="G129" s="24">
        <f t="shared" si="25"/>
        <v>0.02</v>
      </c>
      <c r="H129" s="720"/>
      <c r="I129" s="24">
        <f t="shared" si="26"/>
        <v>0.2</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0.06</v>
      </c>
      <c r="F130" s="720"/>
      <c r="G130" s="24">
        <f t="shared" si="25"/>
        <v>0.02</v>
      </c>
      <c r="H130" s="720"/>
      <c r="I130" s="24">
        <f t="shared" si="26"/>
        <v>0.2</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0.06</v>
      </c>
      <c r="F131" s="720"/>
      <c r="G131" s="24">
        <f t="shared" si="25"/>
        <v>0.02</v>
      </c>
      <c r="H131" s="720"/>
      <c r="I131" s="24">
        <f t="shared" si="26"/>
        <v>0.2</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0.06</v>
      </c>
      <c r="F132" s="720"/>
      <c r="G132" s="24">
        <f t="shared" si="25"/>
        <v>0.02</v>
      </c>
      <c r="H132" s="720"/>
      <c r="I132" s="24">
        <f t="shared" si="26"/>
        <v>0.2</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0.06</v>
      </c>
      <c r="F133" s="720"/>
      <c r="G133" s="24">
        <f t="shared" si="25"/>
        <v>0.02</v>
      </c>
      <c r="H133" s="720"/>
      <c r="I133" s="24">
        <f t="shared" si="26"/>
        <v>0.2</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0.06</v>
      </c>
      <c r="F134" s="720"/>
      <c r="G134" s="24">
        <f t="shared" si="25"/>
        <v>0.02</v>
      </c>
      <c r="H134" s="720"/>
      <c r="I134" s="24">
        <f t="shared" si="26"/>
        <v>0.2</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0.06</v>
      </c>
      <c r="F135" s="720"/>
      <c r="G135" s="24">
        <f t="shared" si="25"/>
        <v>0.02</v>
      </c>
      <c r="H135" s="720"/>
      <c r="I135" s="24">
        <f t="shared" si="26"/>
        <v>0.2</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0.06</v>
      </c>
      <c r="F136" s="720"/>
      <c r="G136" s="24">
        <f t="shared" si="25"/>
        <v>0.02</v>
      </c>
      <c r="H136" s="720"/>
      <c r="I136" s="24">
        <f t="shared" si="26"/>
        <v>0.2</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0.06</v>
      </c>
      <c r="F137" s="720"/>
      <c r="G137" s="24">
        <f t="shared" si="25"/>
        <v>0.02</v>
      </c>
      <c r="H137" s="720"/>
      <c r="I137" s="24">
        <f t="shared" si="26"/>
        <v>0.2</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0.06</v>
      </c>
      <c r="F138" s="720"/>
      <c r="G138" s="24">
        <f t="shared" si="25"/>
        <v>0.02</v>
      </c>
      <c r="H138" s="720"/>
      <c r="I138" s="24">
        <f t="shared" si="26"/>
        <v>0.2</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0.06</v>
      </c>
      <c r="F139" s="720"/>
      <c r="G139" s="24">
        <f t="shared" si="25"/>
        <v>0.02</v>
      </c>
      <c r="H139" s="720"/>
      <c r="I139" s="24">
        <f t="shared" si="26"/>
        <v>0.2</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0.06</v>
      </c>
      <c r="F140" s="720"/>
      <c r="G140" s="24">
        <f t="shared" si="25"/>
        <v>0.02</v>
      </c>
      <c r="H140" s="720"/>
      <c r="I140" s="24">
        <f t="shared" si="26"/>
        <v>0.2</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0.06</v>
      </c>
      <c r="F141" s="720"/>
      <c r="G141" s="24">
        <f t="shared" si="25"/>
        <v>0.02</v>
      </c>
      <c r="H141" s="720"/>
      <c r="I141" s="24">
        <f t="shared" si="26"/>
        <v>0.2</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0.06</v>
      </c>
      <c r="F142" s="720"/>
      <c r="G142" s="24">
        <f t="shared" si="25"/>
        <v>0.02</v>
      </c>
      <c r="H142" s="720"/>
      <c r="I142" s="24">
        <f t="shared" si="26"/>
        <v>0.2</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0.06</v>
      </c>
      <c r="F143" s="720"/>
      <c r="G143" s="24">
        <f t="shared" si="25"/>
        <v>0.02</v>
      </c>
      <c r="H143" s="720"/>
      <c r="I143" s="24">
        <f t="shared" si="26"/>
        <v>0.2</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0.06</v>
      </c>
      <c r="F144" s="720"/>
      <c r="G144" s="24">
        <f t="shared" si="25"/>
        <v>0.02</v>
      </c>
      <c r="H144" s="720"/>
      <c r="I144" s="24">
        <f t="shared" si="26"/>
        <v>0.2</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0.06</v>
      </c>
      <c r="F145" s="720"/>
      <c r="G145" s="24">
        <f t="shared" si="25"/>
        <v>0.02</v>
      </c>
      <c r="H145" s="720"/>
      <c r="I145" s="24">
        <f t="shared" si="26"/>
        <v>0.2</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0.06</v>
      </c>
      <c r="F146" s="720"/>
      <c r="G146" s="24">
        <f t="shared" si="25"/>
        <v>0.02</v>
      </c>
      <c r="H146" s="720"/>
      <c r="I146" s="24">
        <f t="shared" si="26"/>
        <v>0.2</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0.06</v>
      </c>
      <c r="F147" s="720"/>
      <c r="G147" s="24">
        <f t="shared" si="25"/>
        <v>0.02</v>
      </c>
      <c r="H147" s="720"/>
      <c r="I147" s="24">
        <f t="shared" si="26"/>
        <v>0.2</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0.06</v>
      </c>
      <c r="F148" s="720"/>
      <c r="G148" s="24">
        <f t="shared" si="25"/>
        <v>0.02</v>
      </c>
      <c r="H148" s="720"/>
      <c r="I148" s="24">
        <f t="shared" si="26"/>
        <v>0.2</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0.06</v>
      </c>
      <c r="F149" s="720"/>
      <c r="G149" s="24">
        <f t="shared" si="25"/>
        <v>0.02</v>
      </c>
      <c r="H149" s="720"/>
      <c r="I149" s="24">
        <f t="shared" si="26"/>
        <v>0.2</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0.06</v>
      </c>
      <c r="F150" s="720"/>
      <c r="G150" s="24">
        <f t="shared" si="25"/>
        <v>0.02</v>
      </c>
      <c r="H150" s="720"/>
      <c r="I150" s="24">
        <f t="shared" si="26"/>
        <v>0.2</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0.06</v>
      </c>
      <c r="F151" s="720"/>
      <c r="G151" s="24">
        <f t="shared" si="25"/>
        <v>0.02</v>
      </c>
      <c r="H151" s="720"/>
      <c r="I151" s="24">
        <f t="shared" si="26"/>
        <v>0.2</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0.06</v>
      </c>
      <c r="F152" s="720"/>
      <c r="G152" s="24">
        <f t="shared" si="25"/>
        <v>0.02</v>
      </c>
      <c r="H152" s="720"/>
      <c r="I152" s="24">
        <f t="shared" si="26"/>
        <v>0.2</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0.06</v>
      </c>
      <c r="F153" s="720"/>
      <c r="G153" s="24">
        <f t="shared" si="25"/>
        <v>0.02</v>
      </c>
      <c r="H153" s="720"/>
      <c r="I153" s="24">
        <f t="shared" si="26"/>
        <v>0.2</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0.02</v>
      </c>
      <c r="H154" s="720"/>
      <c r="I154" s="24">
        <f t="shared" ref="I154:I217" si="36">(SUMIF($9:$9,H154,$10:$10)-SUMIF($9:$9,$H$24,$10:$10)+100)/100</f>
        <v>0.2</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0.02</v>
      </c>
      <c r="H155" s="720"/>
      <c r="I155" s="24">
        <f t="shared" si="36"/>
        <v>0.2</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0.06</v>
      </c>
      <c r="F156" s="720"/>
      <c r="G156" s="24">
        <f t="shared" si="35"/>
        <v>0.02</v>
      </c>
      <c r="H156" s="720"/>
      <c r="I156" s="24">
        <f t="shared" si="36"/>
        <v>0.2</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0.06</v>
      </c>
      <c r="F157" s="720"/>
      <c r="G157" s="24">
        <f t="shared" si="35"/>
        <v>0.02</v>
      </c>
      <c r="H157" s="720"/>
      <c r="I157" s="24">
        <f t="shared" si="36"/>
        <v>0.2</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0.06</v>
      </c>
      <c r="F158" s="720"/>
      <c r="G158" s="24">
        <f t="shared" si="35"/>
        <v>0.02</v>
      </c>
      <c r="H158" s="720"/>
      <c r="I158" s="24">
        <f t="shared" si="36"/>
        <v>0.2</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0.06</v>
      </c>
      <c r="F159" s="720"/>
      <c r="G159" s="24">
        <f t="shared" si="35"/>
        <v>0.02</v>
      </c>
      <c r="H159" s="720"/>
      <c r="I159" s="24">
        <f t="shared" si="36"/>
        <v>0.2</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0.06</v>
      </c>
      <c r="F160" s="720"/>
      <c r="G160" s="24">
        <f t="shared" si="35"/>
        <v>0.02</v>
      </c>
      <c r="H160" s="720"/>
      <c r="I160" s="24">
        <f t="shared" si="36"/>
        <v>0.2</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0.06</v>
      </c>
      <c r="F161" s="720"/>
      <c r="G161" s="24">
        <f t="shared" si="35"/>
        <v>0.02</v>
      </c>
      <c r="H161" s="720"/>
      <c r="I161" s="24">
        <f t="shared" si="36"/>
        <v>0.2</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0.06</v>
      </c>
      <c r="F162" s="720"/>
      <c r="G162" s="24">
        <f t="shared" si="35"/>
        <v>0.02</v>
      </c>
      <c r="H162" s="720"/>
      <c r="I162" s="24">
        <f t="shared" si="36"/>
        <v>0.2</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0.06</v>
      </c>
      <c r="F163" s="720"/>
      <c r="G163" s="24">
        <f t="shared" si="35"/>
        <v>0.02</v>
      </c>
      <c r="H163" s="720"/>
      <c r="I163" s="24">
        <f t="shared" si="36"/>
        <v>0.2</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0.06</v>
      </c>
      <c r="F164" s="720"/>
      <c r="G164" s="24">
        <f t="shared" si="35"/>
        <v>0.02</v>
      </c>
      <c r="H164" s="720"/>
      <c r="I164" s="24">
        <f t="shared" si="36"/>
        <v>0.2</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0.06</v>
      </c>
      <c r="F165" s="720"/>
      <c r="G165" s="24">
        <f t="shared" si="35"/>
        <v>0.02</v>
      </c>
      <c r="H165" s="720"/>
      <c r="I165" s="24">
        <f t="shared" si="36"/>
        <v>0.2</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0.06</v>
      </c>
      <c r="F166" s="720"/>
      <c r="G166" s="24">
        <f t="shared" si="35"/>
        <v>0.02</v>
      </c>
      <c r="H166" s="720"/>
      <c r="I166" s="24">
        <f t="shared" si="36"/>
        <v>0.2</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0.06</v>
      </c>
      <c r="F167" s="720"/>
      <c r="G167" s="24">
        <f t="shared" si="35"/>
        <v>0.02</v>
      </c>
      <c r="H167" s="720"/>
      <c r="I167" s="24">
        <f t="shared" si="36"/>
        <v>0.2</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0.06</v>
      </c>
      <c r="F168" s="720"/>
      <c r="G168" s="24">
        <f t="shared" si="35"/>
        <v>0.02</v>
      </c>
      <c r="H168" s="720"/>
      <c r="I168" s="24">
        <f t="shared" si="36"/>
        <v>0.2</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0.06</v>
      </c>
      <c r="F169" s="720"/>
      <c r="G169" s="24">
        <f t="shared" si="35"/>
        <v>0.02</v>
      </c>
      <c r="H169" s="720"/>
      <c r="I169" s="24">
        <f t="shared" si="36"/>
        <v>0.2</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0.06</v>
      </c>
      <c r="F170" s="720"/>
      <c r="G170" s="24">
        <f t="shared" si="35"/>
        <v>0.02</v>
      </c>
      <c r="H170" s="720"/>
      <c r="I170" s="24">
        <f t="shared" si="36"/>
        <v>0.2</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0.06</v>
      </c>
      <c r="F171" s="720"/>
      <c r="G171" s="24">
        <f t="shared" si="35"/>
        <v>0.02</v>
      </c>
      <c r="H171" s="720"/>
      <c r="I171" s="24">
        <f t="shared" si="36"/>
        <v>0.2</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0.06</v>
      </c>
      <c r="F172" s="720"/>
      <c r="G172" s="24">
        <f t="shared" si="35"/>
        <v>0.02</v>
      </c>
      <c r="H172" s="720"/>
      <c r="I172" s="24">
        <f t="shared" si="36"/>
        <v>0.2</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0.06</v>
      </c>
      <c r="F173" s="720"/>
      <c r="G173" s="24">
        <f t="shared" si="35"/>
        <v>0.02</v>
      </c>
      <c r="H173" s="720"/>
      <c r="I173" s="24">
        <f t="shared" si="36"/>
        <v>0.2</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0.06</v>
      </c>
      <c r="F174" s="720"/>
      <c r="G174" s="24">
        <f t="shared" si="35"/>
        <v>0.02</v>
      </c>
      <c r="H174" s="720"/>
      <c r="I174" s="24">
        <f t="shared" si="36"/>
        <v>0.2</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0.06</v>
      </c>
      <c r="F175" s="720"/>
      <c r="G175" s="24">
        <f t="shared" si="35"/>
        <v>0.02</v>
      </c>
      <c r="H175" s="720"/>
      <c r="I175" s="24">
        <f t="shared" si="36"/>
        <v>0.2</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0.06</v>
      </c>
      <c r="F176" s="720"/>
      <c r="G176" s="24">
        <f t="shared" si="35"/>
        <v>0.02</v>
      </c>
      <c r="H176" s="720"/>
      <c r="I176" s="24">
        <f t="shared" si="36"/>
        <v>0.2</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0.06</v>
      </c>
      <c r="F177" s="720"/>
      <c r="G177" s="24">
        <f t="shared" si="35"/>
        <v>0.02</v>
      </c>
      <c r="H177" s="720"/>
      <c r="I177" s="24">
        <f t="shared" si="36"/>
        <v>0.2</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0.06</v>
      </c>
      <c r="F178" s="720"/>
      <c r="G178" s="24">
        <f t="shared" si="35"/>
        <v>0.02</v>
      </c>
      <c r="H178" s="720"/>
      <c r="I178" s="24">
        <f t="shared" si="36"/>
        <v>0.2</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0.06</v>
      </c>
      <c r="F179" s="720"/>
      <c r="G179" s="24">
        <f t="shared" si="35"/>
        <v>0.02</v>
      </c>
      <c r="H179" s="720"/>
      <c r="I179" s="24">
        <f t="shared" si="36"/>
        <v>0.2</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0.06</v>
      </c>
      <c r="F180" s="720"/>
      <c r="G180" s="24">
        <f t="shared" si="35"/>
        <v>0.02</v>
      </c>
      <c r="H180" s="720"/>
      <c r="I180" s="24">
        <f t="shared" si="36"/>
        <v>0.2</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0.06</v>
      </c>
      <c r="F181" s="720"/>
      <c r="G181" s="24">
        <f t="shared" si="35"/>
        <v>0.02</v>
      </c>
      <c r="H181" s="720"/>
      <c r="I181" s="24">
        <f t="shared" si="36"/>
        <v>0.2</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0.06</v>
      </c>
      <c r="F182" s="720"/>
      <c r="G182" s="24">
        <f t="shared" si="35"/>
        <v>0.02</v>
      </c>
      <c r="H182" s="720"/>
      <c r="I182" s="24">
        <f t="shared" si="36"/>
        <v>0.2</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0.06</v>
      </c>
      <c r="F183" s="720"/>
      <c r="G183" s="24">
        <f t="shared" si="35"/>
        <v>0.02</v>
      </c>
      <c r="H183" s="720"/>
      <c r="I183" s="24">
        <f t="shared" si="36"/>
        <v>0.2</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0.06</v>
      </c>
      <c r="F184" s="720"/>
      <c r="G184" s="24">
        <f t="shared" si="35"/>
        <v>0.02</v>
      </c>
      <c r="H184" s="720"/>
      <c r="I184" s="24">
        <f t="shared" si="36"/>
        <v>0.2</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0.06</v>
      </c>
      <c r="F185" s="720"/>
      <c r="G185" s="24">
        <f t="shared" si="35"/>
        <v>0.02</v>
      </c>
      <c r="H185" s="720"/>
      <c r="I185" s="24">
        <f t="shared" si="36"/>
        <v>0.2</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0.06</v>
      </c>
      <c r="F186" s="720"/>
      <c r="G186" s="24">
        <f t="shared" si="35"/>
        <v>0.02</v>
      </c>
      <c r="H186" s="720"/>
      <c r="I186" s="24">
        <f t="shared" si="36"/>
        <v>0.2</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0.06</v>
      </c>
      <c r="F187" s="720"/>
      <c r="G187" s="24">
        <f t="shared" si="35"/>
        <v>0.02</v>
      </c>
      <c r="H187" s="720"/>
      <c r="I187" s="24">
        <f t="shared" si="36"/>
        <v>0.2</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0.06</v>
      </c>
      <c r="F188" s="720"/>
      <c r="G188" s="24">
        <f t="shared" si="35"/>
        <v>0.02</v>
      </c>
      <c r="H188" s="720"/>
      <c r="I188" s="24">
        <f t="shared" si="36"/>
        <v>0.2</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0.06</v>
      </c>
      <c r="F189" s="720"/>
      <c r="G189" s="24">
        <f t="shared" si="35"/>
        <v>0.02</v>
      </c>
      <c r="H189" s="720"/>
      <c r="I189" s="24">
        <f t="shared" si="36"/>
        <v>0.2</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0.06</v>
      </c>
      <c r="F190" s="720"/>
      <c r="G190" s="24">
        <f t="shared" si="35"/>
        <v>0.02</v>
      </c>
      <c r="H190" s="720"/>
      <c r="I190" s="24">
        <f t="shared" si="36"/>
        <v>0.2</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0.06</v>
      </c>
      <c r="F191" s="720"/>
      <c r="G191" s="24">
        <f t="shared" si="35"/>
        <v>0.02</v>
      </c>
      <c r="H191" s="720"/>
      <c r="I191" s="24">
        <f t="shared" si="36"/>
        <v>0.2</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0.06</v>
      </c>
      <c r="F192" s="720"/>
      <c r="G192" s="24">
        <f t="shared" si="35"/>
        <v>0.02</v>
      </c>
      <c r="H192" s="720"/>
      <c r="I192" s="24">
        <f t="shared" si="36"/>
        <v>0.2</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0.06</v>
      </c>
      <c r="F193" s="720"/>
      <c r="G193" s="24">
        <f t="shared" si="35"/>
        <v>0.02</v>
      </c>
      <c r="H193" s="720"/>
      <c r="I193" s="24">
        <f t="shared" si="36"/>
        <v>0.2</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0.06</v>
      </c>
      <c r="F194" s="720"/>
      <c r="G194" s="24">
        <f t="shared" si="35"/>
        <v>0.02</v>
      </c>
      <c r="H194" s="720"/>
      <c r="I194" s="24">
        <f t="shared" si="36"/>
        <v>0.2</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0.06</v>
      </c>
      <c r="F195" s="720"/>
      <c r="G195" s="24">
        <f t="shared" si="35"/>
        <v>0.02</v>
      </c>
      <c r="H195" s="720"/>
      <c r="I195" s="24">
        <f t="shared" si="36"/>
        <v>0.2</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0.06</v>
      </c>
      <c r="F196" s="720"/>
      <c r="G196" s="24">
        <f t="shared" si="35"/>
        <v>0.02</v>
      </c>
      <c r="H196" s="720"/>
      <c r="I196" s="24">
        <f t="shared" si="36"/>
        <v>0.2</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0.06</v>
      </c>
      <c r="F197" s="720"/>
      <c r="G197" s="24">
        <f t="shared" si="35"/>
        <v>0.02</v>
      </c>
      <c r="H197" s="720"/>
      <c r="I197" s="24">
        <f t="shared" si="36"/>
        <v>0.2</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0.06</v>
      </c>
      <c r="F198" s="720"/>
      <c r="G198" s="24">
        <f t="shared" si="35"/>
        <v>0.02</v>
      </c>
      <c r="H198" s="720"/>
      <c r="I198" s="24">
        <f t="shared" si="36"/>
        <v>0.2</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0.06</v>
      </c>
      <c r="F199" s="720"/>
      <c r="G199" s="24">
        <f t="shared" si="35"/>
        <v>0.02</v>
      </c>
      <c r="H199" s="720"/>
      <c r="I199" s="24">
        <f t="shared" si="36"/>
        <v>0.2</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0.06</v>
      </c>
      <c r="F200" s="720"/>
      <c r="G200" s="24">
        <f t="shared" si="35"/>
        <v>0.02</v>
      </c>
      <c r="H200" s="720"/>
      <c r="I200" s="24">
        <f t="shared" si="36"/>
        <v>0.2</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0.06</v>
      </c>
      <c r="F201" s="720"/>
      <c r="G201" s="24">
        <f t="shared" si="35"/>
        <v>0.02</v>
      </c>
      <c r="H201" s="720"/>
      <c r="I201" s="24">
        <f t="shared" si="36"/>
        <v>0.2</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0.06</v>
      </c>
      <c r="F202" s="720"/>
      <c r="G202" s="24">
        <f t="shared" si="35"/>
        <v>0.02</v>
      </c>
      <c r="H202" s="720"/>
      <c r="I202" s="24">
        <f t="shared" si="36"/>
        <v>0.2</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0.06</v>
      </c>
      <c r="F203" s="720"/>
      <c r="G203" s="24">
        <f t="shared" si="35"/>
        <v>0.02</v>
      </c>
      <c r="H203" s="720"/>
      <c r="I203" s="24">
        <f t="shared" si="36"/>
        <v>0.2</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0.06</v>
      </c>
      <c r="F204" s="720"/>
      <c r="G204" s="24">
        <f t="shared" si="35"/>
        <v>0.02</v>
      </c>
      <c r="H204" s="720"/>
      <c r="I204" s="24">
        <f t="shared" si="36"/>
        <v>0.2</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0.06</v>
      </c>
      <c r="F205" s="720"/>
      <c r="G205" s="24">
        <f t="shared" si="35"/>
        <v>0.02</v>
      </c>
      <c r="H205" s="720"/>
      <c r="I205" s="24">
        <f t="shared" si="36"/>
        <v>0.2</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0.06</v>
      </c>
      <c r="F206" s="720"/>
      <c r="G206" s="24">
        <f t="shared" si="35"/>
        <v>0.02</v>
      </c>
      <c r="H206" s="720"/>
      <c r="I206" s="24">
        <f t="shared" si="36"/>
        <v>0.2</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0.06</v>
      </c>
      <c r="F207" s="720"/>
      <c r="G207" s="24">
        <f t="shared" si="35"/>
        <v>0.02</v>
      </c>
      <c r="H207" s="720"/>
      <c r="I207" s="24">
        <f t="shared" si="36"/>
        <v>0.2</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0.06</v>
      </c>
      <c r="F208" s="720"/>
      <c r="G208" s="24">
        <f t="shared" si="35"/>
        <v>0.02</v>
      </c>
      <c r="H208" s="720"/>
      <c r="I208" s="24">
        <f t="shared" si="36"/>
        <v>0.2</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0.06</v>
      </c>
      <c r="F209" s="720"/>
      <c r="G209" s="24">
        <f t="shared" si="35"/>
        <v>0.02</v>
      </c>
      <c r="H209" s="720"/>
      <c r="I209" s="24">
        <f t="shared" si="36"/>
        <v>0.2</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0.06</v>
      </c>
      <c r="F210" s="720"/>
      <c r="G210" s="24">
        <f t="shared" si="35"/>
        <v>0.02</v>
      </c>
      <c r="H210" s="720"/>
      <c r="I210" s="24">
        <f t="shared" si="36"/>
        <v>0.2</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0.06</v>
      </c>
      <c r="F211" s="720"/>
      <c r="G211" s="24">
        <f t="shared" si="35"/>
        <v>0.02</v>
      </c>
      <c r="H211" s="720"/>
      <c r="I211" s="24">
        <f t="shared" si="36"/>
        <v>0.2</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0.06</v>
      </c>
      <c r="F212" s="720"/>
      <c r="G212" s="24">
        <f t="shared" si="35"/>
        <v>0.02</v>
      </c>
      <c r="H212" s="720"/>
      <c r="I212" s="24">
        <f t="shared" si="36"/>
        <v>0.2</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0.06</v>
      </c>
      <c r="F213" s="720"/>
      <c r="G213" s="24">
        <f t="shared" si="35"/>
        <v>0.02</v>
      </c>
      <c r="H213" s="720"/>
      <c r="I213" s="24">
        <f t="shared" si="36"/>
        <v>0.2</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0.06</v>
      </c>
      <c r="F214" s="720"/>
      <c r="G214" s="24">
        <f t="shared" si="35"/>
        <v>0.02</v>
      </c>
      <c r="H214" s="720"/>
      <c r="I214" s="24">
        <f t="shared" si="36"/>
        <v>0.2</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0.06</v>
      </c>
      <c r="F215" s="720"/>
      <c r="G215" s="24">
        <f t="shared" si="35"/>
        <v>0.02</v>
      </c>
      <c r="H215" s="720"/>
      <c r="I215" s="24">
        <f t="shared" si="36"/>
        <v>0.2</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0.06</v>
      </c>
      <c r="F216" s="720"/>
      <c r="G216" s="24">
        <f t="shared" si="35"/>
        <v>0.02</v>
      </c>
      <c r="H216" s="720"/>
      <c r="I216" s="24">
        <f t="shared" si="36"/>
        <v>0.2</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0.06</v>
      </c>
      <c r="F217" s="720"/>
      <c r="G217" s="24">
        <f t="shared" si="35"/>
        <v>0.02</v>
      </c>
      <c r="H217" s="720"/>
      <c r="I217" s="24">
        <f t="shared" si="36"/>
        <v>0.2</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0.02</v>
      </c>
      <c r="H218" s="720"/>
      <c r="I218" s="24">
        <f t="shared" ref="I218:I281" si="46">(SUMIF($9:$9,H218,$10:$10)-SUMIF($9:$9,$H$24,$10:$10)+100)/100</f>
        <v>0.2</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0.02</v>
      </c>
      <c r="H219" s="720"/>
      <c r="I219" s="24">
        <f t="shared" si="46"/>
        <v>0.2</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0.06</v>
      </c>
      <c r="F220" s="720"/>
      <c r="G220" s="24">
        <f t="shared" si="45"/>
        <v>0.02</v>
      </c>
      <c r="H220" s="720"/>
      <c r="I220" s="24">
        <f t="shared" si="46"/>
        <v>0.2</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0.06</v>
      </c>
      <c r="F221" s="720"/>
      <c r="G221" s="24">
        <f t="shared" si="45"/>
        <v>0.02</v>
      </c>
      <c r="H221" s="720"/>
      <c r="I221" s="24">
        <f t="shared" si="46"/>
        <v>0.2</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0.06</v>
      </c>
      <c r="F222" s="720"/>
      <c r="G222" s="24">
        <f t="shared" si="45"/>
        <v>0.02</v>
      </c>
      <c r="H222" s="720"/>
      <c r="I222" s="24">
        <f t="shared" si="46"/>
        <v>0.2</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0.06</v>
      </c>
      <c r="F223" s="720"/>
      <c r="G223" s="24">
        <f t="shared" si="45"/>
        <v>0.02</v>
      </c>
      <c r="H223" s="720"/>
      <c r="I223" s="24">
        <f t="shared" si="46"/>
        <v>0.2</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0.06</v>
      </c>
      <c r="F224" s="720"/>
      <c r="G224" s="24">
        <f t="shared" si="45"/>
        <v>0.02</v>
      </c>
      <c r="H224" s="720"/>
      <c r="I224" s="24">
        <f t="shared" si="46"/>
        <v>0.2</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0.06</v>
      </c>
      <c r="F225" s="720"/>
      <c r="G225" s="24">
        <f t="shared" si="45"/>
        <v>0.02</v>
      </c>
      <c r="H225" s="720"/>
      <c r="I225" s="24">
        <f t="shared" si="46"/>
        <v>0.2</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0.06</v>
      </c>
      <c r="F226" s="720"/>
      <c r="G226" s="24">
        <f t="shared" si="45"/>
        <v>0.02</v>
      </c>
      <c r="H226" s="720"/>
      <c r="I226" s="24">
        <f t="shared" si="46"/>
        <v>0.2</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0.06</v>
      </c>
      <c r="F227" s="720"/>
      <c r="G227" s="24">
        <f t="shared" si="45"/>
        <v>0.02</v>
      </c>
      <c r="H227" s="720"/>
      <c r="I227" s="24">
        <f t="shared" si="46"/>
        <v>0.2</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0.06</v>
      </c>
      <c r="F228" s="720"/>
      <c r="G228" s="24">
        <f t="shared" si="45"/>
        <v>0.02</v>
      </c>
      <c r="H228" s="720"/>
      <c r="I228" s="24">
        <f t="shared" si="46"/>
        <v>0.2</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0.06</v>
      </c>
      <c r="F229" s="720"/>
      <c r="G229" s="24">
        <f t="shared" si="45"/>
        <v>0.02</v>
      </c>
      <c r="H229" s="720"/>
      <c r="I229" s="24">
        <f t="shared" si="46"/>
        <v>0.2</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0.06</v>
      </c>
      <c r="F230" s="720"/>
      <c r="G230" s="24">
        <f t="shared" si="45"/>
        <v>0.02</v>
      </c>
      <c r="H230" s="720"/>
      <c r="I230" s="24">
        <f t="shared" si="46"/>
        <v>0.2</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0.06</v>
      </c>
      <c r="F231" s="720"/>
      <c r="G231" s="24">
        <f t="shared" si="45"/>
        <v>0.02</v>
      </c>
      <c r="H231" s="720"/>
      <c r="I231" s="24">
        <f t="shared" si="46"/>
        <v>0.2</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0.06</v>
      </c>
      <c r="F232" s="720"/>
      <c r="G232" s="24">
        <f t="shared" si="45"/>
        <v>0.02</v>
      </c>
      <c r="H232" s="720"/>
      <c r="I232" s="24">
        <f t="shared" si="46"/>
        <v>0.2</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0.06</v>
      </c>
      <c r="F233" s="720"/>
      <c r="G233" s="24">
        <f t="shared" si="45"/>
        <v>0.02</v>
      </c>
      <c r="H233" s="720"/>
      <c r="I233" s="24">
        <f t="shared" si="46"/>
        <v>0.2</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0.06</v>
      </c>
      <c r="F234" s="720"/>
      <c r="G234" s="24">
        <f t="shared" si="45"/>
        <v>0.02</v>
      </c>
      <c r="H234" s="720"/>
      <c r="I234" s="24">
        <f t="shared" si="46"/>
        <v>0.2</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0.06</v>
      </c>
      <c r="F235" s="720"/>
      <c r="G235" s="24">
        <f t="shared" si="45"/>
        <v>0.02</v>
      </c>
      <c r="H235" s="720"/>
      <c r="I235" s="24">
        <f t="shared" si="46"/>
        <v>0.2</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0.06</v>
      </c>
      <c r="F236" s="720"/>
      <c r="G236" s="24">
        <f t="shared" si="45"/>
        <v>0.02</v>
      </c>
      <c r="H236" s="720"/>
      <c r="I236" s="24">
        <f t="shared" si="46"/>
        <v>0.2</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0.06</v>
      </c>
      <c r="F237" s="720"/>
      <c r="G237" s="24">
        <f t="shared" si="45"/>
        <v>0.02</v>
      </c>
      <c r="H237" s="720"/>
      <c r="I237" s="24">
        <f t="shared" si="46"/>
        <v>0.2</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0.06</v>
      </c>
      <c r="F238" s="720"/>
      <c r="G238" s="24">
        <f t="shared" si="45"/>
        <v>0.02</v>
      </c>
      <c r="H238" s="720"/>
      <c r="I238" s="24">
        <f t="shared" si="46"/>
        <v>0.2</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0.06</v>
      </c>
      <c r="F239" s="720"/>
      <c r="G239" s="24">
        <f t="shared" si="45"/>
        <v>0.02</v>
      </c>
      <c r="H239" s="720"/>
      <c r="I239" s="24">
        <f t="shared" si="46"/>
        <v>0.2</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0.06</v>
      </c>
      <c r="F240" s="720"/>
      <c r="G240" s="24">
        <f t="shared" si="45"/>
        <v>0.02</v>
      </c>
      <c r="H240" s="720"/>
      <c r="I240" s="24">
        <f t="shared" si="46"/>
        <v>0.2</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0.06</v>
      </c>
      <c r="F241" s="720"/>
      <c r="G241" s="24">
        <f t="shared" si="45"/>
        <v>0.02</v>
      </c>
      <c r="H241" s="720"/>
      <c r="I241" s="24">
        <f t="shared" si="46"/>
        <v>0.2</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0.06</v>
      </c>
      <c r="F242" s="720"/>
      <c r="G242" s="24">
        <f t="shared" si="45"/>
        <v>0.02</v>
      </c>
      <c r="H242" s="720"/>
      <c r="I242" s="24">
        <f t="shared" si="46"/>
        <v>0.2</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0.06</v>
      </c>
      <c r="F243" s="720"/>
      <c r="G243" s="24">
        <f t="shared" si="45"/>
        <v>0.02</v>
      </c>
      <c r="H243" s="720"/>
      <c r="I243" s="24">
        <f t="shared" si="46"/>
        <v>0.2</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0.06</v>
      </c>
      <c r="F244" s="720"/>
      <c r="G244" s="24">
        <f t="shared" si="45"/>
        <v>0.02</v>
      </c>
      <c r="H244" s="720"/>
      <c r="I244" s="24">
        <f t="shared" si="46"/>
        <v>0.2</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0.06</v>
      </c>
      <c r="F245" s="720"/>
      <c r="G245" s="24">
        <f t="shared" si="45"/>
        <v>0.02</v>
      </c>
      <c r="H245" s="720"/>
      <c r="I245" s="24">
        <f t="shared" si="46"/>
        <v>0.2</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0.06</v>
      </c>
      <c r="F246" s="720"/>
      <c r="G246" s="24">
        <f t="shared" si="45"/>
        <v>0.02</v>
      </c>
      <c r="H246" s="720"/>
      <c r="I246" s="24">
        <f t="shared" si="46"/>
        <v>0.2</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0.06</v>
      </c>
      <c r="F247" s="720"/>
      <c r="G247" s="24">
        <f t="shared" si="45"/>
        <v>0.02</v>
      </c>
      <c r="H247" s="720"/>
      <c r="I247" s="24">
        <f t="shared" si="46"/>
        <v>0.2</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0.06</v>
      </c>
      <c r="F248" s="720"/>
      <c r="G248" s="24">
        <f t="shared" si="45"/>
        <v>0.02</v>
      </c>
      <c r="H248" s="720"/>
      <c r="I248" s="24">
        <f t="shared" si="46"/>
        <v>0.2</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0.06</v>
      </c>
      <c r="F249" s="720"/>
      <c r="G249" s="24">
        <f t="shared" si="45"/>
        <v>0.02</v>
      </c>
      <c r="H249" s="720"/>
      <c r="I249" s="24">
        <f t="shared" si="46"/>
        <v>0.2</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0.06</v>
      </c>
      <c r="F250" s="720"/>
      <c r="G250" s="24">
        <f t="shared" si="45"/>
        <v>0.02</v>
      </c>
      <c r="H250" s="720"/>
      <c r="I250" s="24">
        <f t="shared" si="46"/>
        <v>0.2</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0.06</v>
      </c>
      <c r="F251" s="720"/>
      <c r="G251" s="24">
        <f t="shared" si="45"/>
        <v>0.02</v>
      </c>
      <c r="H251" s="720"/>
      <c r="I251" s="24">
        <f t="shared" si="46"/>
        <v>0.2</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0.06</v>
      </c>
      <c r="F252" s="720"/>
      <c r="G252" s="24">
        <f t="shared" si="45"/>
        <v>0.02</v>
      </c>
      <c r="H252" s="720"/>
      <c r="I252" s="24">
        <f t="shared" si="46"/>
        <v>0.2</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0.06</v>
      </c>
      <c r="F253" s="720"/>
      <c r="G253" s="24">
        <f t="shared" si="45"/>
        <v>0.02</v>
      </c>
      <c r="H253" s="720"/>
      <c r="I253" s="24">
        <f t="shared" si="46"/>
        <v>0.2</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0.06</v>
      </c>
      <c r="F254" s="720"/>
      <c r="G254" s="24">
        <f t="shared" si="45"/>
        <v>0.02</v>
      </c>
      <c r="H254" s="720"/>
      <c r="I254" s="24">
        <f t="shared" si="46"/>
        <v>0.2</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0.06</v>
      </c>
      <c r="F255" s="720"/>
      <c r="G255" s="24">
        <f t="shared" si="45"/>
        <v>0.02</v>
      </c>
      <c r="H255" s="720"/>
      <c r="I255" s="24">
        <f t="shared" si="46"/>
        <v>0.2</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0.06</v>
      </c>
      <c r="F256" s="720"/>
      <c r="G256" s="24">
        <f t="shared" si="45"/>
        <v>0.02</v>
      </c>
      <c r="H256" s="720"/>
      <c r="I256" s="24">
        <f t="shared" si="46"/>
        <v>0.2</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0.06</v>
      </c>
      <c r="F257" s="720"/>
      <c r="G257" s="24">
        <f t="shared" si="45"/>
        <v>0.02</v>
      </c>
      <c r="H257" s="720"/>
      <c r="I257" s="24">
        <f t="shared" si="46"/>
        <v>0.2</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0.06</v>
      </c>
      <c r="F258" s="720"/>
      <c r="G258" s="24">
        <f t="shared" si="45"/>
        <v>0.02</v>
      </c>
      <c r="H258" s="720"/>
      <c r="I258" s="24">
        <f t="shared" si="46"/>
        <v>0.2</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0.06</v>
      </c>
      <c r="F259" s="720"/>
      <c r="G259" s="24">
        <f t="shared" si="45"/>
        <v>0.02</v>
      </c>
      <c r="H259" s="720"/>
      <c r="I259" s="24">
        <f t="shared" si="46"/>
        <v>0.2</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0.06</v>
      </c>
      <c r="F260" s="720"/>
      <c r="G260" s="24">
        <f t="shared" si="45"/>
        <v>0.02</v>
      </c>
      <c r="H260" s="720"/>
      <c r="I260" s="24">
        <f t="shared" si="46"/>
        <v>0.2</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0.06</v>
      </c>
      <c r="F261" s="720"/>
      <c r="G261" s="24">
        <f t="shared" si="45"/>
        <v>0.02</v>
      </c>
      <c r="H261" s="720"/>
      <c r="I261" s="24">
        <f t="shared" si="46"/>
        <v>0.2</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0.06</v>
      </c>
      <c r="F262" s="720"/>
      <c r="G262" s="24">
        <f t="shared" si="45"/>
        <v>0.02</v>
      </c>
      <c r="H262" s="720"/>
      <c r="I262" s="24">
        <f t="shared" si="46"/>
        <v>0.2</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0.06</v>
      </c>
      <c r="F263" s="720"/>
      <c r="G263" s="24">
        <f t="shared" si="45"/>
        <v>0.02</v>
      </c>
      <c r="H263" s="720"/>
      <c r="I263" s="24">
        <f t="shared" si="46"/>
        <v>0.2</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0.06</v>
      </c>
      <c r="F264" s="720"/>
      <c r="G264" s="24">
        <f t="shared" si="45"/>
        <v>0.02</v>
      </c>
      <c r="H264" s="720"/>
      <c r="I264" s="24">
        <f t="shared" si="46"/>
        <v>0.2</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0.06</v>
      </c>
      <c r="F265" s="720"/>
      <c r="G265" s="24">
        <f t="shared" si="45"/>
        <v>0.02</v>
      </c>
      <c r="H265" s="720"/>
      <c r="I265" s="24">
        <f t="shared" si="46"/>
        <v>0.2</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0.06</v>
      </c>
      <c r="F266" s="720"/>
      <c r="G266" s="24">
        <f t="shared" si="45"/>
        <v>0.02</v>
      </c>
      <c r="H266" s="720"/>
      <c r="I266" s="24">
        <f t="shared" si="46"/>
        <v>0.2</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0.06</v>
      </c>
      <c r="F267" s="720"/>
      <c r="G267" s="24">
        <f t="shared" si="45"/>
        <v>0.02</v>
      </c>
      <c r="H267" s="720"/>
      <c r="I267" s="24">
        <f t="shared" si="46"/>
        <v>0.2</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0.06</v>
      </c>
      <c r="F268" s="720"/>
      <c r="G268" s="24">
        <f t="shared" si="45"/>
        <v>0.02</v>
      </c>
      <c r="H268" s="720"/>
      <c r="I268" s="24">
        <f t="shared" si="46"/>
        <v>0.2</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0.06</v>
      </c>
      <c r="F269" s="720"/>
      <c r="G269" s="24">
        <f t="shared" si="45"/>
        <v>0.02</v>
      </c>
      <c r="H269" s="720"/>
      <c r="I269" s="24">
        <f t="shared" si="46"/>
        <v>0.2</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0.06</v>
      </c>
      <c r="F270" s="720"/>
      <c r="G270" s="24">
        <f t="shared" si="45"/>
        <v>0.02</v>
      </c>
      <c r="H270" s="720"/>
      <c r="I270" s="24">
        <f t="shared" si="46"/>
        <v>0.2</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0.06</v>
      </c>
      <c r="F271" s="720"/>
      <c r="G271" s="24">
        <f t="shared" si="45"/>
        <v>0.02</v>
      </c>
      <c r="H271" s="720"/>
      <c r="I271" s="24">
        <f t="shared" si="46"/>
        <v>0.2</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0.06</v>
      </c>
      <c r="F272" s="720"/>
      <c r="G272" s="24">
        <f t="shared" si="45"/>
        <v>0.02</v>
      </c>
      <c r="H272" s="720"/>
      <c r="I272" s="24">
        <f t="shared" si="46"/>
        <v>0.2</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0.06</v>
      </c>
      <c r="F273" s="720"/>
      <c r="G273" s="24">
        <f t="shared" si="45"/>
        <v>0.02</v>
      </c>
      <c r="H273" s="720"/>
      <c r="I273" s="24">
        <f t="shared" si="46"/>
        <v>0.2</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0.06</v>
      </c>
      <c r="F274" s="720"/>
      <c r="G274" s="24">
        <f t="shared" si="45"/>
        <v>0.02</v>
      </c>
      <c r="H274" s="720"/>
      <c r="I274" s="24">
        <f t="shared" si="46"/>
        <v>0.2</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0.06</v>
      </c>
      <c r="F275" s="720"/>
      <c r="G275" s="24">
        <f t="shared" si="45"/>
        <v>0.02</v>
      </c>
      <c r="H275" s="720"/>
      <c r="I275" s="24">
        <f t="shared" si="46"/>
        <v>0.2</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0.06</v>
      </c>
      <c r="F276" s="720"/>
      <c r="G276" s="24">
        <f t="shared" si="45"/>
        <v>0.02</v>
      </c>
      <c r="H276" s="720"/>
      <c r="I276" s="24">
        <f t="shared" si="46"/>
        <v>0.2</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0.06</v>
      </c>
      <c r="F277" s="720"/>
      <c r="G277" s="24">
        <f t="shared" si="45"/>
        <v>0.02</v>
      </c>
      <c r="H277" s="720"/>
      <c r="I277" s="24">
        <f t="shared" si="46"/>
        <v>0.2</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0.06</v>
      </c>
      <c r="F278" s="720"/>
      <c r="G278" s="24">
        <f t="shared" si="45"/>
        <v>0.02</v>
      </c>
      <c r="H278" s="720"/>
      <c r="I278" s="24">
        <f t="shared" si="46"/>
        <v>0.2</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0.06</v>
      </c>
      <c r="F279" s="720"/>
      <c r="G279" s="24">
        <f t="shared" si="45"/>
        <v>0.02</v>
      </c>
      <c r="H279" s="720"/>
      <c r="I279" s="24">
        <f t="shared" si="46"/>
        <v>0.2</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0.06</v>
      </c>
      <c r="F280" s="720"/>
      <c r="G280" s="24">
        <f t="shared" si="45"/>
        <v>0.02</v>
      </c>
      <c r="H280" s="720"/>
      <c r="I280" s="24">
        <f t="shared" si="46"/>
        <v>0.2</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0.06</v>
      </c>
      <c r="F281" s="720"/>
      <c r="G281" s="24">
        <f t="shared" si="45"/>
        <v>0.02</v>
      </c>
      <c r="H281" s="720"/>
      <c r="I281" s="24">
        <f t="shared" si="46"/>
        <v>0.2</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0.02</v>
      </c>
      <c r="H282" s="720"/>
      <c r="I282" s="24">
        <f t="shared" ref="I282:I345" si="56">(SUMIF($9:$9,H282,$10:$10)-SUMIF($9:$9,$H$24,$10:$10)+100)/100</f>
        <v>0.2</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0.02</v>
      </c>
      <c r="H283" s="720"/>
      <c r="I283" s="24">
        <f t="shared" si="56"/>
        <v>0.2</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0.06</v>
      </c>
      <c r="F284" s="720"/>
      <c r="G284" s="24">
        <f t="shared" si="55"/>
        <v>0.02</v>
      </c>
      <c r="H284" s="720"/>
      <c r="I284" s="24">
        <f t="shared" si="56"/>
        <v>0.2</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0.06</v>
      </c>
      <c r="F285" s="720"/>
      <c r="G285" s="24">
        <f t="shared" si="55"/>
        <v>0.02</v>
      </c>
      <c r="H285" s="720"/>
      <c r="I285" s="24">
        <f t="shared" si="56"/>
        <v>0.2</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0.06</v>
      </c>
      <c r="F286" s="720"/>
      <c r="G286" s="24">
        <f t="shared" si="55"/>
        <v>0.02</v>
      </c>
      <c r="H286" s="720"/>
      <c r="I286" s="24">
        <f t="shared" si="56"/>
        <v>0.2</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0.06</v>
      </c>
      <c r="F287" s="720"/>
      <c r="G287" s="24">
        <f t="shared" si="55"/>
        <v>0.02</v>
      </c>
      <c r="H287" s="720"/>
      <c r="I287" s="24">
        <f t="shared" si="56"/>
        <v>0.2</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0.06</v>
      </c>
      <c r="F288" s="720"/>
      <c r="G288" s="24">
        <f t="shared" si="55"/>
        <v>0.02</v>
      </c>
      <c r="H288" s="720"/>
      <c r="I288" s="24">
        <f t="shared" si="56"/>
        <v>0.2</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0.06</v>
      </c>
      <c r="F289" s="720"/>
      <c r="G289" s="24">
        <f t="shared" si="55"/>
        <v>0.02</v>
      </c>
      <c r="H289" s="720"/>
      <c r="I289" s="24">
        <f t="shared" si="56"/>
        <v>0.2</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0.06</v>
      </c>
      <c r="F290" s="720"/>
      <c r="G290" s="24">
        <f t="shared" si="55"/>
        <v>0.02</v>
      </c>
      <c r="H290" s="720"/>
      <c r="I290" s="24">
        <f t="shared" si="56"/>
        <v>0.2</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0.06</v>
      </c>
      <c r="F291" s="720"/>
      <c r="G291" s="24">
        <f t="shared" si="55"/>
        <v>0.02</v>
      </c>
      <c r="H291" s="720"/>
      <c r="I291" s="24">
        <f t="shared" si="56"/>
        <v>0.2</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0.06</v>
      </c>
      <c r="F292" s="720"/>
      <c r="G292" s="24">
        <f t="shared" si="55"/>
        <v>0.02</v>
      </c>
      <c r="H292" s="720"/>
      <c r="I292" s="24">
        <f t="shared" si="56"/>
        <v>0.2</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0.06</v>
      </c>
      <c r="F293" s="720"/>
      <c r="G293" s="24">
        <f t="shared" si="55"/>
        <v>0.02</v>
      </c>
      <c r="H293" s="720"/>
      <c r="I293" s="24">
        <f t="shared" si="56"/>
        <v>0.2</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0.06</v>
      </c>
      <c r="F294" s="720"/>
      <c r="G294" s="24">
        <f t="shared" si="55"/>
        <v>0.02</v>
      </c>
      <c r="H294" s="720"/>
      <c r="I294" s="24">
        <f t="shared" si="56"/>
        <v>0.2</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0.06</v>
      </c>
      <c r="F295" s="720"/>
      <c r="G295" s="24">
        <f t="shared" si="55"/>
        <v>0.02</v>
      </c>
      <c r="H295" s="720"/>
      <c r="I295" s="24">
        <f t="shared" si="56"/>
        <v>0.2</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0.06</v>
      </c>
      <c r="F296" s="720"/>
      <c r="G296" s="24">
        <f t="shared" si="55"/>
        <v>0.02</v>
      </c>
      <c r="H296" s="720"/>
      <c r="I296" s="24">
        <f t="shared" si="56"/>
        <v>0.2</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0.06</v>
      </c>
      <c r="F297" s="720"/>
      <c r="G297" s="24">
        <f t="shared" si="55"/>
        <v>0.02</v>
      </c>
      <c r="H297" s="720"/>
      <c r="I297" s="24">
        <f t="shared" si="56"/>
        <v>0.2</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0.06</v>
      </c>
      <c r="F298" s="720"/>
      <c r="G298" s="24">
        <f t="shared" si="55"/>
        <v>0.02</v>
      </c>
      <c r="H298" s="720"/>
      <c r="I298" s="24">
        <f t="shared" si="56"/>
        <v>0.2</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0.06</v>
      </c>
      <c r="F299" s="720"/>
      <c r="G299" s="24">
        <f t="shared" si="55"/>
        <v>0.02</v>
      </c>
      <c r="H299" s="720"/>
      <c r="I299" s="24">
        <f t="shared" si="56"/>
        <v>0.2</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0.06</v>
      </c>
      <c r="F300" s="720"/>
      <c r="G300" s="24">
        <f t="shared" si="55"/>
        <v>0.02</v>
      </c>
      <c r="H300" s="720"/>
      <c r="I300" s="24">
        <f t="shared" si="56"/>
        <v>0.2</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0.06</v>
      </c>
      <c r="F301" s="720"/>
      <c r="G301" s="24">
        <f t="shared" si="55"/>
        <v>0.02</v>
      </c>
      <c r="H301" s="720"/>
      <c r="I301" s="24">
        <f t="shared" si="56"/>
        <v>0.2</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0.06</v>
      </c>
      <c r="F302" s="720"/>
      <c r="G302" s="24">
        <f t="shared" si="55"/>
        <v>0.02</v>
      </c>
      <c r="H302" s="720"/>
      <c r="I302" s="24">
        <f t="shared" si="56"/>
        <v>0.2</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0.06</v>
      </c>
      <c r="F303" s="720"/>
      <c r="G303" s="24">
        <f t="shared" si="55"/>
        <v>0.02</v>
      </c>
      <c r="H303" s="720"/>
      <c r="I303" s="24">
        <f t="shared" si="56"/>
        <v>0.2</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0.06</v>
      </c>
      <c r="F304" s="720"/>
      <c r="G304" s="24">
        <f t="shared" si="55"/>
        <v>0.02</v>
      </c>
      <c r="H304" s="720"/>
      <c r="I304" s="24">
        <f t="shared" si="56"/>
        <v>0.2</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0.06</v>
      </c>
      <c r="F305" s="720"/>
      <c r="G305" s="24">
        <f t="shared" si="55"/>
        <v>0.02</v>
      </c>
      <c r="H305" s="720"/>
      <c r="I305" s="24">
        <f t="shared" si="56"/>
        <v>0.2</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0.06</v>
      </c>
      <c r="F306" s="720"/>
      <c r="G306" s="24">
        <f t="shared" si="55"/>
        <v>0.02</v>
      </c>
      <c r="H306" s="720"/>
      <c r="I306" s="24">
        <f t="shared" si="56"/>
        <v>0.2</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0.06</v>
      </c>
      <c r="F307" s="720"/>
      <c r="G307" s="24">
        <f t="shared" si="55"/>
        <v>0.02</v>
      </c>
      <c r="H307" s="720"/>
      <c r="I307" s="24">
        <f t="shared" si="56"/>
        <v>0.2</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0.06</v>
      </c>
      <c r="F308" s="720"/>
      <c r="G308" s="24">
        <f t="shared" si="55"/>
        <v>0.02</v>
      </c>
      <c r="H308" s="720"/>
      <c r="I308" s="24">
        <f t="shared" si="56"/>
        <v>0.2</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0.06</v>
      </c>
      <c r="F309" s="720"/>
      <c r="G309" s="24">
        <f t="shared" si="55"/>
        <v>0.02</v>
      </c>
      <c r="H309" s="720"/>
      <c r="I309" s="24">
        <f t="shared" si="56"/>
        <v>0.2</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0.06</v>
      </c>
      <c r="F310" s="720"/>
      <c r="G310" s="24">
        <f t="shared" si="55"/>
        <v>0.02</v>
      </c>
      <c r="H310" s="720"/>
      <c r="I310" s="24">
        <f t="shared" si="56"/>
        <v>0.2</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0.06</v>
      </c>
      <c r="F311" s="720"/>
      <c r="G311" s="24">
        <f t="shared" si="55"/>
        <v>0.02</v>
      </c>
      <c r="H311" s="720"/>
      <c r="I311" s="24">
        <f t="shared" si="56"/>
        <v>0.2</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0.06</v>
      </c>
      <c r="F312" s="720"/>
      <c r="G312" s="24">
        <f t="shared" si="55"/>
        <v>0.02</v>
      </c>
      <c r="H312" s="720"/>
      <c r="I312" s="24">
        <f t="shared" si="56"/>
        <v>0.2</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0.06</v>
      </c>
      <c r="F313" s="720"/>
      <c r="G313" s="24">
        <f t="shared" si="55"/>
        <v>0.02</v>
      </c>
      <c r="H313" s="720"/>
      <c r="I313" s="24">
        <f t="shared" si="56"/>
        <v>0.2</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0.06</v>
      </c>
      <c r="F314" s="720"/>
      <c r="G314" s="24">
        <f t="shared" si="55"/>
        <v>0.02</v>
      </c>
      <c r="H314" s="720"/>
      <c r="I314" s="24">
        <f t="shared" si="56"/>
        <v>0.2</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0.06</v>
      </c>
      <c r="F315" s="720"/>
      <c r="G315" s="24">
        <f t="shared" si="55"/>
        <v>0.02</v>
      </c>
      <c r="H315" s="720"/>
      <c r="I315" s="24">
        <f t="shared" si="56"/>
        <v>0.2</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0.06</v>
      </c>
      <c r="F316" s="720"/>
      <c r="G316" s="24">
        <f t="shared" si="55"/>
        <v>0.02</v>
      </c>
      <c r="H316" s="720"/>
      <c r="I316" s="24">
        <f t="shared" si="56"/>
        <v>0.2</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0.06</v>
      </c>
      <c r="F317" s="720"/>
      <c r="G317" s="24">
        <f t="shared" si="55"/>
        <v>0.02</v>
      </c>
      <c r="H317" s="720"/>
      <c r="I317" s="24">
        <f t="shared" si="56"/>
        <v>0.2</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0.06</v>
      </c>
      <c r="F318" s="720"/>
      <c r="G318" s="24">
        <f t="shared" si="55"/>
        <v>0.02</v>
      </c>
      <c r="H318" s="720"/>
      <c r="I318" s="24">
        <f t="shared" si="56"/>
        <v>0.2</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0.06</v>
      </c>
      <c r="F319" s="720"/>
      <c r="G319" s="24">
        <f t="shared" si="55"/>
        <v>0.02</v>
      </c>
      <c r="H319" s="720"/>
      <c r="I319" s="24">
        <f t="shared" si="56"/>
        <v>0.2</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0.06</v>
      </c>
      <c r="F320" s="720"/>
      <c r="G320" s="24">
        <f t="shared" si="55"/>
        <v>0.02</v>
      </c>
      <c r="H320" s="720"/>
      <c r="I320" s="24">
        <f t="shared" si="56"/>
        <v>0.2</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0.06</v>
      </c>
      <c r="F321" s="720"/>
      <c r="G321" s="24">
        <f t="shared" si="55"/>
        <v>0.02</v>
      </c>
      <c r="H321" s="720"/>
      <c r="I321" s="24">
        <f t="shared" si="56"/>
        <v>0.2</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0.06</v>
      </c>
      <c r="F322" s="720"/>
      <c r="G322" s="24">
        <f t="shared" si="55"/>
        <v>0.02</v>
      </c>
      <c r="H322" s="720"/>
      <c r="I322" s="24">
        <f t="shared" si="56"/>
        <v>0.2</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0.06</v>
      </c>
      <c r="F323" s="720"/>
      <c r="G323" s="24">
        <f t="shared" si="55"/>
        <v>0.02</v>
      </c>
      <c r="H323" s="720"/>
      <c r="I323" s="24">
        <f t="shared" si="56"/>
        <v>0.2</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0.06</v>
      </c>
      <c r="F324" s="720"/>
      <c r="G324" s="24">
        <f t="shared" si="55"/>
        <v>0.02</v>
      </c>
      <c r="H324" s="720"/>
      <c r="I324" s="24">
        <f t="shared" si="56"/>
        <v>0.2</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0.06</v>
      </c>
      <c r="F325" s="720"/>
      <c r="G325" s="24">
        <f t="shared" si="55"/>
        <v>0.02</v>
      </c>
      <c r="H325" s="720"/>
      <c r="I325" s="24">
        <f t="shared" si="56"/>
        <v>0.2</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0.06</v>
      </c>
      <c r="F326" s="720"/>
      <c r="G326" s="24">
        <f t="shared" si="55"/>
        <v>0.02</v>
      </c>
      <c r="H326" s="720"/>
      <c r="I326" s="24">
        <f t="shared" si="56"/>
        <v>0.2</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0.06</v>
      </c>
      <c r="F327" s="720"/>
      <c r="G327" s="24">
        <f t="shared" si="55"/>
        <v>0.02</v>
      </c>
      <c r="H327" s="720"/>
      <c r="I327" s="24">
        <f t="shared" si="56"/>
        <v>0.2</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0.06</v>
      </c>
      <c r="F328" s="720"/>
      <c r="G328" s="24">
        <f t="shared" si="55"/>
        <v>0.02</v>
      </c>
      <c r="H328" s="720"/>
      <c r="I328" s="24">
        <f t="shared" si="56"/>
        <v>0.2</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0.06</v>
      </c>
      <c r="F329" s="720"/>
      <c r="G329" s="24">
        <f t="shared" si="55"/>
        <v>0.02</v>
      </c>
      <c r="H329" s="720"/>
      <c r="I329" s="24">
        <f t="shared" si="56"/>
        <v>0.2</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0.06</v>
      </c>
      <c r="F330" s="720"/>
      <c r="G330" s="24">
        <f t="shared" si="55"/>
        <v>0.02</v>
      </c>
      <c r="H330" s="720"/>
      <c r="I330" s="24">
        <f t="shared" si="56"/>
        <v>0.2</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0.06</v>
      </c>
      <c r="F331" s="720"/>
      <c r="G331" s="24">
        <f t="shared" si="55"/>
        <v>0.02</v>
      </c>
      <c r="H331" s="720"/>
      <c r="I331" s="24">
        <f t="shared" si="56"/>
        <v>0.2</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0.06</v>
      </c>
      <c r="F332" s="720"/>
      <c r="G332" s="24">
        <f t="shared" si="55"/>
        <v>0.02</v>
      </c>
      <c r="H332" s="720"/>
      <c r="I332" s="24">
        <f t="shared" si="56"/>
        <v>0.2</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0.06</v>
      </c>
      <c r="F333" s="720"/>
      <c r="G333" s="24">
        <f t="shared" si="55"/>
        <v>0.02</v>
      </c>
      <c r="H333" s="720"/>
      <c r="I333" s="24">
        <f t="shared" si="56"/>
        <v>0.2</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0.06</v>
      </c>
      <c r="F334" s="720"/>
      <c r="G334" s="24">
        <f t="shared" si="55"/>
        <v>0.02</v>
      </c>
      <c r="H334" s="720"/>
      <c r="I334" s="24">
        <f t="shared" si="56"/>
        <v>0.2</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0.06</v>
      </c>
      <c r="F335" s="720"/>
      <c r="G335" s="24">
        <f t="shared" si="55"/>
        <v>0.02</v>
      </c>
      <c r="H335" s="720"/>
      <c r="I335" s="24">
        <f t="shared" si="56"/>
        <v>0.2</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0.06</v>
      </c>
      <c r="F336" s="720"/>
      <c r="G336" s="24">
        <f t="shared" si="55"/>
        <v>0.02</v>
      </c>
      <c r="H336" s="720"/>
      <c r="I336" s="24">
        <f t="shared" si="56"/>
        <v>0.2</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0.06</v>
      </c>
      <c r="F337" s="720"/>
      <c r="G337" s="24">
        <f t="shared" si="55"/>
        <v>0.02</v>
      </c>
      <c r="H337" s="720"/>
      <c r="I337" s="24">
        <f t="shared" si="56"/>
        <v>0.2</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0.06</v>
      </c>
      <c r="F338" s="720"/>
      <c r="G338" s="24">
        <f t="shared" si="55"/>
        <v>0.02</v>
      </c>
      <c r="H338" s="720"/>
      <c r="I338" s="24">
        <f t="shared" si="56"/>
        <v>0.2</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0.06</v>
      </c>
      <c r="F339" s="720"/>
      <c r="G339" s="24">
        <f t="shared" si="55"/>
        <v>0.02</v>
      </c>
      <c r="H339" s="720"/>
      <c r="I339" s="24">
        <f t="shared" si="56"/>
        <v>0.2</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0.06</v>
      </c>
      <c r="F340" s="720"/>
      <c r="G340" s="24">
        <f t="shared" si="55"/>
        <v>0.02</v>
      </c>
      <c r="H340" s="720"/>
      <c r="I340" s="24">
        <f t="shared" si="56"/>
        <v>0.2</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0.06</v>
      </c>
      <c r="F341" s="720"/>
      <c r="G341" s="24">
        <f t="shared" si="55"/>
        <v>0.02</v>
      </c>
      <c r="H341" s="720"/>
      <c r="I341" s="24">
        <f t="shared" si="56"/>
        <v>0.2</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0.06</v>
      </c>
      <c r="F342" s="720"/>
      <c r="G342" s="24">
        <f t="shared" si="55"/>
        <v>0.02</v>
      </c>
      <c r="H342" s="720"/>
      <c r="I342" s="24">
        <f t="shared" si="56"/>
        <v>0.2</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0.06</v>
      </c>
      <c r="F343" s="720"/>
      <c r="G343" s="24">
        <f t="shared" si="55"/>
        <v>0.02</v>
      </c>
      <c r="H343" s="720"/>
      <c r="I343" s="24">
        <f t="shared" si="56"/>
        <v>0.2</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0.06</v>
      </c>
      <c r="F344" s="720"/>
      <c r="G344" s="24">
        <f t="shared" si="55"/>
        <v>0.02</v>
      </c>
      <c r="H344" s="720"/>
      <c r="I344" s="24">
        <f t="shared" si="56"/>
        <v>0.2</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0.06</v>
      </c>
      <c r="F345" s="720"/>
      <c r="G345" s="24">
        <f t="shared" si="55"/>
        <v>0.02</v>
      </c>
      <c r="H345" s="720"/>
      <c r="I345" s="24">
        <f t="shared" si="56"/>
        <v>0.2</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0.02</v>
      </c>
      <c r="H346" s="720"/>
      <c r="I346" s="24">
        <f t="shared" ref="I346:I409" si="67">(SUMIF($9:$9,H346,$10:$10)-SUMIF($9:$9,$H$24,$10:$10)+100)/100</f>
        <v>0.2</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0.02</v>
      </c>
      <c r="H347" s="720"/>
      <c r="I347" s="24">
        <f t="shared" si="67"/>
        <v>0.2</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0.06</v>
      </c>
      <c r="F348" s="720"/>
      <c r="G348" s="24">
        <f t="shared" si="66"/>
        <v>0.02</v>
      </c>
      <c r="H348" s="720"/>
      <c r="I348" s="24">
        <f t="shared" si="67"/>
        <v>0.2</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0.06</v>
      </c>
      <c r="F349" s="720"/>
      <c r="G349" s="24">
        <f t="shared" si="66"/>
        <v>0.02</v>
      </c>
      <c r="H349" s="720"/>
      <c r="I349" s="24">
        <f t="shared" si="67"/>
        <v>0.2</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0.06</v>
      </c>
      <c r="F350" s="720"/>
      <c r="G350" s="24">
        <f t="shared" si="66"/>
        <v>0.02</v>
      </c>
      <c r="H350" s="720"/>
      <c r="I350" s="24">
        <f t="shared" si="67"/>
        <v>0.2</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0.06</v>
      </c>
      <c r="F351" s="720"/>
      <c r="G351" s="24">
        <f t="shared" si="66"/>
        <v>0.02</v>
      </c>
      <c r="H351" s="720"/>
      <c r="I351" s="24">
        <f t="shared" si="67"/>
        <v>0.2</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0.06</v>
      </c>
      <c r="F352" s="720"/>
      <c r="G352" s="24">
        <f t="shared" si="66"/>
        <v>0.02</v>
      </c>
      <c r="H352" s="720"/>
      <c r="I352" s="24">
        <f t="shared" si="67"/>
        <v>0.2</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0.06</v>
      </c>
      <c r="F353" s="720"/>
      <c r="G353" s="24">
        <f t="shared" si="66"/>
        <v>0.02</v>
      </c>
      <c r="H353" s="720"/>
      <c r="I353" s="24">
        <f t="shared" si="67"/>
        <v>0.2</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0.06</v>
      </c>
      <c r="F354" s="720"/>
      <c r="G354" s="24">
        <f t="shared" si="66"/>
        <v>0.02</v>
      </c>
      <c r="H354" s="720"/>
      <c r="I354" s="24">
        <f t="shared" si="67"/>
        <v>0.2</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0.06</v>
      </c>
      <c r="F355" s="720"/>
      <c r="G355" s="24">
        <f t="shared" si="66"/>
        <v>0.02</v>
      </c>
      <c r="H355" s="720"/>
      <c r="I355" s="24">
        <f t="shared" si="67"/>
        <v>0.2</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0.06</v>
      </c>
      <c r="F356" s="720"/>
      <c r="G356" s="24">
        <f t="shared" si="66"/>
        <v>0.02</v>
      </c>
      <c r="H356" s="720"/>
      <c r="I356" s="24">
        <f t="shared" si="67"/>
        <v>0.2</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0.06</v>
      </c>
      <c r="F357" s="720"/>
      <c r="G357" s="24">
        <f t="shared" si="66"/>
        <v>0.02</v>
      </c>
      <c r="H357" s="720"/>
      <c r="I357" s="24">
        <f t="shared" si="67"/>
        <v>0.2</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0.06</v>
      </c>
      <c r="F358" s="720"/>
      <c r="G358" s="24">
        <f t="shared" si="66"/>
        <v>0.02</v>
      </c>
      <c r="H358" s="720"/>
      <c r="I358" s="24">
        <f t="shared" si="67"/>
        <v>0.2</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0.06</v>
      </c>
      <c r="F359" s="720"/>
      <c r="G359" s="24">
        <f t="shared" si="66"/>
        <v>0.02</v>
      </c>
      <c r="H359" s="720"/>
      <c r="I359" s="24">
        <f t="shared" si="67"/>
        <v>0.2</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0.06</v>
      </c>
      <c r="F360" s="720"/>
      <c r="G360" s="24">
        <f t="shared" si="66"/>
        <v>0.02</v>
      </c>
      <c r="H360" s="720"/>
      <c r="I360" s="24">
        <f t="shared" si="67"/>
        <v>0.2</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0.06</v>
      </c>
      <c r="F361" s="720"/>
      <c r="G361" s="24">
        <f t="shared" si="66"/>
        <v>0.02</v>
      </c>
      <c r="H361" s="720"/>
      <c r="I361" s="24">
        <f t="shared" si="67"/>
        <v>0.2</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0.06</v>
      </c>
      <c r="F362" s="720"/>
      <c r="G362" s="24">
        <f t="shared" si="66"/>
        <v>0.02</v>
      </c>
      <c r="H362" s="720"/>
      <c r="I362" s="24">
        <f t="shared" si="67"/>
        <v>0.2</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0.06</v>
      </c>
      <c r="F363" s="720"/>
      <c r="G363" s="24">
        <f t="shared" si="66"/>
        <v>0.02</v>
      </c>
      <c r="H363" s="720"/>
      <c r="I363" s="24">
        <f t="shared" si="67"/>
        <v>0.2</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0.06</v>
      </c>
      <c r="F364" s="720"/>
      <c r="G364" s="24">
        <f t="shared" si="66"/>
        <v>0.02</v>
      </c>
      <c r="H364" s="720"/>
      <c r="I364" s="24">
        <f t="shared" si="67"/>
        <v>0.2</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0.06</v>
      </c>
      <c r="F365" s="720"/>
      <c r="G365" s="24">
        <f t="shared" si="66"/>
        <v>0.02</v>
      </c>
      <c r="H365" s="720"/>
      <c r="I365" s="24">
        <f t="shared" si="67"/>
        <v>0.2</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0.06</v>
      </c>
      <c r="F366" s="720"/>
      <c r="G366" s="24">
        <f t="shared" si="66"/>
        <v>0.02</v>
      </c>
      <c r="H366" s="720"/>
      <c r="I366" s="24">
        <f t="shared" si="67"/>
        <v>0.2</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0.06</v>
      </c>
      <c r="F367" s="720"/>
      <c r="G367" s="24">
        <f t="shared" si="66"/>
        <v>0.02</v>
      </c>
      <c r="H367" s="720"/>
      <c r="I367" s="24">
        <f t="shared" si="67"/>
        <v>0.2</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0.06</v>
      </c>
      <c r="F368" s="720"/>
      <c r="G368" s="24">
        <f t="shared" si="66"/>
        <v>0.02</v>
      </c>
      <c r="H368" s="720"/>
      <c r="I368" s="24">
        <f t="shared" si="67"/>
        <v>0.2</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0.06</v>
      </c>
      <c r="F369" s="720"/>
      <c r="G369" s="24">
        <f t="shared" si="66"/>
        <v>0.02</v>
      </c>
      <c r="H369" s="720"/>
      <c r="I369" s="24">
        <f t="shared" si="67"/>
        <v>0.2</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0.06</v>
      </c>
      <c r="F370" s="720"/>
      <c r="G370" s="24">
        <f t="shared" si="66"/>
        <v>0.02</v>
      </c>
      <c r="H370" s="720"/>
      <c r="I370" s="24">
        <f t="shared" si="67"/>
        <v>0.2</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0.06</v>
      </c>
      <c r="F371" s="720"/>
      <c r="G371" s="24">
        <f t="shared" si="66"/>
        <v>0.02</v>
      </c>
      <c r="H371" s="720"/>
      <c r="I371" s="24">
        <f t="shared" si="67"/>
        <v>0.2</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0.06</v>
      </c>
      <c r="F372" s="720"/>
      <c r="G372" s="24">
        <f t="shared" si="66"/>
        <v>0.02</v>
      </c>
      <c r="H372" s="720"/>
      <c r="I372" s="24">
        <f t="shared" si="67"/>
        <v>0.2</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0.06</v>
      </c>
      <c r="F373" s="720"/>
      <c r="G373" s="24">
        <f t="shared" si="66"/>
        <v>0.02</v>
      </c>
      <c r="H373" s="720"/>
      <c r="I373" s="24">
        <f t="shared" si="67"/>
        <v>0.2</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0.06</v>
      </c>
      <c r="F374" s="720"/>
      <c r="G374" s="24">
        <f t="shared" si="66"/>
        <v>0.02</v>
      </c>
      <c r="H374" s="720"/>
      <c r="I374" s="24">
        <f t="shared" si="67"/>
        <v>0.2</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0.06</v>
      </c>
      <c r="F375" s="720"/>
      <c r="G375" s="24">
        <f t="shared" si="66"/>
        <v>0.02</v>
      </c>
      <c r="H375" s="720"/>
      <c r="I375" s="24">
        <f t="shared" si="67"/>
        <v>0.2</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0.06</v>
      </c>
      <c r="F376" s="720"/>
      <c r="G376" s="24">
        <f t="shared" si="66"/>
        <v>0.02</v>
      </c>
      <c r="H376" s="720"/>
      <c r="I376" s="24">
        <f t="shared" si="67"/>
        <v>0.2</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0.06</v>
      </c>
      <c r="F377" s="720"/>
      <c r="G377" s="24">
        <f t="shared" si="66"/>
        <v>0.02</v>
      </c>
      <c r="H377" s="720"/>
      <c r="I377" s="24">
        <f t="shared" si="67"/>
        <v>0.2</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0.06</v>
      </c>
      <c r="F378" s="720"/>
      <c r="G378" s="24">
        <f t="shared" si="66"/>
        <v>0.02</v>
      </c>
      <c r="H378" s="720"/>
      <c r="I378" s="24">
        <f t="shared" si="67"/>
        <v>0.2</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0.06</v>
      </c>
      <c r="F379" s="720"/>
      <c r="G379" s="24">
        <f t="shared" si="66"/>
        <v>0.02</v>
      </c>
      <c r="H379" s="720"/>
      <c r="I379" s="24">
        <f t="shared" si="67"/>
        <v>0.2</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0.06</v>
      </c>
      <c r="F380" s="720"/>
      <c r="G380" s="24">
        <f t="shared" si="66"/>
        <v>0.02</v>
      </c>
      <c r="H380" s="720"/>
      <c r="I380" s="24">
        <f t="shared" si="67"/>
        <v>0.2</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0.06</v>
      </c>
      <c r="F381" s="720"/>
      <c r="G381" s="24">
        <f t="shared" si="66"/>
        <v>0.02</v>
      </c>
      <c r="H381" s="720"/>
      <c r="I381" s="24">
        <f t="shared" si="67"/>
        <v>0.2</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0.06</v>
      </c>
      <c r="F382" s="720"/>
      <c r="G382" s="24">
        <f t="shared" si="66"/>
        <v>0.02</v>
      </c>
      <c r="H382" s="720"/>
      <c r="I382" s="24">
        <f t="shared" si="67"/>
        <v>0.2</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0.06</v>
      </c>
      <c r="F383" s="720"/>
      <c r="G383" s="24">
        <f t="shared" si="66"/>
        <v>0.02</v>
      </c>
      <c r="H383" s="720"/>
      <c r="I383" s="24">
        <f t="shared" si="67"/>
        <v>0.2</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0.06</v>
      </c>
      <c r="F384" s="720"/>
      <c r="G384" s="24">
        <f t="shared" si="66"/>
        <v>0.02</v>
      </c>
      <c r="H384" s="720"/>
      <c r="I384" s="24">
        <f t="shared" si="67"/>
        <v>0.2</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0.06</v>
      </c>
      <c r="F385" s="720"/>
      <c r="G385" s="24">
        <f t="shared" si="66"/>
        <v>0.02</v>
      </c>
      <c r="H385" s="720"/>
      <c r="I385" s="24">
        <f t="shared" si="67"/>
        <v>0.2</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0.06</v>
      </c>
      <c r="F386" s="720"/>
      <c r="G386" s="24">
        <f t="shared" si="66"/>
        <v>0.02</v>
      </c>
      <c r="H386" s="720"/>
      <c r="I386" s="24">
        <f t="shared" si="67"/>
        <v>0.2</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0.06</v>
      </c>
      <c r="F387" s="720"/>
      <c r="G387" s="24">
        <f t="shared" si="66"/>
        <v>0.02</v>
      </c>
      <c r="H387" s="720"/>
      <c r="I387" s="24">
        <f t="shared" si="67"/>
        <v>0.2</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0.06</v>
      </c>
      <c r="F388" s="720"/>
      <c r="G388" s="24">
        <f t="shared" si="66"/>
        <v>0.02</v>
      </c>
      <c r="H388" s="720"/>
      <c r="I388" s="24">
        <f t="shared" si="67"/>
        <v>0.2</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0.06</v>
      </c>
      <c r="F389" s="720"/>
      <c r="G389" s="24">
        <f t="shared" si="66"/>
        <v>0.02</v>
      </c>
      <c r="H389" s="720"/>
      <c r="I389" s="24">
        <f t="shared" si="67"/>
        <v>0.2</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0.06</v>
      </c>
      <c r="F390" s="720"/>
      <c r="G390" s="24">
        <f t="shared" si="66"/>
        <v>0.02</v>
      </c>
      <c r="H390" s="720"/>
      <c r="I390" s="24">
        <f t="shared" si="67"/>
        <v>0.2</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0.06</v>
      </c>
      <c r="F391" s="720"/>
      <c r="G391" s="24">
        <f t="shared" si="66"/>
        <v>0.02</v>
      </c>
      <c r="H391" s="720"/>
      <c r="I391" s="24">
        <f t="shared" si="67"/>
        <v>0.2</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0.06</v>
      </c>
      <c r="F392" s="720"/>
      <c r="G392" s="24">
        <f t="shared" si="66"/>
        <v>0.02</v>
      </c>
      <c r="H392" s="720"/>
      <c r="I392" s="24">
        <f t="shared" si="67"/>
        <v>0.2</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0.06</v>
      </c>
      <c r="F393" s="720"/>
      <c r="G393" s="24">
        <f t="shared" si="66"/>
        <v>0.02</v>
      </c>
      <c r="H393" s="720"/>
      <c r="I393" s="24">
        <f t="shared" si="67"/>
        <v>0.2</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0.06</v>
      </c>
      <c r="F394" s="720"/>
      <c r="G394" s="24">
        <f t="shared" si="66"/>
        <v>0.02</v>
      </c>
      <c r="H394" s="720"/>
      <c r="I394" s="24">
        <f t="shared" si="67"/>
        <v>0.2</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0.06</v>
      </c>
      <c r="F395" s="720"/>
      <c r="G395" s="24">
        <f t="shared" si="66"/>
        <v>0.02</v>
      </c>
      <c r="H395" s="720"/>
      <c r="I395" s="24">
        <f t="shared" si="67"/>
        <v>0.2</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0.06</v>
      </c>
      <c r="F396" s="720"/>
      <c r="G396" s="24">
        <f t="shared" si="66"/>
        <v>0.02</v>
      </c>
      <c r="H396" s="720"/>
      <c r="I396" s="24">
        <f t="shared" si="67"/>
        <v>0.2</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0.06</v>
      </c>
      <c r="F397" s="720"/>
      <c r="G397" s="24">
        <f t="shared" si="66"/>
        <v>0.02</v>
      </c>
      <c r="H397" s="720"/>
      <c r="I397" s="24">
        <f t="shared" si="67"/>
        <v>0.2</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0.06</v>
      </c>
      <c r="F398" s="720"/>
      <c r="G398" s="24">
        <f t="shared" si="66"/>
        <v>0.02</v>
      </c>
      <c r="H398" s="720"/>
      <c r="I398" s="24">
        <f t="shared" si="67"/>
        <v>0.2</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0.06</v>
      </c>
      <c r="F399" s="720"/>
      <c r="G399" s="24">
        <f t="shared" si="66"/>
        <v>0.02</v>
      </c>
      <c r="H399" s="720"/>
      <c r="I399" s="24">
        <f t="shared" si="67"/>
        <v>0.2</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0.06</v>
      </c>
      <c r="F400" s="720"/>
      <c r="G400" s="24">
        <f t="shared" si="66"/>
        <v>0.02</v>
      </c>
      <c r="H400" s="720"/>
      <c r="I400" s="24">
        <f t="shared" si="67"/>
        <v>0.2</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0.06</v>
      </c>
      <c r="F401" s="720"/>
      <c r="G401" s="24">
        <f t="shared" si="66"/>
        <v>0.02</v>
      </c>
      <c r="H401" s="720"/>
      <c r="I401" s="24">
        <f t="shared" si="67"/>
        <v>0.2</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0.06</v>
      </c>
      <c r="F402" s="720"/>
      <c r="G402" s="24">
        <f t="shared" si="66"/>
        <v>0.02</v>
      </c>
      <c r="H402" s="720"/>
      <c r="I402" s="24">
        <f t="shared" si="67"/>
        <v>0.2</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0.06</v>
      </c>
      <c r="F403" s="720"/>
      <c r="G403" s="24">
        <f t="shared" si="66"/>
        <v>0.02</v>
      </c>
      <c r="H403" s="720"/>
      <c r="I403" s="24">
        <f t="shared" si="67"/>
        <v>0.2</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0.06</v>
      </c>
      <c r="F404" s="720"/>
      <c r="G404" s="24">
        <f t="shared" si="66"/>
        <v>0.02</v>
      </c>
      <c r="H404" s="720"/>
      <c r="I404" s="24">
        <f t="shared" si="67"/>
        <v>0.2</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0.06</v>
      </c>
      <c r="F405" s="720"/>
      <c r="G405" s="24">
        <f t="shared" si="66"/>
        <v>0.02</v>
      </c>
      <c r="H405" s="720"/>
      <c r="I405" s="24">
        <f t="shared" si="67"/>
        <v>0.2</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0.06</v>
      </c>
      <c r="F406" s="720"/>
      <c r="G406" s="24">
        <f t="shared" si="66"/>
        <v>0.02</v>
      </c>
      <c r="H406" s="720"/>
      <c r="I406" s="24">
        <f t="shared" si="67"/>
        <v>0.2</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0.06</v>
      </c>
      <c r="F407" s="720"/>
      <c r="G407" s="24">
        <f t="shared" si="66"/>
        <v>0.02</v>
      </c>
      <c r="H407" s="720"/>
      <c r="I407" s="24">
        <f t="shared" si="67"/>
        <v>0.2</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0.06</v>
      </c>
      <c r="F408" s="720"/>
      <c r="G408" s="24">
        <f t="shared" si="66"/>
        <v>0.02</v>
      </c>
      <c r="H408" s="720"/>
      <c r="I408" s="24">
        <f t="shared" si="67"/>
        <v>0.2</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0.06</v>
      </c>
      <c r="F409" s="720"/>
      <c r="G409" s="24">
        <f t="shared" si="66"/>
        <v>0.02</v>
      </c>
      <c r="H409" s="720"/>
      <c r="I409" s="24">
        <f t="shared" si="67"/>
        <v>0.2</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0.02</v>
      </c>
      <c r="H410" s="720"/>
      <c r="I410" s="24">
        <f t="shared" ref="I410:I473" si="77">(SUMIF($9:$9,H410,$10:$10)-SUMIF($9:$9,$H$24,$10:$10)+100)/100</f>
        <v>0.2</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0.02</v>
      </c>
      <c r="H411" s="720"/>
      <c r="I411" s="24">
        <f t="shared" si="77"/>
        <v>0.2</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0.06</v>
      </c>
      <c r="F412" s="720"/>
      <c r="G412" s="24">
        <f t="shared" si="76"/>
        <v>0.02</v>
      </c>
      <c r="H412" s="720"/>
      <c r="I412" s="24">
        <f t="shared" si="77"/>
        <v>0.2</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0.06</v>
      </c>
      <c r="F413" s="720"/>
      <c r="G413" s="24">
        <f t="shared" si="76"/>
        <v>0.02</v>
      </c>
      <c r="H413" s="720"/>
      <c r="I413" s="24">
        <f t="shared" si="77"/>
        <v>0.2</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0.06</v>
      </c>
      <c r="F414" s="720"/>
      <c r="G414" s="24">
        <f t="shared" si="76"/>
        <v>0.02</v>
      </c>
      <c r="H414" s="720"/>
      <c r="I414" s="24">
        <f t="shared" si="77"/>
        <v>0.2</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0.06</v>
      </c>
      <c r="F415" s="720"/>
      <c r="G415" s="24">
        <f t="shared" si="76"/>
        <v>0.02</v>
      </c>
      <c r="H415" s="720"/>
      <c r="I415" s="24">
        <f t="shared" si="77"/>
        <v>0.2</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0.06</v>
      </c>
      <c r="F416" s="720"/>
      <c r="G416" s="24">
        <f t="shared" si="76"/>
        <v>0.02</v>
      </c>
      <c r="H416" s="720"/>
      <c r="I416" s="24">
        <f t="shared" si="77"/>
        <v>0.2</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0.06</v>
      </c>
      <c r="F417" s="720"/>
      <c r="G417" s="24">
        <f t="shared" si="76"/>
        <v>0.02</v>
      </c>
      <c r="H417" s="720"/>
      <c r="I417" s="24">
        <f t="shared" si="77"/>
        <v>0.2</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0.06</v>
      </c>
      <c r="F418" s="720"/>
      <c r="G418" s="24">
        <f t="shared" si="76"/>
        <v>0.02</v>
      </c>
      <c r="H418" s="720"/>
      <c r="I418" s="24">
        <f t="shared" si="77"/>
        <v>0.2</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0.06</v>
      </c>
      <c r="F419" s="720"/>
      <c r="G419" s="24">
        <f t="shared" si="76"/>
        <v>0.02</v>
      </c>
      <c r="H419" s="720"/>
      <c r="I419" s="24">
        <f t="shared" si="77"/>
        <v>0.2</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0.06</v>
      </c>
      <c r="F420" s="720"/>
      <c r="G420" s="24">
        <f t="shared" si="76"/>
        <v>0.02</v>
      </c>
      <c r="H420" s="720"/>
      <c r="I420" s="24">
        <f t="shared" si="77"/>
        <v>0.2</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0.06</v>
      </c>
      <c r="F421" s="720"/>
      <c r="G421" s="24">
        <f t="shared" si="76"/>
        <v>0.02</v>
      </c>
      <c r="H421" s="720"/>
      <c r="I421" s="24">
        <f t="shared" si="77"/>
        <v>0.2</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0.06</v>
      </c>
      <c r="F422" s="720"/>
      <c r="G422" s="24">
        <f t="shared" si="76"/>
        <v>0.02</v>
      </c>
      <c r="H422" s="720"/>
      <c r="I422" s="24">
        <f t="shared" si="77"/>
        <v>0.2</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0.06</v>
      </c>
      <c r="F423" s="720"/>
      <c r="G423" s="24">
        <f t="shared" si="76"/>
        <v>0.02</v>
      </c>
      <c r="H423" s="720"/>
      <c r="I423" s="24">
        <f t="shared" si="77"/>
        <v>0.2</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0.06</v>
      </c>
      <c r="F424" s="720"/>
      <c r="G424" s="24">
        <f t="shared" si="76"/>
        <v>0.02</v>
      </c>
      <c r="H424" s="720"/>
      <c r="I424" s="24">
        <f t="shared" si="77"/>
        <v>0.2</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0.06</v>
      </c>
      <c r="F425" s="720"/>
      <c r="G425" s="24">
        <f t="shared" si="76"/>
        <v>0.02</v>
      </c>
      <c r="H425" s="720"/>
      <c r="I425" s="24">
        <f t="shared" si="77"/>
        <v>0.2</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0.06</v>
      </c>
      <c r="F426" s="720"/>
      <c r="G426" s="24">
        <f t="shared" si="76"/>
        <v>0.02</v>
      </c>
      <c r="H426" s="720"/>
      <c r="I426" s="24">
        <f t="shared" si="77"/>
        <v>0.2</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0.06</v>
      </c>
      <c r="F427" s="720"/>
      <c r="G427" s="24">
        <f t="shared" si="76"/>
        <v>0.02</v>
      </c>
      <c r="H427" s="720"/>
      <c r="I427" s="24">
        <f t="shared" si="77"/>
        <v>0.2</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0.06</v>
      </c>
      <c r="F428" s="720"/>
      <c r="G428" s="24">
        <f t="shared" si="76"/>
        <v>0.02</v>
      </c>
      <c r="H428" s="720"/>
      <c r="I428" s="24">
        <f t="shared" si="77"/>
        <v>0.2</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0.06</v>
      </c>
      <c r="F429" s="720"/>
      <c r="G429" s="24">
        <f t="shared" si="76"/>
        <v>0.02</v>
      </c>
      <c r="H429" s="720"/>
      <c r="I429" s="24">
        <f t="shared" si="77"/>
        <v>0.2</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0.06</v>
      </c>
      <c r="F430" s="720"/>
      <c r="G430" s="24">
        <f t="shared" si="76"/>
        <v>0.02</v>
      </c>
      <c r="H430" s="720"/>
      <c r="I430" s="24">
        <f t="shared" si="77"/>
        <v>0.2</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0.06</v>
      </c>
      <c r="F431" s="720"/>
      <c r="G431" s="24">
        <f t="shared" si="76"/>
        <v>0.02</v>
      </c>
      <c r="H431" s="720"/>
      <c r="I431" s="24">
        <f t="shared" si="77"/>
        <v>0.2</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0.06</v>
      </c>
      <c r="F432" s="720"/>
      <c r="G432" s="24">
        <f t="shared" si="76"/>
        <v>0.02</v>
      </c>
      <c r="H432" s="720"/>
      <c r="I432" s="24">
        <f t="shared" si="77"/>
        <v>0.2</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0.06</v>
      </c>
      <c r="F433" s="720"/>
      <c r="G433" s="24">
        <f t="shared" si="76"/>
        <v>0.02</v>
      </c>
      <c r="H433" s="720"/>
      <c r="I433" s="24">
        <f t="shared" si="77"/>
        <v>0.2</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0.06</v>
      </c>
      <c r="F434" s="720"/>
      <c r="G434" s="24">
        <f t="shared" si="76"/>
        <v>0.02</v>
      </c>
      <c r="H434" s="720"/>
      <c r="I434" s="24">
        <f t="shared" si="77"/>
        <v>0.2</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0.06</v>
      </c>
      <c r="F435" s="720"/>
      <c r="G435" s="24">
        <f t="shared" si="76"/>
        <v>0.02</v>
      </c>
      <c r="H435" s="720"/>
      <c r="I435" s="24">
        <f t="shared" si="77"/>
        <v>0.2</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0.06</v>
      </c>
      <c r="F436" s="720"/>
      <c r="G436" s="24">
        <f t="shared" si="76"/>
        <v>0.02</v>
      </c>
      <c r="H436" s="720"/>
      <c r="I436" s="24">
        <f t="shared" si="77"/>
        <v>0.2</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0.06</v>
      </c>
      <c r="F437" s="720"/>
      <c r="G437" s="24">
        <f t="shared" si="76"/>
        <v>0.02</v>
      </c>
      <c r="H437" s="720"/>
      <c r="I437" s="24">
        <f t="shared" si="77"/>
        <v>0.2</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0.06</v>
      </c>
      <c r="F438" s="720"/>
      <c r="G438" s="24">
        <f t="shared" si="76"/>
        <v>0.02</v>
      </c>
      <c r="H438" s="720"/>
      <c r="I438" s="24">
        <f t="shared" si="77"/>
        <v>0.2</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0.06</v>
      </c>
      <c r="F439" s="720"/>
      <c r="G439" s="24">
        <f t="shared" si="76"/>
        <v>0.02</v>
      </c>
      <c r="H439" s="720"/>
      <c r="I439" s="24">
        <f t="shared" si="77"/>
        <v>0.2</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0.06</v>
      </c>
      <c r="F440" s="720"/>
      <c r="G440" s="24">
        <f t="shared" si="76"/>
        <v>0.02</v>
      </c>
      <c r="H440" s="720"/>
      <c r="I440" s="24">
        <f t="shared" si="77"/>
        <v>0.2</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0.06</v>
      </c>
      <c r="F441" s="720"/>
      <c r="G441" s="24">
        <f t="shared" si="76"/>
        <v>0.02</v>
      </c>
      <c r="H441" s="720"/>
      <c r="I441" s="24">
        <f t="shared" si="77"/>
        <v>0.2</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0.06</v>
      </c>
      <c r="F442" s="720"/>
      <c r="G442" s="24">
        <f t="shared" si="76"/>
        <v>0.02</v>
      </c>
      <c r="H442" s="720"/>
      <c r="I442" s="24">
        <f t="shared" si="77"/>
        <v>0.2</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0.06</v>
      </c>
      <c r="F443" s="720"/>
      <c r="G443" s="24">
        <f t="shared" si="76"/>
        <v>0.02</v>
      </c>
      <c r="H443" s="720"/>
      <c r="I443" s="24">
        <f t="shared" si="77"/>
        <v>0.2</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0.06</v>
      </c>
      <c r="F444" s="720"/>
      <c r="G444" s="24">
        <f t="shared" si="76"/>
        <v>0.02</v>
      </c>
      <c r="H444" s="720"/>
      <c r="I444" s="24">
        <f t="shared" si="77"/>
        <v>0.2</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0.06</v>
      </c>
      <c r="F445" s="720"/>
      <c r="G445" s="24">
        <f t="shared" si="76"/>
        <v>0.02</v>
      </c>
      <c r="H445" s="720"/>
      <c r="I445" s="24">
        <f t="shared" si="77"/>
        <v>0.2</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0.06</v>
      </c>
      <c r="F446" s="720"/>
      <c r="G446" s="24">
        <f t="shared" si="76"/>
        <v>0.02</v>
      </c>
      <c r="H446" s="720"/>
      <c r="I446" s="24">
        <f t="shared" si="77"/>
        <v>0.2</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0.06</v>
      </c>
      <c r="F447" s="720"/>
      <c r="G447" s="24">
        <f t="shared" si="76"/>
        <v>0.02</v>
      </c>
      <c r="H447" s="720"/>
      <c r="I447" s="24">
        <f t="shared" si="77"/>
        <v>0.2</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0.06</v>
      </c>
      <c r="F448" s="720"/>
      <c r="G448" s="24">
        <f t="shared" si="76"/>
        <v>0.02</v>
      </c>
      <c r="H448" s="720"/>
      <c r="I448" s="24">
        <f t="shared" si="77"/>
        <v>0.2</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0.06</v>
      </c>
      <c r="F449" s="720"/>
      <c r="G449" s="24">
        <f t="shared" si="76"/>
        <v>0.02</v>
      </c>
      <c r="H449" s="720"/>
      <c r="I449" s="24">
        <f t="shared" si="77"/>
        <v>0.2</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0.06</v>
      </c>
      <c r="F450" s="720"/>
      <c r="G450" s="24">
        <f t="shared" si="76"/>
        <v>0.02</v>
      </c>
      <c r="H450" s="720"/>
      <c r="I450" s="24">
        <f t="shared" si="77"/>
        <v>0.2</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0.06</v>
      </c>
      <c r="F451" s="720"/>
      <c r="G451" s="24">
        <f t="shared" si="76"/>
        <v>0.02</v>
      </c>
      <c r="H451" s="720"/>
      <c r="I451" s="24">
        <f t="shared" si="77"/>
        <v>0.2</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0.06</v>
      </c>
      <c r="F452" s="720"/>
      <c r="G452" s="24">
        <f t="shared" si="76"/>
        <v>0.02</v>
      </c>
      <c r="H452" s="720"/>
      <c r="I452" s="24">
        <f t="shared" si="77"/>
        <v>0.2</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0.06</v>
      </c>
      <c r="F453" s="720"/>
      <c r="G453" s="24">
        <f t="shared" si="76"/>
        <v>0.02</v>
      </c>
      <c r="H453" s="720"/>
      <c r="I453" s="24">
        <f t="shared" si="77"/>
        <v>0.2</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0.06</v>
      </c>
      <c r="F454" s="720"/>
      <c r="G454" s="24">
        <f t="shared" si="76"/>
        <v>0.02</v>
      </c>
      <c r="H454" s="720"/>
      <c r="I454" s="24">
        <f t="shared" si="77"/>
        <v>0.2</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0.06</v>
      </c>
      <c r="F455" s="720"/>
      <c r="G455" s="24">
        <f t="shared" si="76"/>
        <v>0.02</v>
      </c>
      <c r="H455" s="720"/>
      <c r="I455" s="24">
        <f t="shared" si="77"/>
        <v>0.2</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0.06</v>
      </c>
      <c r="F456" s="720"/>
      <c r="G456" s="24">
        <f t="shared" si="76"/>
        <v>0.02</v>
      </c>
      <c r="H456" s="720"/>
      <c r="I456" s="24">
        <f t="shared" si="77"/>
        <v>0.2</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0.06</v>
      </c>
      <c r="F457" s="720"/>
      <c r="G457" s="24">
        <f t="shared" si="76"/>
        <v>0.02</v>
      </c>
      <c r="H457" s="720"/>
      <c r="I457" s="24">
        <f t="shared" si="77"/>
        <v>0.2</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0.06</v>
      </c>
      <c r="F458" s="720"/>
      <c r="G458" s="24">
        <f t="shared" si="76"/>
        <v>0.02</v>
      </c>
      <c r="H458" s="720"/>
      <c r="I458" s="24">
        <f t="shared" si="77"/>
        <v>0.2</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0.06</v>
      </c>
      <c r="F459" s="720"/>
      <c r="G459" s="24">
        <f t="shared" si="76"/>
        <v>0.02</v>
      </c>
      <c r="H459" s="720"/>
      <c r="I459" s="24">
        <f t="shared" si="77"/>
        <v>0.2</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0.06</v>
      </c>
      <c r="F460" s="720"/>
      <c r="G460" s="24">
        <f t="shared" si="76"/>
        <v>0.02</v>
      </c>
      <c r="H460" s="720"/>
      <c r="I460" s="24">
        <f t="shared" si="77"/>
        <v>0.2</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0.06</v>
      </c>
      <c r="F461" s="720"/>
      <c r="G461" s="24">
        <f t="shared" si="76"/>
        <v>0.02</v>
      </c>
      <c r="H461" s="720"/>
      <c r="I461" s="24">
        <f t="shared" si="77"/>
        <v>0.2</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0.06</v>
      </c>
      <c r="F462" s="720"/>
      <c r="G462" s="24">
        <f t="shared" si="76"/>
        <v>0.02</v>
      </c>
      <c r="H462" s="720"/>
      <c r="I462" s="24">
        <f t="shared" si="77"/>
        <v>0.2</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0.06</v>
      </c>
      <c r="F463" s="720"/>
      <c r="G463" s="24">
        <f t="shared" si="76"/>
        <v>0.02</v>
      </c>
      <c r="H463" s="720"/>
      <c r="I463" s="24">
        <f t="shared" si="77"/>
        <v>0.2</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0.06</v>
      </c>
      <c r="F464" s="720"/>
      <c r="G464" s="24">
        <f t="shared" si="76"/>
        <v>0.02</v>
      </c>
      <c r="H464" s="720"/>
      <c r="I464" s="24">
        <f t="shared" si="77"/>
        <v>0.2</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0.06</v>
      </c>
      <c r="F465" s="720"/>
      <c r="G465" s="24">
        <f t="shared" si="76"/>
        <v>0.02</v>
      </c>
      <c r="H465" s="720"/>
      <c r="I465" s="24">
        <f t="shared" si="77"/>
        <v>0.2</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0.06</v>
      </c>
      <c r="F466" s="720"/>
      <c r="G466" s="24">
        <f t="shared" si="76"/>
        <v>0.02</v>
      </c>
      <c r="H466" s="720"/>
      <c r="I466" s="24">
        <f t="shared" si="77"/>
        <v>0.2</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0.06</v>
      </c>
      <c r="F467" s="720"/>
      <c r="G467" s="24">
        <f t="shared" si="76"/>
        <v>0.02</v>
      </c>
      <c r="H467" s="720"/>
      <c r="I467" s="24">
        <f t="shared" si="77"/>
        <v>0.2</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0.06</v>
      </c>
      <c r="F468" s="720"/>
      <c r="G468" s="24">
        <f t="shared" si="76"/>
        <v>0.02</v>
      </c>
      <c r="H468" s="720"/>
      <c r="I468" s="24">
        <f t="shared" si="77"/>
        <v>0.2</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0.06</v>
      </c>
      <c r="F469" s="720"/>
      <c r="G469" s="24">
        <f t="shared" si="76"/>
        <v>0.02</v>
      </c>
      <c r="H469" s="720"/>
      <c r="I469" s="24">
        <f t="shared" si="77"/>
        <v>0.2</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0.06</v>
      </c>
      <c r="F470" s="720"/>
      <c r="G470" s="24">
        <f t="shared" si="76"/>
        <v>0.02</v>
      </c>
      <c r="H470" s="720"/>
      <c r="I470" s="24">
        <f t="shared" si="77"/>
        <v>0.2</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0.06</v>
      </c>
      <c r="F471" s="720"/>
      <c r="G471" s="24">
        <f t="shared" si="76"/>
        <v>0.02</v>
      </c>
      <c r="H471" s="720"/>
      <c r="I471" s="24">
        <f t="shared" si="77"/>
        <v>0.2</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0.06</v>
      </c>
      <c r="F472" s="720"/>
      <c r="G472" s="24">
        <f t="shared" si="76"/>
        <v>0.02</v>
      </c>
      <c r="H472" s="720"/>
      <c r="I472" s="24">
        <f t="shared" si="77"/>
        <v>0.2</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0.06</v>
      </c>
      <c r="F473" s="720"/>
      <c r="G473" s="24">
        <f t="shared" si="76"/>
        <v>0.02</v>
      </c>
      <c r="H473" s="720"/>
      <c r="I473" s="24">
        <f t="shared" si="77"/>
        <v>0.2</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0.02</v>
      </c>
      <c r="H474" s="720"/>
      <c r="I474" s="24">
        <f t="shared" ref="I474:I524" si="88">(SUMIF($9:$9,H474,$10:$10)-SUMIF($9:$9,$H$24,$10:$10)+100)/100</f>
        <v>0.2</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0.02</v>
      </c>
      <c r="H475" s="720"/>
      <c r="I475" s="24">
        <f t="shared" si="88"/>
        <v>0.2</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0.06</v>
      </c>
      <c r="F476" s="720"/>
      <c r="G476" s="24">
        <f t="shared" si="87"/>
        <v>0.02</v>
      </c>
      <c r="H476" s="720"/>
      <c r="I476" s="24">
        <f t="shared" si="88"/>
        <v>0.2</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0.06</v>
      </c>
      <c r="F477" s="720"/>
      <c r="G477" s="24">
        <f t="shared" si="87"/>
        <v>0.02</v>
      </c>
      <c r="H477" s="720"/>
      <c r="I477" s="24">
        <f t="shared" si="88"/>
        <v>0.2</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0.06</v>
      </c>
      <c r="F478" s="720"/>
      <c r="G478" s="24">
        <f t="shared" si="87"/>
        <v>0.02</v>
      </c>
      <c r="H478" s="720"/>
      <c r="I478" s="24">
        <f t="shared" si="88"/>
        <v>0.2</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0.06</v>
      </c>
      <c r="F479" s="720"/>
      <c r="G479" s="24">
        <f t="shared" si="87"/>
        <v>0.02</v>
      </c>
      <c r="H479" s="720"/>
      <c r="I479" s="24">
        <f t="shared" si="88"/>
        <v>0.2</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0.06</v>
      </c>
      <c r="F480" s="720"/>
      <c r="G480" s="24">
        <f t="shared" si="87"/>
        <v>0.02</v>
      </c>
      <c r="H480" s="720"/>
      <c r="I480" s="24">
        <f t="shared" si="88"/>
        <v>0.2</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0.06</v>
      </c>
      <c r="F481" s="720"/>
      <c r="G481" s="24">
        <f t="shared" si="87"/>
        <v>0.02</v>
      </c>
      <c r="H481" s="720"/>
      <c r="I481" s="24">
        <f t="shared" si="88"/>
        <v>0.2</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0.06</v>
      </c>
      <c r="F482" s="720"/>
      <c r="G482" s="24">
        <f t="shared" si="87"/>
        <v>0.02</v>
      </c>
      <c r="H482" s="720"/>
      <c r="I482" s="24">
        <f t="shared" si="88"/>
        <v>0.2</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0.06</v>
      </c>
      <c r="F483" s="720"/>
      <c r="G483" s="24">
        <f t="shared" si="87"/>
        <v>0.02</v>
      </c>
      <c r="H483" s="720"/>
      <c r="I483" s="24">
        <f t="shared" si="88"/>
        <v>0.2</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0.06</v>
      </c>
      <c r="F484" s="720"/>
      <c r="G484" s="24">
        <f t="shared" si="87"/>
        <v>0.02</v>
      </c>
      <c r="H484" s="720"/>
      <c r="I484" s="24">
        <f t="shared" si="88"/>
        <v>0.2</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0.06</v>
      </c>
      <c r="F485" s="720"/>
      <c r="G485" s="24">
        <f t="shared" si="87"/>
        <v>0.02</v>
      </c>
      <c r="H485" s="720"/>
      <c r="I485" s="24">
        <f t="shared" si="88"/>
        <v>0.2</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0.06</v>
      </c>
      <c r="F486" s="720"/>
      <c r="G486" s="24">
        <f t="shared" si="87"/>
        <v>0.02</v>
      </c>
      <c r="H486" s="720"/>
      <c r="I486" s="24">
        <f t="shared" si="88"/>
        <v>0.2</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0.06</v>
      </c>
      <c r="F487" s="720"/>
      <c r="G487" s="24">
        <f t="shared" si="87"/>
        <v>0.02</v>
      </c>
      <c r="H487" s="720"/>
      <c r="I487" s="24">
        <f t="shared" si="88"/>
        <v>0.2</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0.06</v>
      </c>
      <c r="F488" s="720"/>
      <c r="G488" s="24">
        <f t="shared" si="87"/>
        <v>0.02</v>
      </c>
      <c r="H488" s="720"/>
      <c r="I488" s="24">
        <f t="shared" si="88"/>
        <v>0.2</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0.06</v>
      </c>
      <c r="F489" s="720"/>
      <c r="G489" s="24">
        <f t="shared" si="87"/>
        <v>0.02</v>
      </c>
      <c r="H489" s="720"/>
      <c r="I489" s="24">
        <f t="shared" si="88"/>
        <v>0.2</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0.06</v>
      </c>
      <c r="F490" s="720"/>
      <c r="G490" s="24">
        <f t="shared" si="87"/>
        <v>0.02</v>
      </c>
      <c r="H490" s="720"/>
      <c r="I490" s="24">
        <f t="shared" si="88"/>
        <v>0.2</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0.06</v>
      </c>
      <c r="F491" s="720"/>
      <c r="G491" s="24">
        <f t="shared" si="87"/>
        <v>0.02</v>
      </c>
      <c r="H491" s="720"/>
      <c r="I491" s="24">
        <f t="shared" si="88"/>
        <v>0.2</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0.06</v>
      </c>
      <c r="F492" s="720"/>
      <c r="G492" s="24">
        <f t="shared" si="87"/>
        <v>0.02</v>
      </c>
      <c r="H492" s="720"/>
      <c r="I492" s="24">
        <f t="shared" si="88"/>
        <v>0.2</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0.06</v>
      </c>
      <c r="F493" s="720"/>
      <c r="G493" s="24">
        <f t="shared" si="87"/>
        <v>0.02</v>
      </c>
      <c r="H493" s="720"/>
      <c r="I493" s="24">
        <f t="shared" si="88"/>
        <v>0.2</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0.06</v>
      </c>
      <c r="F494" s="720"/>
      <c r="G494" s="24">
        <f t="shared" si="87"/>
        <v>0.02</v>
      </c>
      <c r="H494" s="720"/>
      <c r="I494" s="24">
        <f t="shared" si="88"/>
        <v>0.2</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0.06</v>
      </c>
      <c r="F495" s="720"/>
      <c r="G495" s="24">
        <f t="shared" si="87"/>
        <v>0.02</v>
      </c>
      <c r="H495" s="720"/>
      <c r="I495" s="24">
        <f t="shared" si="88"/>
        <v>0.2</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0.06</v>
      </c>
      <c r="F496" s="720"/>
      <c r="G496" s="24">
        <f t="shared" si="87"/>
        <v>0.02</v>
      </c>
      <c r="H496" s="720"/>
      <c r="I496" s="24">
        <f t="shared" si="88"/>
        <v>0.2</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0.06</v>
      </c>
      <c r="F497" s="720"/>
      <c r="G497" s="24">
        <f t="shared" si="87"/>
        <v>0.02</v>
      </c>
      <c r="H497" s="720"/>
      <c r="I497" s="24">
        <f t="shared" si="88"/>
        <v>0.2</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0.06</v>
      </c>
      <c r="F498" s="720"/>
      <c r="G498" s="24">
        <f t="shared" si="87"/>
        <v>0.02</v>
      </c>
      <c r="H498" s="720"/>
      <c r="I498" s="24">
        <f t="shared" si="88"/>
        <v>0.2</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0.06</v>
      </c>
      <c r="F499" s="720"/>
      <c r="G499" s="24">
        <f t="shared" si="87"/>
        <v>0.02</v>
      </c>
      <c r="H499" s="720"/>
      <c r="I499" s="24">
        <f t="shared" si="88"/>
        <v>0.2</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0.06</v>
      </c>
      <c r="F500" s="720"/>
      <c r="G500" s="24">
        <f t="shared" si="87"/>
        <v>0.02</v>
      </c>
      <c r="H500" s="720"/>
      <c r="I500" s="24">
        <f t="shared" si="88"/>
        <v>0.2</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0.06</v>
      </c>
      <c r="F501" s="720"/>
      <c r="G501" s="24">
        <f t="shared" si="87"/>
        <v>0.02</v>
      </c>
      <c r="H501" s="720"/>
      <c r="I501" s="24">
        <f t="shared" si="88"/>
        <v>0.2</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0.06</v>
      </c>
      <c r="F502" s="720"/>
      <c r="G502" s="24">
        <f t="shared" si="87"/>
        <v>0.02</v>
      </c>
      <c r="H502" s="720"/>
      <c r="I502" s="24">
        <f t="shared" si="88"/>
        <v>0.2</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0.06</v>
      </c>
      <c r="F503" s="720"/>
      <c r="G503" s="24">
        <f t="shared" si="87"/>
        <v>0.02</v>
      </c>
      <c r="H503" s="720"/>
      <c r="I503" s="24">
        <f t="shared" si="88"/>
        <v>0.2</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0.06</v>
      </c>
      <c r="F504" s="720"/>
      <c r="G504" s="24">
        <f t="shared" si="87"/>
        <v>0.02</v>
      </c>
      <c r="H504" s="720"/>
      <c r="I504" s="24">
        <f t="shared" si="88"/>
        <v>0.2</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0.06</v>
      </c>
      <c r="F505" s="720"/>
      <c r="G505" s="24">
        <f t="shared" si="87"/>
        <v>0.02</v>
      </c>
      <c r="H505" s="720"/>
      <c r="I505" s="24">
        <f t="shared" si="88"/>
        <v>0.2</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0.06</v>
      </c>
      <c r="F506" s="720"/>
      <c r="G506" s="24">
        <f t="shared" si="87"/>
        <v>0.02</v>
      </c>
      <c r="H506" s="720"/>
      <c r="I506" s="24">
        <f t="shared" si="88"/>
        <v>0.2</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0.06</v>
      </c>
      <c r="F507" s="720"/>
      <c r="G507" s="24">
        <f t="shared" si="87"/>
        <v>0.02</v>
      </c>
      <c r="H507" s="720"/>
      <c r="I507" s="24">
        <f t="shared" si="88"/>
        <v>0.2</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0.06</v>
      </c>
      <c r="F508" s="720"/>
      <c r="G508" s="24">
        <f t="shared" si="87"/>
        <v>0.02</v>
      </c>
      <c r="H508" s="720"/>
      <c r="I508" s="24">
        <f t="shared" si="88"/>
        <v>0.2</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0.06</v>
      </c>
      <c r="F509" s="720"/>
      <c r="G509" s="24">
        <f t="shared" si="87"/>
        <v>0.02</v>
      </c>
      <c r="H509" s="720"/>
      <c r="I509" s="24">
        <f t="shared" si="88"/>
        <v>0.2</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0.06</v>
      </c>
      <c r="F510" s="720"/>
      <c r="G510" s="24">
        <f t="shared" si="87"/>
        <v>0.02</v>
      </c>
      <c r="H510" s="720"/>
      <c r="I510" s="24">
        <f t="shared" si="88"/>
        <v>0.2</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0.06</v>
      </c>
      <c r="F511" s="720"/>
      <c r="G511" s="24">
        <f t="shared" si="87"/>
        <v>0.02</v>
      </c>
      <c r="H511" s="720"/>
      <c r="I511" s="24">
        <f t="shared" si="88"/>
        <v>0.2</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0.06</v>
      </c>
      <c r="F512" s="720"/>
      <c r="G512" s="24">
        <f t="shared" si="87"/>
        <v>0.02</v>
      </c>
      <c r="H512" s="720"/>
      <c r="I512" s="24">
        <f t="shared" si="88"/>
        <v>0.2</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0.06</v>
      </c>
      <c r="F513" s="720"/>
      <c r="G513" s="24">
        <f t="shared" si="87"/>
        <v>0.02</v>
      </c>
      <c r="H513" s="720"/>
      <c r="I513" s="24">
        <f t="shared" si="88"/>
        <v>0.2</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0.06</v>
      </c>
      <c r="F514" s="720"/>
      <c r="G514" s="24">
        <f t="shared" si="87"/>
        <v>0.02</v>
      </c>
      <c r="H514" s="720"/>
      <c r="I514" s="24">
        <f t="shared" si="88"/>
        <v>0.2</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0.06</v>
      </c>
      <c r="F515" s="720"/>
      <c r="G515" s="24">
        <f t="shared" si="87"/>
        <v>0.02</v>
      </c>
      <c r="H515" s="720"/>
      <c r="I515" s="24">
        <f t="shared" si="88"/>
        <v>0.2</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0.06</v>
      </c>
      <c r="F516" s="720"/>
      <c r="G516" s="24">
        <f t="shared" si="87"/>
        <v>0.02</v>
      </c>
      <c r="H516" s="720"/>
      <c r="I516" s="24">
        <f t="shared" si="88"/>
        <v>0.2</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0.06</v>
      </c>
      <c r="F517" s="720"/>
      <c r="G517" s="24">
        <f t="shared" si="87"/>
        <v>0.02</v>
      </c>
      <c r="H517" s="720"/>
      <c r="I517" s="24">
        <f t="shared" si="88"/>
        <v>0.2</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0.06</v>
      </c>
      <c r="F518" s="720"/>
      <c r="G518" s="24">
        <f t="shared" si="87"/>
        <v>0.02</v>
      </c>
      <c r="H518" s="720"/>
      <c r="I518" s="24">
        <f t="shared" si="88"/>
        <v>0.2</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0.06</v>
      </c>
      <c r="F519" s="720"/>
      <c r="G519" s="24">
        <f t="shared" si="87"/>
        <v>0.02</v>
      </c>
      <c r="H519" s="720"/>
      <c r="I519" s="24">
        <f t="shared" si="88"/>
        <v>0.2</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0.06</v>
      </c>
      <c r="F520" s="720"/>
      <c r="G520" s="24">
        <f t="shared" si="87"/>
        <v>0.02</v>
      </c>
      <c r="H520" s="720"/>
      <c r="I520" s="24">
        <f t="shared" si="88"/>
        <v>0.2</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0.06</v>
      </c>
      <c r="F521" s="720"/>
      <c r="G521" s="24">
        <f t="shared" si="87"/>
        <v>0.02</v>
      </c>
      <c r="H521" s="720"/>
      <c r="I521" s="24">
        <f t="shared" si="88"/>
        <v>0.2</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0.06</v>
      </c>
      <c r="F522" s="720"/>
      <c r="G522" s="24">
        <f t="shared" si="87"/>
        <v>0.02</v>
      </c>
      <c r="H522" s="720"/>
      <c r="I522" s="24">
        <f t="shared" si="88"/>
        <v>0.2</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0.06</v>
      </c>
      <c r="F523" s="720"/>
      <c r="G523" s="24">
        <f t="shared" si="87"/>
        <v>0.02</v>
      </c>
      <c r="H523" s="720"/>
      <c r="I523" s="24">
        <f t="shared" si="88"/>
        <v>0.2</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0.06</v>
      </c>
      <c r="F524" s="720"/>
      <c r="G524" s="24">
        <f t="shared" si="87"/>
        <v>0.02</v>
      </c>
      <c r="H524" s="720"/>
      <c r="I524" s="24">
        <f t="shared" si="88"/>
        <v>0.2</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62049</v>
      </c>
      <c r="C2" s="2" t="s">
        <v>133</v>
      </c>
      <c r="D2" s="243"/>
      <c r="E2" s="243"/>
      <c r="F2" s="243"/>
      <c r="G2" s="243"/>
    </row>
    <row r="3" spans="1:7" s="244" customFormat="1" ht="18" customHeight="1" thickBot="1">
      <c r="A3" s="247" t="s">
        <v>85</v>
      </c>
      <c r="B3" s="248">
        <f ca="1">ROUND(B2*10000/'数据-汇总表'!E3,0)</f>
        <v>8440</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105</v>
      </c>
      <c r="F9" s="265"/>
      <c r="G9" s="270"/>
    </row>
    <row r="10" spans="1:7" s="258" customFormat="1" ht="13.5" customHeight="1">
      <c r="A10" s="950" t="s">
        <v>801</v>
      </c>
      <c r="B10" s="268" t="s">
        <v>94</v>
      </c>
      <c r="C10" s="269">
        <f>ROUND(D10*E10/10000,0)</f>
        <v>772</v>
      </c>
      <c r="D10" s="1032">
        <f>'数据-汇总表'!E6</f>
        <v>73514.720000000016</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1470</v>
      </c>
      <c r="D19" s="1036">
        <f>'数据-汇总表'!E3</f>
        <v>73514.720000000016</v>
      </c>
      <c r="E19" s="255">
        <f>'数据-取费表'!B31</f>
        <v>200</v>
      </c>
      <c r="F19" s="275"/>
      <c r="G19" s="1" t="s">
        <v>1070</v>
      </c>
    </row>
    <row r="20" spans="1:7" s="258" customFormat="1" ht="13.5" customHeight="1">
      <c r="A20" s="948" t="s">
        <v>1053</v>
      </c>
      <c r="B20" s="254" t="s">
        <v>104</v>
      </c>
      <c r="C20" s="276">
        <f>ROUND((C5+C19)*F20,0)</f>
        <v>442</v>
      </c>
      <c r="D20" s="276"/>
      <c r="E20" s="276"/>
      <c r="F20" s="277">
        <f>'数据-取费表'!B37</f>
        <v>0.02</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2168</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143</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6.4">
      <c r="A27" s="948" t="s">
        <v>787</v>
      </c>
      <c r="B27" s="288" t="s">
        <v>112</v>
      </c>
      <c r="C27" s="289">
        <f>C28</f>
        <v>2928</v>
      </c>
      <c r="D27" s="279">
        <f>C29</f>
        <v>3.8999999999999998E-3</v>
      </c>
      <c r="E27" s="280" t="s">
        <v>126</v>
      </c>
      <c r="F27" s="290">
        <f>'数据-取费表'!Q16</f>
        <v>0.13</v>
      </c>
      <c r="G27" s="291" t="s">
        <v>1065</v>
      </c>
    </row>
    <row r="28" spans="1:7" s="258" customFormat="1" ht="13.5" customHeight="1">
      <c r="A28" s="951" t="s">
        <v>794</v>
      </c>
      <c r="B28" s="292" t="s">
        <v>1058</v>
      </c>
      <c r="C28" s="293">
        <f>ROUND((C5+C19+C20)*F27*'数据-取费表'!B21/'数据-取费表'!B20,0)</f>
        <v>2928</v>
      </c>
      <c r="D28" s="279"/>
      <c r="E28" s="280"/>
      <c r="F28" s="290"/>
      <c r="G28" s="291"/>
    </row>
    <row r="29" spans="1:7" s="258" customFormat="1" ht="13.5" customHeight="1">
      <c r="A29" s="951" t="s">
        <v>792</v>
      </c>
      <c r="B29" s="292" t="s">
        <v>1059</v>
      </c>
      <c r="C29" s="282">
        <f>ROUND(C21*F27*'数据-取费表'!B21/'数据-取费表'!B20,4)</f>
        <v>3.8999999999999998E-3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30304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26766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24207</v>
      </c>
      <c r="D34" s="261"/>
      <c r="E34" s="264"/>
      <c r="F34" s="301">
        <f>IF('数据-取费表'!B24=0,1,'数据-取费表'!N16)</f>
        <v>1</v>
      </c>
      <c r="G34" s="263" t="s">
        <v>116</v>
      </c>
    </row>
    <row r="35" spans="1:7" ht="13.5" customHeight="1">
      <c r="A35" s="951" t="s">
        <v>796</v>
      </c>
      <c r="B35" s="259" t="s">
        <v>60</v>
      </c>
      <c r="C35" s="264">
        <f>ROUND(C34*F35,0)</f>
        <v>726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1470</v>
      </c>
      <c r="D37" s="261">
        <f>'数据-汇总表'!E3</f>
        <v>73514.720000000016</v>
      </c>
      <c r="E37" s="293">
        <f>'数据-取费表'!B35</f>
        <v>200</v>
      </c>
      <c r="F37" s="303"/>
      <c r="G37" s="305" t="s">
        <v>119</v>
      </c>
    </row>
    <row r="38" spans="1:7" ht="13.5" customHeight="1">
      <c r="A38" s="951" t="s">
        <v>799</v>
      </c>
      <c r="B38" s="259" t="s">
        <v>63</v>
      </c>
      <c r="C38" s="264">
        <f>ROUND(C34*F38,0)</f>
        <v>363</v>
      </c>
      <c r="D38" s="264"/>
      <c r="E38" s="264"/>
      <c r="F38" s="303">
        <f>'数据-取费表'!B36</f>
        <v>1.4999999999999999E-2</v>
      </c>
      <c r="G38" s="263" t="s">
        <v>117</v>
      </c>
    </row>
    <row r="39" spans="1:7" s="258" customFormat="1" ht="13.5" customHeight="1">
      <c r="A39" s="948" t="s">
        <v>783</v>
      </c>
      <c r="B39" s="254" t="s">
        <v>104</v>
      </c>
      <c r="C39" s="276">
        <f>ROUND(C33*F20,0)</f>
        <v>535</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1296</v>
      </c>
      <c r="D41" s="279">
        <f ca="1">C44</f>
        <v>1.4E-3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1271</v>
      </c>
      <c r="D42" s="282"/>
      <c r="E42" s="282"/>
      <c r="F42" s="283"/>
      <c r="G42" s="3201" t="s">
        <v>121</v>
      </c>
    </row>
    <row r="43" spans="1:7" ht="13.5" customHeight="1">
      <c r="A43" s="951" t="s">
        <v>792</v>
      </c>
      <c r="B43" s="259" t="s">
        <v>1060</v>
      </c>
      <c r="C43" s="282">
        <f ca="1">ROUND(IF('数据-取费表'!B22&lt;=1,C39*F22*'数据-取费表'!B21/2,C39*(POWER((1+F22),'数据-取费表'!B21/2)-1)),0)</f>
        <v>25</v>
      </c>
      <c r="D43" s="282"/>
      <c r="E43" s="282"/>
      <c r="F43" s="283"/>
      <c r="G43" s="3202"/>
    </row>
    <row r="44" spans="1:7" ht="13.5" customHeight="1">
      <c r="A44" s="951" t="s">
        <v>793</v>
      </c>
      <c r="B44" s="259" t="s">
        <v>1062</v>
      </c>
      <c r="C44" s="282">
        <f ca="1">ROUND(IF('数据-取费表'!B22&lt;=1,C40*F22*'数据-取费表'!B21/2,C40*(POWER((1+F22),'数据-取费表'!B21/2)-1)),4)</f>
        <v>1.4E-3</v>
      </c>
      <c r="D44" s="282"/>
      <c r="E44" s="282"/>
      <c r="F44" s="283"/>
      <c r="G44" s="3203"/>
    </row>
    <row r="45" spans="1:7" s="258" customFormat="1" ht="13.5" customHeight="1">
      <c r="A45" s="948" t="s">
        <v>786</v>
      </c>
      <c r="B45" s="288" t="s">
        <v>112</v>
      </c>
      <c r="C45" s="289">
        <f>C46</f>
        <v>3549</v>
      </c>
      <c r="D45" s="279">
        <f>C47</f>
        <v>3.8999999999999998E-3</v>
      </c>
      <c r="E45" s="280" t="s">
        <v>129</v>
      </c>
      <c r="F45" s="290"/>
      <c r="G45" s="291" t="s">
        <v>1068</v>
      </c>
    </row>
    <row r="46" spans="1:7" s="258" customFormat="1" ht="13.5" customHeight="1">
      <c r="A46" s="951" t="s">
        <v>794</v>
      </c>
      <c r="B46" s="292" t="s">
        <v>1061</v>
      </c>
      <c r="C46" s="293">
        <f>ROUND((C33+C39)*F27,0)</f>
        <v>3549</v>
      </c>
      <c r="D46" s="307"/>
      <c r="E46" s="280"/>
      <c r="F46" s="290"/>
      <c r="G46" s="291"/>
    </row>
    <row r="47" spans="1:7" s="258" customFormat="1" ht="13.5" customHeight="1">
      <c r="A47" s="951" t="s">
        <v>792</v>
      </c>
      <c r="B47" s="292" t="s">
        <v>1063</v>
      </c>
      <c r="C47" s="282">
        <f>ROUND(C40*F27,4)</f>
        <v>3.8999999999999998E-3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35272</v>
      </c>
      <c r="D49" s="276"/>
      <c r="E49" s="276"/>
      <c r="F49" s="308"/>
      <c r="G49" s="278" t="s">
        <v>1069</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31745</v>
      </c>
      <c r="D51" s="276"/>
      <c r="E51" s="276"/>
      <c r="F51" s="308"/>
      <c r="G51" s="278" t="s">
        <v>64</v>
      </c>
    </row>
    <row r="52" spans="1:7" s="252" customFormat="1" ht="16.8" thickBot="1">
      <c r="A52" s="309" t="s">
        <v>65</v>
      </c>
      <c r="B52" s="310"/>
      <c r="C52" s="311">
        <f ca="1">C31+C51</f>
        <v>62049</v>
      </c>
      <c r="D52" s="310"/>
      <c r="E52" s="310"/>
      <c r="F52" s="310"/>
      <c r="G52" s="312"/>
    </row>
    <row r="55" spans="1:7" ht="15">
      <c r="B55" s="314" t="s">
        <v>66</v>
      </c>
      <c r="C55" s="315"/>
    </row>
    <row r="56" spans="1:7">
      <c r="B56" s="317" t="s">
        <v>67</v>
      </c>
      <c r="C56" s="318">
        <f ca="1">ROUND(C51/C52,3)</f>
        <v>0.51200000000000001</v>
      </c>
    </row>
    <row r="57" spans="1:7">
      <c r="B57" s="317" t="s">
        <v>68</v>
      </c>
      <c r="C57" s="319">
        <f ca="1">1-C56</f>
        <v>0.48799999999999999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3" t="s">
        <v>867</v>
      </c>
      <c r="B1" s="3343"/>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1295</v>
      </c>
      <c r="C1" s="1694">
        <f>项目基本情况!D3</f>
        <v>43980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H8" sqref="H8"/>
    </sheetView>
  </sheetViews>
  <sheetFormatPr defaultRowHeight="14.4"/>
  <sheetData>
    <row r="1" spans="1:8">
      <c r="A1" s="2969" t="s">
        <v>3176</v>
      </c>
    </row>
    <row r="2" spans="1:8">
      <c r="A2" s="2969" t="s">
        <v>3177</v>
      </c>
      <c r="B2" s="2969" t="s">
        <v>3178</v>
      </c>
      <c r="C2" s="2969" t="s">
        <v>3179</v>
      </c>
    </row>
    <row r="3" spans="1:8">
      <c r="A3" s="2969" t="s">
        <v>3180</v>
      </c>
      <c r="B3" s="2969" t="s">
        <v>3185</v>
      </c>
      <c r="D3" s="2969" t="s">
        <v>3190</v>
      </c>
      <c r="E3" s="2969" t="s">
        <v>3191</v>
      </c>
      <c r="F3" s="2969" t="s">
        <v>3192</v>
      </c>
    </row>
    <row r="4" spans="1:8">
      <c r="A4" s="2969" t="s">
        <v>3181</v>
      </c>
      <c r="B4" s="2969" t="s">
        <v>3182</v>
      </c>
      <c r="C4" s="2969" t="s">
        <v>3183</v>
      </c>
    </row>
    <row r="6" spans="1:8">
      <c r="A6" s="2969" t="s">
        <v>3184</v>
      </c>
    </row>
    <row r="7" spans="1:8">
      <c r="A7" s="2969" t="s">
        <v>3180</v>
      </c>
      <c r="B7" s="2969" t="s">
        <v>3186</v>
      </c>
      <c r="C7" s="2969" t="s">
        <v>3187</v>
      </c>
      <c r="D7" s="2969" t="s">
        <v>3188</v>
      </c>
      <c r="E7" s="2969" t="s">
        <v>3189</v>
      </c>
      <c r="F7" s="2969" t="s">
        <v>3191</v>
      </c>
      <c r="G7" s="2969" t="s">
        <v>3192</v>
      </c>
      <c r="H7" s="2969" t="s">
        <v>3193</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workbookViewId="0">
      <selection activeCell="P3" sqref="P3"/>
    </sheetView>
  </sheetViews>
  <sheetFormatPr defaultRowHeight="14.4"/>
  <cols>
    <col min="9" max="9" width="7.33203125" customWidth="1"/>
    <col min="10" max="10" width="14" customWidth="1"/>
    <col min="11" max="11" width="9.88671875" customWidth="1"/>
    <col min="12" max="12" width="13.6640625" customWidth="1"/>
    <col min="13" max="13" width="12.77734375" customWidth="1"/>
  </cols>
  <sheetData>
    <row r="1" spans="1:14" ht="15" thickBot="1">
      <c r="A1" s="2980" t="s">
        <v>3201</v>
      </c>
      <c r="B1" s="2980"/>
      <c r="C1" s="2980" t="s">
        <v>3202</v>
      </c>
      <c r="D1" s="2980" t="s">
        <v>3203</v>
      </c>
      <c r="E1" s="2980" t="s">
        <v>3204</v>
      </c>
      <c r="F1" s="2980" t="s">
        <v>3205</v>
      </c>
      <c r="G1" s="2980" t="s">
        <v>3206</v>
      </c>
      <c r="H1" s="2980" t="s">
        <v>3207</v>
      </c>
      <c r="I1" s="2980" t="s">
        <v>3208</v>
      </c>
      <c r="J1" s="2980" t="s">
        <v>3209</v>
      </c>
      <c r="K1" s="2980" t="s">
        <v>3210</v>
      </c>
      <c r="L1" s="2980" t="s">
        <v>3211</v>
      </c>
      <c r="M1" s="2980" t="s">
        <v>3212</v>
      </c>
      <c r="N1" s="2980" t="s">
        <v>3213</v>
      </c>
    </row>
    <row r="2" spans="1:14" ht="15" thickBot="1">
      <c r="A2" s="2981" t="s">
        <v>3214</v>
      </c>
      <c r="B2" s="2982">
        <v>4</v>
      </c>
      <c r="C2" s="2983" t="s">
        <v>3215</v>
      </c>
      <c r="D2" s="2983" t="s">
        <v>3216</v>
      </c>
      <c r="E2" s="2983" t="s">
        <v>3217</v>
      </c>
      <c r="F2" s="2983" t="s">
        <v>3218</v>
      </c>
      <c r="G2" s="2984">
        <v>101642</v>
      </c>
      <c r="H2" s="2984">
        <v>26426.92</v>
      </c>
      <c r="I2" s="2984">
        <v>0.26</v>
      </c>
      <c r="J2" s="2985">
        <v>43875</v>
      </c>
      <c r="K2" s="2981" t="s">
        <v>3219</v>
      </c>
      <c r="L2" s="2984">
        <v>24440</v>
      </c>
      <c r="M2" s="2984">
        <v>9248.14</v>
      </c>
      <c r="N2" s="2984">
        <v>0</v>
      </c>
    </row>
    <row r="3" spans="1:14" ht="15" thickBot="1">
      <c r="A3" s="2981" t="s">
        <v>3220</v>
      </c>
      <c r="B3" s="2982">
        <v>4</v>
      </c>
      <c r="C3" s="2983" t="s">
        <v>3215</v>
      </c>
      <c r="D3" s="2983" t="s">
        <v>3216</v>
      </c>
      <c r="E3" s="2983" t="s">
        <v>3221</v>
      </c>
      <c r="F3" s="2983" t="s">
        <v>3218</v>
      </c>
      <c r="G3" s="2984">
        <v>14800</v>
      </c>
      <c r="H3" s="2984">
        <v>14060</v>
      </c>
      <c r="I3" s="2984" t="s">
        <v>3222</v>
      </c>
      <c r="J3" s="2985">
        <v>43704</v>
      </c>
      <c r="K3" s="2981" t="s">
        <v>3219</v>
      </c>
      <c r="L3" s="2984">
        <v>5179</v>
      </c>
      <c r="M3" s="2984">
        <v>3683.5</v>
      </c>
      <c r="N3" s="2984">
        <v>0</v>
      </c>
    </row>
    <row r="4" spans="1:14" ht="15" thickBot="1">
      <c r="A4" s="2981" t="s">
        <v>3223</v>
      </c>
      <c r="B4" s="2982">
        <v>4</v>
      </c>
      <c r="C4" s="2983" t="s">
        <v>3215</v>
      </c>
      <c r="D4" s="2983" t="s">
        <v>3216</v>
      </c>
      <c r="E4" s="2983" t="s">
        <v>3224</v>
      </c>
      <c r="F4" s="2983" t="s">
        <v>3218</v>
      </c>
      <c r="G4" s="2984">
        <v>14600</v>
      </c>
      <c r="H4" s="2984">
        <v>3942</v>
      </c>
      <c r="I4" s="2984" t="s">
        <v>3225</v>
      </c>
      <c r="J4" s="2985">
        <v>43704</v>
      </c>
      <c r="K4" s="2981" t="s">
        <v>3219</v>
      </c>
      <c r="L4" s="2984">
        <v>4922</v>
      </c>
      <c r="M4" s="2984">
        <v>12486.04</v>
      </c>
      <c r="N4" s="2984">
        <v>0</v>
      </c>
    </row>
    <row r="5" spans="1:14" s="2996" customFormat="1" ht="15" thickBot="1">
      <c r="A5" s="2991" t="s">
        <v>3226</v>
      </c>
      <c r="B5" s="2992">
        <v>4</v>
      </c>
      <c r="C5" s="2993" t="s">
        <v>3215</v>
      </c>
      <c r="D5" s="2993" t="s">
        <v>3216</v>
      </c>
      <c r="E5" s="2993" t="s">
        <v>3227</v>
      </c>
      <c r="F5" s="2993" t="s">
        <v>3218</v>
      </c>
      <c r="G5" s="2994">
        <v>3900</v>
      </c>
      <c r="H5" s="2994">
        <v>4719</v>
      </c>
      <c r="I5" s="2994" t="s">
        <v>3228</v>
      </c>
      <c r="J5" s="2995">
        <v>43704</v>
      </c>
      <c r="K5" s="2991" t="s">
        <v>3219</v>
      </c>
      <c r="L5" s="2994">
        <v>1541</v>
      </c>
      <c r="M5" s="2994">
        <v>3265.51</v>
      </c>
      <c r="N5" s="2994">
        <v>0</v>
      </c>
    </row>
    <row r="6" spans="1:14" s="2996" customFormat="1" ht="15" thickBot="1">
      <c r="A6" s="2991" t="s">
        <v>3229</v>
      </c>
      <c r="B6" s="2992">
        <v>4</v>
      </c>
      <c r="C6" s="2993" t="s">
        <v>3215</v>
      </c>
      <c r="D6" s="2993" t="s">
        <v>3216</v>
      </c>
      <c r="E6" s="2993" t="s">
        <v>3230</v>
      </c>
      <c r="F6" s="2993" t="s">
        <v>3218</v>
      </c>
      <c r="G6" s="2994">
        <v>6500</v>
      </c>
      <c r="H6" s="2994">
        <v>10790</v>
      </c>
      <c r="I6" s="2994" t="s">
        <v>3231</v>
      </c>
      <c r="J6" s="2995">
        <v>43704</v>
      </c>
      <c r="K6" s="2991" t="s">
        <v>3219</v>
      </c>
      <c r="L6" s="2994">
        <v>2969</v>
      </c>
      <c r="M6" s="2994">
        <v>2751.61</v>
      </c>
      <c r="N6" s="2994">
        <v>0</v>
      </c>
    </row>
    <row r="7" spans="1:14" s="2996" customFormat="1" ht="15" thickBot="1">
      <c r="A7" s="2991" t="s">
        <v>3232</v>
      </c>
      <c r="B7" s="2992">
        <v>3</v>
      </c>
      <c r="C7" s="2993" t="s">
        <v>3215</v>
      </c>
      <c r="D7" s="2993" t="s">
        <v>3216</v>
      </c>
      <c r="E7" s="2993" t="s">
        <v>3233</v>
      </c>
      <c r="F7" s="2993" t="s">
        <v>3218</v>
      </c>
      <c r="G7" s="2994">
        <v>4865</v>
      </c>
      <c r="H7" s="2994">
        <v>4059.2</v>
      </c>
      <c r="I7" s="2994" t="s">
        <v>3234</v>
      </c>
      <c r="J7" s="2995">
        <v>43528</v>
      </c>
      <c r="K7" s="2991" t="s">
        <v>3235</v>
      </c>
      <c r="L7" s="2994">
        <v>1300</v>
      </c>
      <c r="M7" s="2994">
        <v>3202.59</v>
      </c>
      <c r="N7" s="2994">
        <v>0</v>
      </c>
    </row>
    <row r="8" spans="1:14" ht="15" thickBot="1">
      <c r="A8" s="2981" t="s">
        <v>3236</v>
      </c>
      <c r="B8" s="2982">
        <v>4</v>
      </c>
      <c r="C8" s="2983" t="s">
        <v>3215</v>
      </c>
      <c r="D8" s="2983" t="s">
        <v>3216</v>
      </c>
      <c r="E8" s="2983" t="s">
        <v>3237</v>
      </c>
      <c r="F8" s="2983" t="s">
        <v>3218</v>
      </c>
      <c r="G8" s="2984">
        <v>6034</v>
      </c>
      <c r="H8" s="2984">
        <v>6034</v>
      </c>
      <c r="I8" s="2984" t="s">
        <v>3238</v>
      </c>
      <c r="J8" s="2985">
        <v>43458</v>
      </c>
      <c r="K8" s="2981" t="s">
        <v>3239</v>
      </c>
      <c r="L8" s="2984">
        <v>2051</v>
      </c>
      <c r="M8" s="2984">
        <v>3399.07</v>
      </c>
      <c r="N8" s="2984">
        <v>0</v>
      </c>
    </row>
    <row r="9" spans="1:14" ht="15" thickBot="1">
      <c r="A9" s="2981" t="s">
        <v>3240</v>
      </c>
      <c r="B9" s="2982">
        <v>2</v>
      </c>
      <c r="C9" s="2983" t="s">
        <v>3215</v>
      </c>
      <c r="D9" s="2983" t="s">
        <v>3216</v>
      </c>
      <c r="E9" s="2983" t="s">
        <v>3241</v>
      </c>
      <c r="F9" s="2983" t="s">
        <v>3218</v>
      </c>
      <c r="G9" s="2984">
        <v>15859</v>
      </c>
      <c r="H9" s="2984">
        <v>30132.1</v>
      </c>
      <c r="I9" s="2984" t="s">
        <v>3369</v>
      </c>
      <c r="J9" s="2985">
        <v>43458</v>
      </c>
      <c r="K9" s="2981" t="s">
        <v>3243</v>
      </c>
      <c r="L9" s="2984">
        <v>1455</v>
      </c>
      <c r="M9" s="2984">
        <v>482.87</v>
      </c>
      <c r="N9" s="2984">
        <v>0</v>
      </c>
    </row>
    <row r="10" spans="1:14" ht="15" thickBot="1">
      <c r="A10" s="2981" t="s">
        <v>3244</v>
      </c>
      <c r="B10" s="2982">
        <v>5</v>
      </c>
      <c r="C10" s="2983" t="s">
        <v>3215</v>
      </c>
      <c r="D10" s="2983" t="s">
        <v>3216</v>
      </c>
      <c r="E10" s="2983" t="s">
        <v>3245</v>
      </c>
      <c r="F10" s="2983" t="s">
        <v>3218</v>
      </c>
      <c r="G10" s="2984">
        <v>1887.6</v>
      </c>
      <c r="H10" s="2984">
        <v>4530.24</v>
      </c>
      <c r="I10" s="2984" t="s">
        <v>3365</v>
      </c>
      <c r="J10" s="2985">
        <v>43371</v>
      </c>
      <c r="K10" s="2981" t="s">
        <v>3247</v>
      </c>
      <c r="L10" s="2984">
        <v>1880</v>
      </c>
      <c r="M10" s="2984">
        <v>4149.8900000000003</v>
      </c>
      <c r="N10" s="2984">
        <v>0</v>
      </c>
    </row>
    <row r="11" spans="1:14" ht="15" thickBot="1">
      <c r="A11" s="2981" t="s">
        <v>3248</v>
      </c>
      <c r="B11" s="2982">
        <v>3</v>
      </c>
      <c r="C11" s="2983" t="s">
        <v>3215</v>
      </c>
      <c r="D11" s="2983" t="s">
        <v>3216</v>
      </c>
      <c r="E11" s="2983" t="s">
        <v>3249</v>
      </c>
      <c r="F11" s="2983" t="s">
        <v>3218</v>
      </c>
      <c r="G11" s="2984">
        <v>16530</v>
      </c>
      <c r="H11" s="2984">
        <v>45457.5</v>
      </c>
      <c r="I11" s="2984" t="s">
        <v>3366</v>
      </c>
      <c r="J11" s="2985">
        <v>43143</v>
      </c>
      <c r="K11" s="2981" t="s">
        <v>3250</v>
      </c>
      <c r="L11" s="2984">
        <v>6090</v>
      </c>
      <c r="M11" s="2984">
        <v>1339.71</v>
      </c>
      <c r="N11" s="2984">
        <v>84.55</v>
      </c>
    </row>
    <row r="12" spans="1:14" ht="15" thickBot="1">
      <c r="A12" s="2981" t="s">
        <v>3251</v>
      </c>
      <c r="B12" s="2982">
        <v>4</v>
      </c>
      <c r="C12" s="2983" t="s">
        <v>3215</v>
      </c>
      <c r="D12" s="2983" t="s">
        <v>3216</v>
      </c>
      <c r="E12" s="2983" t="s">
        <v>3252</v>
      </c>
      <c r="F12" s="2983" t="s">
        <v>3218</v>
      </c>
      <c r="G12" s="2984">
        <v>19615</v>
      </c>
      <c r="H12" s="2984">
        <v>68652.5</v>
      </c>
      <c r="I12" s="2984" t="s">
        <v>3367</v>
      </c>
      <c r="J12" s="2985">
        <v>43143</v>
      </c>
      <c r="K12" s="2981" t="s">
        <v>3253</v>
      </c>
      <c r="L12" s="2984">
        <v>7050</v>
      </c>
      <c r="M12" s="2984">
        <v>1026.9100000000001</v>
      </c>
      <c r="N12" s="2984">
        <v>3.68</v>
      </c>
    </row>
    <row r="13" spans="1:14" ht="15" thickBot="1">
      <c r="A13" s="2981" t="s">
        <v>3254</v>
      </c>
      <c r="B13" s="2982">
        <v>4</v>
      </c>
      <c r="C13" s="2983" t="s">
        <v>3215</v>
      </c>
      <c r="D13" s="2983" t="s">
        <v>3216</v>
      </c>
      <c r="E13" s="2983" t="s">
        <v>3255</v>
      </c>
      <c r="F13" s="2983" t="s">
        <v>3218</v>
      </c>
      <c r="G13" s="2984">
        <v>13203</v>
      </c>
      <c r="H13" s="2984">
        <v>8581.9500000000007</v>
      </c>
      <c r="I13" s="2984" t="s">
        <v>3368</v>
      </c>
      <c r="J13" s="2985">
        <v>43143</v>
      </c>
      <c r="K13" s="2981" t="s">
        <v>3239</v>
      </c>
      <c r="L13" s="2984">
        <v>2900</v>
      </c>
      <c r="M13" s="2984">
        <v>3379.19</v>
      </c>
      <c r="N13" s="2984">
        <v>0</v>
      </c>
    </row>
    <row r="14" spans="1:14" ht="15" thickBot="1">
      <c r="A14" s="2981" t="s">
        <v>3257</v>
      </c>
      <c r="B14" s="2982">
        <v>5</v>
      </c>
      <c r="C14" s="2983" t="s">
        <v>3215</v>
      </c>
      <c r="D14" s="2983" t="s">
        <v>3216</v>
      </c>
      <c r="E14" s="2983" t="s">
        <v>3257</v>
      </c>
      <c r="F14" s="2983" t="s">
        <v>3218</v>
      </c>
      <c r="G14" s="2984">
        <v>5507</v>
      </c>
      <c r="H14" s="2984">
        <v>11124.14</v>
      </c>
      <c r="I14" s="2984" t="s">
        <v>3370</v>
      </c>
      <c r="J14" s="2985">
        <v>43143</v>
      </c>
      <c r="K14" s="2981" t="s">
        <v>3258</v>
      </c>
      <c r="L14" s="2984">
        <v>4550</v>
      </c>
      <c r="M14" s="2984">
        <v>4090.19</v>
      </c>
      <c r="N14" s="2984">
        <v>1.1100000000000001</v>
      </c>
    </row>
    <row r="15" spans="1:14" ht="15" thickBot="1">
      <c r="A15" s="2981" t="s">
        <v>3259</v>
      </c>
      <c r="B15" s="2982">
        <v>4</v>
      </c>
      <c r="C15" s="2983" t="s">
        <v>3215</v>
      </c>
      <c r="D15" s="2983" t="s">
        <v>3216</v>
      </c>
      <c r="E15" s="2983" t="s">
        <v>3260</v>
      </c>
      <c r="F15" s="2983" t="s">
        <v>3218</v>
      </c>
      <c r="G15" s="2984">
        <v>12497</v>
      </c>
      <c r="H15" s="2984">
        <v>31242.5</v>
      </c>
      <c r="I15" s="2984" t="s">
        <v>3371</v>
      </c>
      <c r="J15" s="2985">
        <v>43143</v>
      </c>
      <c r="K15" s="2983" t="s">
        <v>3261</v>
      </c>
      <c r="L15" s="2984">
        <v>10000</v>
      </c>
      <c r="M15" s="2984">
        <v>3200.76</v>
      </c>
      <c r="N15" s="2984">
        <v>58.73</v>
      </c>
    </row>
    <row r="16" spans="1:14" ht="15" thickBot="1">
      <c r="A16" s="2981" t="s">
        <v>3262</v>
      </c>
      <c r="B16" s="2982">
        <v>4</v>
      </c>
      <c r="C16" s="2983" t="s">
        <v>3215</v>
      </c>
      <c r="D16" s="2983" t="s">
        <v>3216</v>
      </c>
      <c r="E16" s="2983" t="s">
        <v>3263</v>
      </c>
      <c r="F16" s="2983" t="s">
        <v>3218</v>
      </c>
      <c r="G16" s="2984">
        <v>49739</v>
      </c>
      <c r="H16" s="2984">
        <v>29843.4</v>
      </c>
      <c r="I16" s="2984" t="s">
        <v>3368</v>
      </c>
      <c r="J16" s="2985">
        <v>43076</v>
      </c>
      <c r="K16" s="2981" t="s">
        <v>3264</v>
      </c>
      <c r="L16" s="2984">
        <v>9750</v>
      </c>
      <c r="M16" s="2984">
        <v>3267.05</v>
      </c>
      <c r="N16" s="2984">
        <v>0</v>
      </c>
    </row>
    <row r="17" spans="1:14" ht="15" thickBot="1">
      <c r="A17" s="2981" t="s">
        <v>3265</v>
      </c>
      <c r="B17" s="2982">
        <v>4</v>
      </c>
      <c r="C17" s="2983" t="s">
        <v>3215</v>
      </c>
      <c r="D17" s="2983" t="s">
        <v>3216</v>
      </c>
      <c r="E17" s="2983" t="s">
        <v>3266</v>
      </c>
      <c r="F17" s="2983" t="s">
        <v>3218</v>
      </c>
      <c r="G17" s="2984">
        <v>17980</v>
      </c>
      <c r="H17" s="2984">
        <v>14384</v>
      </c>
      <c r="I17" s="2984" t="s">
        <v>3256</v>
      </c>
      <c r="J17" s="2985">
        <v>43076</v>
      </c>
      <c r="K17" s="2981" t="s">
        <v>3264</v>
      </c>
      <c r="L17" s="2984">
        <v>4060.8</v>
      </c>
      <c r="M17" s="2984">
        <v>2823.13</v>
      </c>
      <c r="N17" s="2984">
        <v>0</v>
      </c>
    </row>
    <row r="18" spans="1:14" ht="15" thickBot="1">
      <c r="A18" s="2981" t="s">
        <v>3267</v>
      </c>
      <c r="B18" s="2982">
        <v>4</v>
      </c>
      <c r="C18" s="2983" t="s">
        <v>3215</v>
      </c>
      <c r="D18" s="2983" t="s">
        <v>3216</v>
      </c>
      <c r="E18" s="2983" t="s">
        <v>3267</v>
      </c>
      <c r="F18" s="2983" t="s">
        <v>3218</v>
      </c>
      <c r="G18" s="2984">
        <v>1702</v>
      </c>
      <c r="H18" s="2984">
        <v>680.8</v>
      </c>
      <c r="I18" s="2984" t="s">
        <v>3256</v>
      </c>
      <c r="J18" s="2985">
        <v>42986</v>
      </c>
      <c r="K18" s="2981" t="s">
        <v>3268</v>
      </c>
      <c r="L18" s="2984">
        <v>780</v>
      </c>
      <c r="M18" s="2984">
        <v>11457.11</v>
      </c>
      <c r="N18" s="2984">
        <v>0</v>
      </c>
    </row>
    <row r="19" spans="1:14" ht="15" thickBot="1">
      <c r="A19" s="2981" t="s">
        <v>3269</v>
      </c>
      <c r="B19" s="2982">
        <v>5</v>
      </c>
      <c r="C19" s="2983" t="s">
        <v>3215</v>
      </c>
      <c r="D19" s="2983" t="s">
        <v>3216</v>
      </c>
      <c r="E19" s="2983" t="s">
        <v>3270</v>
      </c>
      <c r="F19" s="2983" t="s">
        <v>3218</v>
      </c>
      <c r="G19" s="2984">
        <v>8018</v>
      </c>
      <c r="H19" s="2984">
        <v>9621.6</v>
      </c>
      <c r="I19" s="2984" t="s">
        <v>3246</v>
      </c>
      <c r="J19" s="2985">
        <v>42986</v>
      </c>
      <c r="K19" s="2981" t="s">
        <v>3271</v>
      </c>
      <c r="L19" s="2984">
        <v>6770</v>
      </c>
      <c r="M19" s="2984">
        <v>7036.25</v>
      </c>
      <c r="N19" s="2984">
        <v>66.34</v>
      </c>
    </row>
    <row r="20" spans="1:14" ht="15" thickBot="1">
      <c r="A20" s="2981" t="s">
        <v>3272</v>
      </c>
      <c r="B20" s="2982">
        <v>3</v>
      </c>
      <c r="C20" s="2983" t="s">
        <v>3215</v>
      </c>
      <c r="D20" s="2983" t="s">
        <v>3216</v>
      </c>
      <c r="E20" s="2983" t="s">
        <v>3273</v>
      </c>
      <c r="F20" s="2983" t="s">
        <v>3218</v>
      </c>
      <c r="G20" s="2984">
        <v>8657</v>
      </c>
      <c r="H20" s="2984">
        <v>6925.6</v>
      </c>
      <c r="I20" s="2984" t="s">
        <v>3256</v>
      </c>
      <c r="J20" s="2985">
        <v>42986</v>
      </c>
      <c r="K20" s="2981" t="s">
        <v>3274</v>
      </c>
      <c r="L20" s="2984">
        <v>1600</v>
      </c>
      <c r="M20" s="2984">
        <v>2310.2600000000002</v>
      </c>
      <c r="N20" s="2984">
        <v>0</v>
      </c>
    </row>
    <row r="21" spans="1:14" ht="15" thickBot="1">
      <c r="A21" s="2981" t="s">
        <v>3275</v>
      </c>
      <c r="B21" s="2982">
        <v>2</v>
      </c>
      <c r="C21" s="2983" t="s">
        <v>3215</v>
      </c>
      <c r="D21" s="2983" t="s">
        <v>3216</v>
      </c>
      <c r="E21" s="2983" t="s">
        <v>3276</v>
      </c>
      <c r="F21" s="2983" t="s">
        <v>3218</v>
      </c>
      <c r="G21" s="2984">
        <v>1444</v>
      </c>
      <c r="H21" s="2984">
        <v>1660.6</v>
      </c>
      <c r="I21" s="2984" t="s">
        <v>3246</v>
      </c>
      <c r="J21" s="2985">
        <v>42986</v>
      </c>
      <c r="K21" s="2981" t="s">
        <v>3277</v>
      </c>
      <c r="L21" s="2984">
        <v>330</v>
      </c>
      <c r="M21" s="2984">
        <v>1987.23</v>
      </c>
      <c r="N21" s="2984">
        <v>0</v>
      </c>
    </row>
    <row r="22" spans="1:14" ht="15" thickBot="1">
      <c r="A22" s="2981" t="s">
        <v>3278</v>
      </c>
      <c r="B22" s="2982">
        <v>3</v>
      </c>
      <c r="C22" s="2983" t="s">
        <v>3215</v>
      </c>
      <c r="D22" s="2983" t="s">
        <v>3216</v>
      </c>
      <c r="E22" s="2983" t="s">
        <v>3278</v>
      </c>
      <c r="F22" s="2983" t="s">
        <v>3218</v>
      </c>
      <c r="G22" s="2984">
        <v>4978</v>
      </c>
      <c r="H22" s="2984">
        <v>995.6</v>
      </c>
      <c r="I22" s="2984" t="s">
        <v>3256</v>
      </c>
      <c r="J22" s="2985">
        <v>42986</v>
      </c>
      <c r="K22" s="2981" t="s">
        <v>3279</v>
      </c>
      <c r="L22" s="2984">
        <v>1200</v>
      </c>
      <c r="M22" s="2984">
        <v>12053.03</v>
      </c>
      <c r="N22" s="2984">
        <v>0</v>
      </c>
    </row>
    <row r="23" spans="1:14" ht="15" thickBot="1">
      <c r="A23" s="2981" t="s">
        <v>3280</v>
      </c>
      <c r="B23" s="2982">
        <v>3</v>
      </c>
      <c r="C23" s="2983" t="s">
        <v>3215</v>
      </c>
      <c r="D23" s="2983" t="s">
        <v>3216</v>
      </c>
      <c r="E23" s="2983" t="s">
        <v>3281</v>
      </c>
      <c r="F23" s="2983" t="s">
        <v>3218</v>
      </c>
      <c r="G23" s="2984">
        <v>7913</v>
      </c>
      <c r="H23" s="2984">
        <v>8308.65</v>
      </c>
      <c r="I23" s="2984" t="s">
        <v>3246</v>
      </c>
      <c r="J23" s="2985">
        <v>42986</v>
      </c>
      <c r="K23" s="2981" t="s">
        <v>3282</v>
      </c>
      <c r="L23" s="2984">
        <v>1500</v>
      </c>
      <c r="M23" s="2984">
        <v>1805.34</v>
      </c>
      <c r="N23" s="2984">
        <v>0</v>
      </c>
    </row>
    <row r="24" spans="1:14" ht="15" thickBot="1">
      <c r="A24" s="2981" t="s">
        <v>3283</v>
      </c>
      <c r="B24" s="2982">
        <v>5</v>
      </c>
      <c r="C24" s="2983" t="s">
        <v>3215</v>
      </c>
      <c r="D24" s="2983" t="s">
        <v>3216</v>
      </c>
      <c r="E24" s="2983" t="s">
        <v>3284</v>
      </c>
      <c r="F24" s="2983" t="s">
        <v>3218</v>
      </c>
      <c r="G24" s="2984">
        <v>57472</v>
      </c>
      <c r="H24" s="2984">
        <v>43104</v>
      </c>
      <c r="I24" s="2984" t="s">
        <v>3256</v>
      </c>
      <c r="J24" s="2985">
        <v>42747</v>
      </c>
      <c r="K24" s="2981" t="s">
        <v>3285</v>
      </c>
      <c r="L24" s="2984">
        <v>24800</v>
      </c>
      <c r="M24" s="2984">
        <v>5753.52</v>
      </c>
      <c r="N24" s="2984">
        <v>0</v>
      </c>
    </row>
    <row r="25" spans="1:14" ht="15" thickBot="1">
      <c r="A25" s="2986">
        <v>42403</v>
      </c>
      <c r="B25" s="2982">
        <v>3</v>
      </c>
      <c r="C25" s="2983" t="s">
        <v>3215</v>
      </c>
      <c r="D25" s="2983" t="s">
        <v>3216</v>
      </c>
      <c r="E25" s="2983" t="s">
        <v>3286</v>
      </c>
      <c r="F25" s="2983" t="s">
        <v>3218</v>
      </c>
      <c r="G25" s="2984">
        <v>1658</v>
      </c>
      <c r="H25" s="2984">
        <v>663.2</v>
      </c>
      <c r="I25" s="2984" t="s">
        <v>3256</v>
      </c>
      <c r="J25" s="2985">
        <v>42747</v>
      </c>
      <c r="K25" s="2981" t="s">
        <v>3287</v>
      </c>
      <c r="L25" s="2984">
        <v>1080</v>
      </c>
      <c r="M25" s="2984">
        <v>16284.68</v>
      </c>
      <c r="N25" s="2984">
        <v>0</v>
      </c>
    </row>
    <row r="26" spans="1:14" ht="15" thickBot="1">
      <c r="A26" s="2981" t="s">
        <v>3288</v>
      </c>
      <c r="B26" s="2982">
        <v>5</v>
      </c>
      <c r="C26" s="2983" t="s">
        <v>3215</v>
      </c>
      <c r="D26" s="2983" t="s">
        <v>3216</v>
      </c>
      <c r="E26" s="2983" t="s">
        <v>3289</v>
      </c>
      <c r="F26" s="2983" t="s">
        <v>3218</v>
      </c>
      <c r="G26" s="2984">
        <v>96628</v>
      </c>
      <c r="H26" s="2984">
        <v>36525.379999999997</v>
      </c>
      <c r="I26" s="2984" t="s">
        <v>3256</v>
      </c>
      <c r="J26" s="2985">
        <v>42529</v>
      </c>
      <c r="K26" s="2981" t="s">
        <v>3285</v>
      </c>
      <c r="L26" s="2984">
        <v>17000</v>
      </c>
      <c r="M26" s="2984">
        <v>4654.3</v>
      </c>
      <c r="N26" s="2984">
        <v>0</v>
      </c>
    </row>
    <row r="27" spans="1:14" ht="15" thickBot="1">
      <c r="A27" s="2981" t="s">
        <v>3290</v>
      </c>
      <c r="B27" s="2982">
        <v>5</v>
      </c>
      <c r="C27" s="2983" t="s">
        <v>3215</v>
      </c>
      <c r="D27" s="2983" t="s">
        <v>3216</v>
      </c>
      <c r="E27" s="2983" t="s">
        <v>3291</v>
      </c>
      <c r="F27" s="2983" t="s">
        <v>3218</v>
      </c>
      <c r="G27" s="2984">
        <v>9121</v>
      </c>
      <c r="H27" s="2984">
        <v>1550.57</v>
      </c>
      <c r="I27" s="2984" t="s">
        <v>3256</v>
      </c>
      <c r="J27" s="2985">
        <v>42529</v>
      </c>
      <c r="K27" s="2981" t="s">
        <v>3285</v>
      </c>
      <c r="L27" s="2984">
        <v>1000</v>
      </c>
      <c r="M27" s="2984">
        <v>6449.23</v>
      </c>
      <c r="N27" s="2984">
        <v>0</v>
      </c>
    </row>
    <row r="28" spans="1:14" ht="15" thickBot="1">
      <c r="A28" s="2981" t="s">
        <v>3292</v>
      </c>
      <c r="B28" s="2982">
        <v>5</v>
      </c>
      <c r="C28" s="2983" t="s">
        <v>3215</v>
      </c>
      <c r="D28" s="2983" t="s">
        <v>3216</v>
      </c>
      <c r="E28" s="2983" t="s">
        <v>3293</v>
      </c>
      <c r="F28" s="2983" t="s">
        <v>3218</v>
      </c>
      <c r="G28" s="2984">
        <v>65822</v>
      </c>
      <c r="H28" s="2984">
        <v>19746.599999999999</v>
      </c>
      <c r="I28" s="2984" t="s">
        <v>3256</v>
      </c>
      <c r="J28" s="2985">
        <v>42529</v>
      </c>
      <c r="K28" s="2981" t="s">
        <v>3294</v>
      </c>
      <c r="L28" s="2984">
        <v>8200</v>
      </c>
      <c r="M28" s="2984">
        <v>4152.6000000000004</v>
      </c>
      <c r="N28" s="2984">
        <v>2.5</v>
      </c>
    </row>
    <row r="29" spans="1:14" ht="15" thickBot="1">
      <c r="A29" s="2981" t="s">
        <v>3295</v>
      </c>
      <c r="B29" s="2982">
        <v>5</v>
      </c>
      <c r="C29" s="2983" t="s">
        <v>3215</v>
      </c>
      <c r="D29" s="2983" t="s">
        <v>3216</v>
      </c>
      <c r="E29" s="2983" t="s">
        <v>3291</v>
      </c>
      <c r="F29" s="2983" t="s">
        <v>3218</v>
      </c>
      <c r="G29" s="2984">
        <v>20977</v>
      </c>
      <c r="H29" s="2984">
        <v>2517.2399999999998</v>
      </c>
      <c r="I29" s="2984" t="s">
        <v>3256</v>
      </c>
      <c r="J29" s="2985">
        <v>42529</v>
      </c>
      <c r="K29" s="2981" t="s">
        <v>3285</v>
      </c>
      <c r="L29" s="2984">
        <v>2500</v>
      </c>
      <c r="M29" s="2984">
        <v>9931.51</v>
      </c>
      <c r="N29" s="2984">
        <v>0</v>
      </c>
    </row>
    <row r="30" spans="1:14" ht="15" thickBot="1">
      <c r="A30" s="2981" t="s">
        <v>3296</v>
      </c>
      <c r="B30" s="2982">
        <v>5</v>
      </c>
      <c r="C30" s="2983" t="s">
        <v>3215</v>
      </c>
      <c r="D30" s="2983" t="s">
        <v>3216</v>
      </c>
      <c r="E30" s="2983" t="s">
        <v>3297</v>
      </c>
      <c r="F30" s="2983" t="s">
        <v>3218</v>
      </c>
      <c r="G30" s="2984">
        <v>15208</v>
      </c>
      <c r="H30" s="2984">
        <v>5931.12</v>
      </c>
      <c r="I30" s="2984" t="s">
        <v>3256</v>
      </c>
      <c r="J30" s="2985">
        <v>42529</v>
      </c>
      <c r="K30" s="2981" t="s">
        <v>3285</v>
      </c>
      <c r="L30" s="2984">
        <v>2700</v>
      </c>
      <c r="M30" s="2984">
        <v>4552.26</v>
      </c>
      <c r="N30" s="2984">
        <v>0</v>
      </c>
    </row>
    <row r="31" spans="1:14" ht="15" thickBot="1">
      <c r="A31" s="2981" t="s">
        <v>3298</v>
      </c>
      <c r="B31" s="2982">
        <v>5</v>
      </c>
      <c r="C31" s="2983" t="s">
        <v>3215</v>
      </c>
      <c r="D31" s="2983" t="s">
        <v>3216</v>
      </c>
      <c r="E31" s="2983" t="s">
        <v>3299</v>
      </c>
      <c r="F31" s="2983" t="s">
        <v>3218</v>
      </c>
      <c r="G31" s="2984">
        <v>44755</v>
      </c>
      <c r="H31" s="2984">
        <v>8951</v>
      </c>
      <c r="I31" s="2984" t="s">
        <v>3256</v>
      </c>
      <c r="J31" s="2985">
        <v>42529</v>
      </c>
      <c r="K31" s="2981" t="s">
        <v>3294</v>
      </c>
      <c r="L31" s="2984">
        <v>5100</v>
      </c>
      <c r="M31" s="2984">
        <v>5697.68</v>
      </c>
      <c r="N31" s="2984">
        <v>2</v>
      </c>
    </row>
    <row r="32" spans="1:14" ht="15" thickBot="1">
      <c r="A32" s="2981" t="s">
        <v>3300</v>
      </c>
      <c r="B32" s="2982">
        <v>1</v>
      </c>
      <c r="C32" s="2983" t="s">
        <v>3215</v>
      </c>
      <c r="D32" s="2983" t="s">
        <v>3216</v>
      </c>
      <c r="E32" s="2983" t="s">
        <v>3300</v>
      </c>
      <c r="F32" s="2983" t="s">
        <v>3218</v>
      </c>
      <c r="G32" s="2984">
        <v>2320</v>
      </c>
      <c r="H32" s="2984">
        <v>2784</v>
      </c>
      <c r="I32" s="2984" t="s">
        <v>3301</v>
      </c>
      <c r="J32" s="2985">
        <v>42432</v>
      </c>
      <c r="K32" s="2981" t="s">
        <v>3302</v>
      </c>
      <c r="L32" s="2984">
        <v>174</v>
      </c>
      <c r="M32" s="2984">
        <v>625</v>
      </c>
      <c r="N32" s="2984">
        <v>2.96</v>
      </c>
    </row>
    <row r="33" spans="1:14" ht="15" thickBot="1">
      <c r="A33" s="2981" t="s">
        <v>3303</v>
      </c>
      <c r="B33" s="2982">
        <v>4</v>
      </c>
      <c r="C33" s="2983" t="s">
        <v>3215</v>
      </c>
      <c r="D33" s="2983" t="s">
        <v>3216</v>
      </c>
      <c r="E33" s="2983" t="s">
        <v>3304</v>
      </c>
      <c r="F33" s="2983" t="s">
        <v>3218</v>
      </c>
      <c r="G33" s="2984">
        <v>27116</v>
      </c>
      <c r="H33" s="2984">
        <v>30369.919999999998</v>
      </c>
      <c r="I33" s="2984" t="s">
        <v>3246</v>
      </c>
      <c r="J33" s="2985">
        <v>42383</v>
      </c>
      <c r="K33" s="2981" t="s">
        <v>3235</v>
      </c>
      <c r="L33" s="2984">
        <v>16500</v>
      </c>
      <c r="M33" s="2984">
        <v>5433.01</v>
      </c>
      <c r="N33" s="2984">
        <v>0</v>
      </c>
    </row>
    <row r="34" spans="1:14" ht="15" thickBot="1">
      <c r="A34" s="2981" t="s">
        <v>3305</v>
      </c>
      <c r="B34" s="2982">
        <v>3</v>
      </c>
      <c r="C34" s="2983" t="s">
        <v>3215</v>
      </c>
      <c r="D34" s="2983" t="s">
        <v>3216</v>
      </c>
      <c r="E34" s="2983" t="s">
        <v>3306</v>
      </c>
      <c r="F34" s="2983" t="s">
        <v>3218</v>
      </c>
      <c r="G34" s="2984">
        <v>35585</v>
      </c>
      <c r="H34" s="2984">
        <v>138781.5</v>
      </c>
      <c r="I34" s="2984" t="s">
        <v>3246</v>
      </c>
      <c r="J34" s="2985">
        <v>42383</v>
      </c>
      <c r="K34" s="2981" t="s">
        <v>3307</v>
      </c>
      <c r="L34" s="2984">
        <v>7800</v>
      </c>
      <c r="M34" s="2984">
        <v>562.02</v>
      </c>
      <c r="N34" s="2984">
        <v>0</v>
      </c>
    </row>
    <row r="35" spans="1:14" ht="15" thickBot="1">
      <c r="A35" s="2981" t="s">
        <v>3308</v>
      </c>
      <c r="B35" s="2982">
        <v>4</v>
      </c>
      <c r="C35" s="2983" t="s">
        <v>3215</v>
      </c>
      <c r="D35" s="2983" t="s">
        <v>3216</v>
      </c>
      <c r="E35" s="2983" t="s">
        <v>3309</v>
      </c>
      <c r="F35" s="2983" t="s">
        <v>3218</v>
      </c>
      <c r="G35" s="2984">
        <v>19879</v>
      </c>
      <c r="H35" s="2984">
        <v>20872.95</v>
      </c>
      <c r="I35" s="2984" t="s">
        <v>3246</v>
      </c>
      <c r="J35" s="2985">
        <v>42383</v>
      </c>
      <c r="K35" s="2981" t="s">
        <v>3310</v>
      </c>
      <c r="L35" s="2984">
        <v>5500</v>
      </c>
      <c r="M35" s="2984">
        <v>2634.98</v>
      </c>
      <c r="N35" s="2984">
        <v>0</v>
      </c>
    </row>
    <row r="36" spans="1:14" ht="15" thickBot="1">
      <c r="A36" s="2981" t="s">
        <v>3241</v>
      </c>
      <c r="B36" s="2982">
        <v>2</v>
      </c>
      <c r="C36" s="2983" t="s">
        <v>3215</v>
      </c>
      <c r="D36" s="2983" t="s">
        <v>3216</v>
      </c>
      <c r="E36" s="2983" t="s">
        <v>3241</v>
      </c>
      <c r="F36" s="2983" t="s">
        <v>3218</v>
      </c>
      <c r="G36" s="2984">
        <v>11110</v>
      </c>
      <c r="H36" s="2984">
        <v>27219.5</v>
      </c>
      <c r="I36" s="2984" t="s">
        <v>3301</v>
      </c>
      <c r="J36" s="2985">
        <v>42369</v>
      </c>
      <c r="K36" s="2981" t="s">
        <v>3311</v>
      </c>
      <c r="L36" s="2984">
        <v>1087</v>
      </c>
      <c r="M36" s="2984">
        <v>399.35</v>
      </c>
      <c r="N36" s="2984">
        <v>2.84</v>
      </c>
    </row>
    <row r="37" spans="1:14" ht="15" thickBot="1">
      <c r="A37" s="2981" t="s">
        <v>3312</v>
      </c>
      <c r="B37" s="2982">
        <v>4</v>
      </c>
      <c r="C37" s="2983" t="s">
        <v>3215</v>
      </c>
      <c r="D37" s="2983" t="s">
        <v>3216</v>
      </c>
      <c r="E37" s="2983" t="s">
        <v>3313</v>
      </c>
      <c r="F37" s="2983" t="s">
        <v>3218</v>
      </c>
      <c r="G37" s="2984">
        <v>8117</v>
      </c>
      <c r="H37" s="2984">
        <v>14204.75</v>
      </c>
      <c r="I37" s="2984">
        <v>1.75</v>
      </c>
      <c r="J37" s="2985">
        <v>42327</v>
      </c>
      <c r="K37" s="2981" t="s">
        <v>3314</v>
      </c>
      <c r="L37" s="2984">
        <v>2160</v>
      </c>
      <c r="M37" s="2984">
        <v>1520.61</v>
      </c>
      <c r="N37" s="2984">
        <v>0</v>
      </c>
    </row>
    <row r="38" spans="1:14" ht="15" thickBot="1">
      <c r="A38" s="2981" t="s">
        <v>3315</v>
      </c>
      <c r="B38" s="2982">
        <v>4</v>
      </c>
      <c r="C38" s="2983" t="s">
        <v>3215</v>
      </c>
      <c r="D38" s="2983" t="s">
        <v>3216</v>
      </c>
      <c r="E38" s="2983" t="s">
        <v>3316</v>
      </c>
      <c r="F38" s="2983" t="s">
        <v>3218</v>
      </c>
      <c r="G38" s="2984">
        <v>27407</v>
      </c>
      <c r="H38" s="2984">
        <v>28777.35</v>
      </c>
      <c r="I38" s="2984">
        <v>1.05</v>
      </c>
      <c r="J38" s="2985">
        <v>42327</v>
      </c>
      <c r="K38" s="2981" t="s">
        <v>3219</v>
      </c>
      <c r="L38" s="2984">
        <v>24600</v>
      </c>
      <c r="M38" s="2984">
        <v>8548.3799999999992</v>
      </c>
      <c r="N38" s="2984">
        <v>0</v>
      </c>
    </row>
    <row r="39" spans="1:14" ht="15" thickBot="1">
      <c r="A39" s="2981" t="s">
        <v>3317</v>
      </c>
      <c r="B39" s="2982">
        <v>4</v>
      </c>
      <c r="C39" s="2983" t="s">
        <v>3215</v>
      </c>
      <c r="D39" s="2983" t="s">
        <v>3216</v>
      </c>
      <c r="E39" s="2983" t="s">
        <v>3318</v>
      </c>
      <c r="F39" s="2983" t="s">
        <v>3218</v>
      </c>
      <c r="G39" s="2984">
        <v>13541</v>
      </c>
      <c r="H39" s="2984">
        <v>29790.2</v>
      </c>
      <c r="I39" s="2984">
        <v>2.2000000000000002</v>
      </c>
      <c r="J39" s="2985">
        <v>42327</v>
      </c>
      <c r="K39" s="2981" t="s">
        <v>3319</v>
      </c>
      <c r="L39" s="2984">
        <v>2300</v>
      </c>
      <c r="M39" s="2984">
        <v>772.07</v>
      </c>
      <c r="N39" s="2984">
        <v>0</v>
      </c>
    </row>
    <row r="40" spans="1:14" ht="15" thickBot="1">
      <c r="A40" s="2981" t="s">
        <v>3320</v>
      </c>
      <c r="B40" s="2982">
        <v>4</v>
      </c>
      <c r="C40" s="2983" t="s">
        <v>3215</v>
      </c>
      <c r="D40" s="2983" t="s">
        <v>3216</v>
      </c>
      <c r="E40" s="2983" t="s">
        <v>3321</v>
      </c>
      <c r="F40" s="2983" t="s">
        <v>3218</v>
      </c>
      <c r="G40" s="2984">
        <v>23158</v>
      </c>
      <c r="H40" s="2984" t="s">
        <v>1326</v>
      </c>
      <c r="I40" s="2984" t="s">
        <v>3322</v>
      </c>
      <c r="J40" s="2985">
        <v>42327</v>
      </c>
      <c r="K40" s="2981" t="s">
        <v>3235</v>
      </c>
      <c r="L40" s="2984">
        <v>9360</v>
      </c>
      <c r="M40" s="2984" t="s">
        <v>1326</v>
      </c>
      <c r="N40" s="2984">
        <v>0</v>
      </c>
    </row>
    <row r="41" spans="1:14" ht="15" thickBot="1">
      <c r="A41" s="2981" t="s">
        <v>3323</v>
      </c>
      <c r="B41" s="2982">
        <v>1</v>
      </c>
      <c r="C41" s="2983" t="s">
        <v>3215</v>
      </c>
      <c r="D41" s="2983" t="s">
        <v>3216</v>
      </c>
      <c r="E41" s="2983" t="s">
        <v>3324</v>
      </c>
      <c r="F41" s="2983" t="s">
        <v>3218</v>
      </c>
      <c r="G41" s="2984">
        <v>2273</v>
      </c>
      <c r="H41" s="2984">
        <v>2727.6</v>
      </c>
      <c r="I41" s="2984" t="s">
        <v>3246</v>
      </c>
      <c r="J41" s="2985">
        <v>42184</v>
      </c>
      <c r="K41" s="2981" t="s">
        <v>3325</v>
      </c>
      <c r="L41" s="2984">
        <v>390</v>
      </c>
      <c r="M41" s="2984">
        <v>1429.82</v>
      </c>
      <c r="N41" s="2984">
        <v>0</v>
      </c>
    </row>
    <row r="42" spans="1:14" ht="15" thickBot="1">
      <c r="A42" s="2981" t="s">
        <v>3326</v>
      </c>
      <c r="B42" s="2982">
        <v>4</v>
      </c>
      <c r="C42" s="2983" t="s">
        <v>3215</v>
      </c>
      <c r="D42" s="2983" t="s">
        <v>3216</v>
      </c>
      <c r="E42" s="2983" t="s">
        <v>3326</v>
      </c>
      <c r="F42" s="2983" t="s">
        <v>3218</v>
      </c>
      <c r="G42" s="2984">
        <v>3234</v>
      </c>
      <c r="H42" s="2984">
        <v>5174.3999999999996</v>
      </c>
      <c r="I42" s="2984" t="s">
        <v>3242</v>
      </c>
      <c r="J42" s="2985">
        <v>42093</v>
      </c>
      <c r="K42" s="2981" t="s">
        <v>3325</v>
      </c>
      <c r="L42" s="2984">
        <v>730</v>
      </c>
      <c r="M42" s="2984">
        <v>1410.78</v>
      </c>
      <c r="N42" s="2984">
        <v>0</v>
      </c>
    </row>
    <row r="43" spans="1:14" ht="15" thickBot="1">
      <c r="A43" s="2981" t="s">
        <v>3327</v>
      </c>
      <c r="B43" s="2982">
        <v>3</v>
      </c>
      <c r="C43" s="2983" t="s">
        <v>3215</v>
      </c>
      <c r="D43" s="2983" t="s">
        <v>3216</v>
      </c>
      <c r="E43" s="2983" t="s">
        <v>3263</v>
      </c>
      <c r="F43" s="2983" t="s">
        <v>3218</v>
      </c>
      <c r="G43" s="2984">
        <v>4417</v>
      </c>
      <c r="H43" s="2984">
        <v>5300.4</v>
      </c>
      <c r="I43" s="2984" t="s">
        <v>3328</v>
      </c>
      <c r="J43" s="2985">
        <v>42034</v>
      </c>
      <c r="K43" s="2981" t="s">
        <v>3329</v>
      </c>
      <c r="L43" s="2984">
        <v>850</v>
      </c>
      <c r="M43" s="2984">
        <v>1603.65</v>
      </c>
      <c r="N43" s="2984">
        <v>0</v>
      </c>
    </row>
    <row r="44" spans="1:14" ht="15" thickBot="1">
      <c r="A44" s="2981" t="s">
        <v>3330</v>
      </c>
      <c r="B44" s="2982">
        <v>4</v>
      </c>
      <c r="C44" s="2983" t="s">
        <v>3215</v>
      </c>
      <c r="D44" s="2983" t="s">
        <v>3216</v>
      </c>
      <c r="E44" s="2983" t="s">
        <v>3330</v>
      </c>
      <c r="F44" s="2983" t="s">
        <v>3218</v>
      </c>
      <c r="G44" s="2984">
        <v>2955</v>
      </c>
      <c r="H44" s="2984">
        <v>886.5</v>
      </c>
      <c r="I44" s="2984" t="s">
        <v>3331</v>
      </c>
      <c r="J44" s="2985">
        <v>42034</v>
      </c>
      <c r="K44" s="2981" t="s">
        <v>3332</v>
      </c>
      <c r="L44" s="2984">
        <v>2200</v>
      </c>
      <c r="M44" s="2984">
        <v>24816.68</v>
      </c>
      <c r="N44" s="2984">
        <v>0</v>
      </c>
    </row>
    <row r="45" spans="1:14" ht="15" thickBot="1">
      <c r="A45" s="2981" t="s">
        <v>3333</v>
      </c>
      <c r="B45" s="2982">
        <v>3</v>
      </c>
      <c r="C45" s="2983" t="s">
        <v>3215</v>
      </c>
      <c r="D45" s="2983" t="s">
        <v>3216</v>
      </c>
      <c r="E45" s="2983" t="s">
        <v>3334</v>
      </c>
      <c r="F45" s="2983" t="s">
        <v>3218</v>
      </c>
      <c r="G45" s="2984">
        <v>4290</v>
      </c>
      <c r="H45" s="2984">
        <v>5148</v>
      </c>
      <c r="I45" s="2984" t="s">
        <v>3328</v>
      </c>
      <c r="J45" s="2985">
        <v>42034</v>
      </c>
      <c r="K45" s="2981" t="s">
        <v>3329</v>
      </c>
      <c r="L45" s="2984">
        <v>830</v>
      </c>
      <c r="M45" s="2984">
        <v>1612.27</v>
      </c>
      <c r="N45" s="2984">
        <v>0</v>
      </c>
    </row>
    <row r="46" spans="1:14" ht="15" thickBot="1">
      <c r="A46" s="2981" t="s">
        <v>3335</v>
      </c>
      <c r="B46" s="2982">
        <v>3</v>
      </c>
      <c r="C46" s="2983" t="s">
        <v>3215</v>
      </c>
      <c r="D46" s="2983" t="s">
        <v>3216</v>
      </c>
      <c r="E46" s="2983" t="s">
        <v>3336</v>
      </c>
      <c r="F46" s="2983" t="s">
        <v>3218</v>
      </c>
      <c r="G46" s="2984">
        <v>5598</v>
      </c>
      <c r="H46" s="2984">
        <v>8956.7999999999993</v>
      </c>
      <c r="I46" s="2984" t="s">
        <v>3337</v>
      </c>
      <c r="J46" s="2985">
        <v>42034</v>
      </c>
      <c r="K46" s="2981" t="s">
        <v>3338</v>
      </c>
      <c r="L46" s="2984">
        <v>2400</v>
      </c>
      <c r="M46" s="2984">
        <v>2679.53</v>
      </c>
      <c r="N46" s="2984">
        <v>0</v>
      </c>
    </row>
    <row r="47" spans="1:14" ht="15" thickBot="1">
      <c r="A47" s="2981" t="s">
        <v>3339</v>
      </c>
      <c r="B47" s="2982">
        <v>1</v>
      </c>
      <c r="C47" s="2983" t="s">
        <v>3215</v>
      </c>
      <c r="D47" s="2983" t="s">
        <v>3216</v>
      </c>
      <c r="E47" s="2983" t="s">
        <v>3339</v>
      </c>
      <c r="F47" s="2983" t="s">
        <v>3218</v>
      </c>
      <c r="G47" s="2984">
        <v>68764</v>
      </c>
      <c r="H47" s="2984">
        <v>72202.2</v>
      </c>
      <c r="I47" s="2984" t="s">
        <v>3328</v>
      </c>
      <c r="J47" s="2985">
        <v>42034</v>
      </c>
      <c r="K47" s="2981" t="s">
        <v>3264</v>
      </c>
      <c r="L47" s="2984">
        <v>11000</v>
      </c>
      <c r="M47" s="2984">
        <v>1523.5</v>
      </c>
      <c r="N47" s="2984">
        <v>0</v>
      </c>
    </row>
    <row r="48" spans="1:14" ht="15" thickBot="1">
      <c r="A48" s="2981" t="s">
        <v>3340</v>
      </c>
      <c r="B48" s="2982">
        <v>4</v>
      </c>
      <c r="C48" s="2983" t="s">
        <v>3215</v>
      </c>
      <c r="D48" s="2983" t="s">
        <v>3216</v>
      </c>
      <c r="E48" s="2983" t="s">
        <v>3340</v>
      </c>
      <c r="F48" s="2983" t="s">
        <v>3218</v>
      </c>
      <c r="G48" s="2984">
        <v>14595</v>
      </c>
      <c r="H48" s="2984">
        <v>15324.75</v>
      </c>
      <c r="I48" s="2984" t="s">
        <v>3328</v>
      </c>
      <c r="J48" s="2985">
        <v>42034</v>
      </c>
      <c r="K48" s="2981" t="s">
        <v>3341</v>
      </c>
      <c r="L48" s="2984">
        <v>3180</v>
      </c>
      <c r="M48" s="2984">
        <v>2075.0700000000002</v>
      </c>
      <c r="N48" s="2984">
        <v>0</v>
      </c>
    </row>
    <row r="49" spans="1:14" ht="15" thickBot="1">
      <c r="A49" s="2981" t="s">
        <v>3342</v>
      </c>
      <c r="B49" s="2982">
        <v>3</v>
      </c>
      <c r="C49" s="2983" t="s">
        <v>3215</v>
      </c>
      <c r="D49" s="2983" t="s">
        <v>3216</v>
      </c>
      <c r="E49" s="2983" t="s">
        <v>3343</v>
      </c>
      <c r="F49" s="2983" t="s">
        <v>3218</v>
      </c>
      <c r="G49" s="2984">
        <v>10121</v>
      </c>
      <c r="H49" s="2984">
        <v>28844.85</v>
      </c>
      <c r="I49" s="2984" t="s">
        <v>3328</v>
      </c>
      <c r="J49" s="2985">
        <v>42034</v>
      </c>
      <c r="K49" s="2981" t="s">
        <v>3344</v>
      </c>
      <c r="L49" s="2984">
        <v>5300</v>
      </c>
      <c r="M49" s="2984">
        <v>1837.42</v>
      </c>
      <c r="N49" s="2984">
        <v>0</v>
      </c>
    </row>
    <row r="50" spans="1:14" ht="15" thickBot="1">
      <c r="A50" s="2981" t="s">
        <v>3345</v>
      </c>
      <c r="B50" s="2982">
        <v>2</v>
      </c>
      <c r="C50" s="2983" t="s">
        <v>3215</v>
      </c>
      <c r="D50" s="2983" t="s">
        <v>3216</v>
      </c>
      <c r="E50" s="2983" t="s">
        <v>3346</v>
      </c>
      <c r="F50" s="2983" t="s">
        <v>3218</v>
      </c>
      <c r="G50" s="2984">
        <v>8522</v>
      </c>
      <c r="H50" s="2984">
        <v>13635.2</v>
      </c>
      <c r="I50" s="2984" t="s">
        <v>3328</v>
      </c>
      <c r="J50" s="2985">
        <v>41820</v>
      </c>
      <c r="K50" s="2983" t="s">
        <v>3347</v>
      </c>
      <c r="L50" s="2984">
        <v>594</v>
      </c>
      <c r="M50" s="2984">
        <v>435.63</v>
      </c>
      <c r="N50" s="2984">
        <v>2.59</v>
      </c>
    </row>
    <row r="51" spans="1:14" ht="15" thickBot="1">
      <c r="A51" s="2981" t="s">
        <v>3348</v>
      </c>
      <c r="B51" s="2982">
        <v>1</v>
      </c>
      <c r="C51" s="2983" t="s">
        <v>3215</v>
      </c>
      <c r="D51" s="2983" t="s">
        <v>3216</v>
      </c>
      <c r="E51" s="2983" t="s">
        <v>3349</v>
      </c>
      <c r="F51" s="2983" t="s">
        <v>3218</v>
      </c>
      <c r="G51" s="2984">
        <v>2404</v>
      </c>
      <c r="H51" s="2984">
        <v>2884.8</v>
      </c>
      <c r="I51" s="2984" t="s">
        <v>3328</v>
      </c>
      <c r="J51" s="2985">
        <v>41820</v>
      </c>
      <c r="K51" s="2981" t="s">
        <v>3350</v>
      </c>
      <c r="L51" s="2984">
        <v>163</v>
      </c>
      <c r="M51" s="2984">
        <v>565.02</v>
      </c>
      <c r="N51" s="2984">
        <v>3.16</v>
      </c>
    </row>
    <row r="52" spans="1:14" ht="33" thickBot="1">
      <c r="A52" s="2987" t="s">
        <v>3351</v>
      </c>
    </row>
    <row r="53" spans="1:14" ht="15" thickBot="1">
      <c r="A53" s="2988">
        <v>50</v>
      </c>
    </row>
    <row r="54" spans="1:14" ht="16.2">
      <c r="A54" s="2989">
        <v>1</v>
      </c>
    </row>
    <row r="55" spans="1:14">
      <c r="A55" s="2990">
        <v>2</v>
      </c>
    </row>
    <row r="56" spans="1:14">
      <c r="A56" s="2990">
        <v>3</v>
      </c>
    </row>
    <row r="57" spans="1:14">
      <c r="A57" s="2990">
        <v>4</v>
      </c>
    </row>
    <row r="58" spans="1:14">
      <c r="A58" s="2990">
        <v>5</v>
      </c>
    </row>
    <row r="59" spans="1:14">
      <c r="A59" s="2990" t="s">
        <v>3352</v>
      </c>
    </row>
    <row r="60" spans="1:14">
      <c r="A60" s="2990" t="s">
        <v>3353</v>
      </c>
    </row>
  </sheetData>
  <phoneticPr fontId="143" type="noConversion"/>
  <hyperlinks>
    <hyperlink ref="A2" r:id="rId1" tooltip="2019-6-1-2(R1916)" display="https://creis.fang.com/land/Detail?sParceliD=6ce1e033-9784-4b50-83c9-e1851d16130d"/>
    <hyperlink ref="B2" r:id="rId2" tooltip="四星：评分靠前！地块周边配套、规划、区位条件较好，或影响地块评分的负面因素较少。" display="javascript:;"/>
    <hyperlink ref="K2" r:id="rId3" display="https://creis.fang.com/land/Tyc/Index/?sParcelID=6ce1e033-9784-4b50-83c9-e1851d16130d"/>
    <hyperlink ref="A3" r:id="rId4" tooltip="南徐大道以南,枣林路以东地块" display="https://creis.fang.com/land/Detail?sParceliD=3607eb76-530e-4358-a42a-d716f5c4fc48"/>
    <hyperlink ref="B3" r:id="rId5" tooltip="四星：评分靠前！地块周边配套、规划、区位条件较好，或影响地块评分的负面因素较少。" display="javascript:;"/>
    <hyperlink ref="K3" r:id="rId6" display="https://creis.fang.com/land/Tyc/Index/?sParcelID=3607eb76-530e-4358-a42a-d716f5c4fc48"/>
    <hyperlink ref="A4" r:id="rId7" tooltip="枣林路以东,九华山路以西地块" display="https://creis.fang.com/land/Detail?sParceliD=434a5a90-88cd-44ca-a2a2-c4b6a95538ff"/>
    <hyperlink ref="B4" r:id="rId8" tooltip="四星：评分靠前！地块周边配套、规划、区位条件较好，或影响地块评分的负面因素较少。" display="javascript:;"/>
    <hyperlink ref="K4" r:id="rId9" display="https://creis.fang.com/land/Tyc/Index/?sParcelID=434a5a90-88cd-44ca-a2a2-c4b6a95538ff"/>
    <hyperlink ref="A5" r:id="rId10" tooltip="南山路以南,檀山路以西地块" display="https://creis.fang.com/land/Detail?sParceliD=56353883-b3e9-444b-b361-3faca09610e1"/>
    <hyperlink ref="B5" r:id="rId11" tooltip="四星：评分靠前！地块周边配套、规划、区位条件较好，或影响地块评分的负面因素较少。" display="javascript:;"/>
    <hyperlink ref="K5" r:id="rId12" display="https://creis.fang.com/land/Tyc/Index/?sParcelID=56353883-b3e9-444b-b361-3faca09610e1"/>
    <hyperlink ref="A6" r:id="rId13" tooltip="展馆路以南,九华山路以西地块" display="https://creis.fang.com/land/Detail?sParceliD=d9bcb8cb-c4f5-4259-a679-b9cd7a7e8d18"/>
    <hyperlink ref="B6" r:id="rId14" tooltip="四星：评分靠前！地块周边配套、规划、区位条件较好，或影响地块评分的负面因素较少。" display="javascript:;"/>
    <hyperlink ref="K6" r:id="rId15" display="https://creis.fang.com/land/Tyc/Index/?sParcelID=d9bcb8cb-c4f5-4259-a679-b9cd7a7e8d18"/>
    <hyperlink ref="A7" r:id="rId16" tooltip="2019-1-3(R1903)" display="https://creis.fang.com/land/Detail?sParceliD=7bcdda6b-4772-4744-abb1-de38fbfe0af5"/>
    <hyperlink ref="B7" r:id="rId17" tooltip="三星：评分居中！地块周边配套、规划、区位条件尚可，或影响地块评分的负面因素较少。" display="javascript:;"/>
    <hyperlink ref="K7" r:id="rId18" display="https://creis.fang.com/land/Tyc/Index/?sParcelID=7bcdda6b-4772-4744-abb1-de38fbfe0af5"/>
    <hyperlink ref="A8" r:id="rId19" tooltip="DT1714" display="https://creis.fang.com/land/Detail?sParceliD=5c3f7ecb-40f6-4e1e-8671-fc21faabb0ec"/>
    <hyperlink ref="B8" r:id="rId20" tooltip="四星：评分靠前！地块周边配套、规划、区位条件较好，或影响地块评分的负面因素较少。" display="javascript:;"/>
    <hyperlink ref="K8" r:id="rId21" display="https://creis.fang.com/land/Tyc/Index/?sParcelID=5c3f7ecb-40f6-4e1e-8671-fc21faabb0ec"/>
    <hyperlink ref="A9" r:id="rId22" tooltip="DT1807" display="https://creis.fang.com/land/Detail?sParceliD=cf7747ac-2fb6-491c-bbc2-b0ff7511180b"/>
    <hyperlink ref="B9" r:id="rId23" tooltip="两星：评分一般！地块周边配套、规划、区位条件一般，或影响地块评分的负面因素较多。" display="javascript:;"/>
    <hyperlink ref="K9" r:id="rId24" display="https://creis.fang.com/land/Tyc/Index/?sParcelID=cf7747ac-2fb6-491c-bbc2-b0ff7511180b"/>
    <hyperlink ref="A10" r:id="rId25" tooltip="2018-5-7原食品公司地块" display="https://creis.fang.com/land/Detail?sParceliD=bfde4868-d03f-4736-9875-326cff107612"/>
    <hyperlink ref="B10" r:id="rId26" tooltip="五星：评分出众！地块周边配套、规划、区位条件优越，或影响地块评分的负面因素很少。" display="javascript:;"/>
    <hyperlink ref="K10" r:id="rId27" display="https://creis.fang.com/land/Tyc/Index/?sParcelID=bfde4868-d03f-4736-9875-326cff107612"/>
    <hyperlink ref="A11" r:id="rId28" tooltip="驸马街以南,架鼓山路以东" display="https://creis.fang.com/land/Detail?sParceliD=36f4b726-22ff-46fd-857d-252cf64ca6c6"/>
    <hyperlink ref="B11" r:id="rId29" tooltip="三星：评分居中！地块周边配套、规划、区位条件尚可，或影响地块评分的负面因素较少。" display="javascript:;"/>
    <hyperlink ref="K11" r:id="rId30" display="https://creis.fang.com/land/Tyc/Index/?sParcelID=36f4b726-22ff-46fd-857d-252cf64ca6c6"/>
    <hyperlink ref="A12" r:id="rId31" tooltip="润兴路以西,润旺路以南" display="https://creis.fang.com/land/Detail?sParceliD=aad0acf9-9ce0-45de-a022-e023638358dd"/>
    <hyperlink ref="B12" r:id="rId32" tooltip="四星：评分靠前！地块周边配套、规划、区位条件较好，或影响地块评分的负面因素较少。" display="javascript:;"/>
    <hyperlink ref="K12" r:id="rId33" display="https://creis.fang.com/land/Tyc/Index/?sParcelID=aad0acf9-9ce0-45de-a022-e023638358dd"/>
    <hyperlink ref="A13" r:id="rId34" tooltip="铭东路以北,慈行路以西" display="https://creis.fang.com/land/Detail?sParceliD=b48f59b9-1a4f-43d7-819f-1e44de443a14"/>
    <hyperlink ref="B13" r:id="rId35" tooltip="四星：评分靠前！地块周边配套、规划、区位条件较好，或影响地块评分的负面因素较少。" display="javascript:;"/>
    <hyperlink ref="K13" r:id="rId36" display="https://creis.fang.com/land/Tyc/Index/?sParcelID=b48f59b9-1a4f-43d7-819f-1e44de443a14"/>
    <hyperlink ref="A14" r:id="rId37" tooltip="金山路以南" display="https://creis.fang.com/land/Detail?sParceliD=c391258a-3cd5-4b6f-aea4-0afb5a6383d4"/>
    <hyperlink ref="B14" r:id="rId38" tooltip="五星：评分出众！地块周边配套、规划、区位条件优越，或影响地块评分的负面因素很少。" display="javascript:;"/>
    <hyperlink ref="K14" r:id="rId39" display="https://creis.fang.com/land/Tyc/Index/?sParcelID=c391258a-3cd5-4b6f-aea4-0afb5a6383d4"/>
    <hyperlink ref="A15" r:id="rId40" tooltip="黄山西路以南,檀山路以东" display="https://creis.fang.com/land/Detail?sParceliD=d8aeed64-92b0-4204-aa89-a0845dfbcd57"/>
    <hyperlink ref="B15" r:id="rId41" tooltip="四星：评分靠前！地块周边配套、规划、区位条件较好，或影响地块评分的负面因素较少。" display="javascript:;"/>
    <hyperlink ref="A16" r:id="rId42" tooltip="宜侯路以南、赵声路以西" display="https://creis.fang.com/land/Detail?sParceliD=a4f3ece9-eb55-4cea-a846-b0c67a657295"/>
    <hyperlink ref="B16" r:id="rId43" tooltip="四星：评分靠前！地块周边配套、规划、区位条件较好，或影响地块评分的负面因素较少。" display="javascript:;"/>
    <hyperlink ref="K16" r:id="rId44" display="https://creis.fang.com/land/Tyc/Index/?sParcelID=a4f3ece9-eb55-4cea-a846-b0c67a657295"/>
    <hyperlink ref="A17" r:id="rId45" tooltip="赵声路以东、平昌路以北" display="https://creis.fang.com/land/Detail?sParceliD=f38ef14a-61cc-4235-8dfc-177add41bd45"/>
    <hyperlink ref="B17" r:id="rId46" tooltip="四星：评分靠前！地块周边配套、规划、区位条件较好，或影响地块评分的负面因素较少。" display="javascript:;"/>
    <hyperlink ref="K17" r:id="rId47" display="https://creis.fang.com/land/Tyc/Index/?sParcelID=f38ef14a-61cc-4235-8dfc-177add41bd45"/>
    <hyperlink ref="A18" r:id="rId48" tooltip="金润大道以北" display="https://creis.fang.com/land/Detail?sParceliD=0c92ccf5-05bd-4e73-a333-c732e4338f5f"/>
    <hyperlink ref="B18" r:id="rId49" tooltip="四星：评分靠前！地块周边配套、规划、区位条件较好，或影响地块评分的负面因素较少。" display="javascript:;"/>
    <hyperlink ref="K18" r:id="rId50" display="https://creis.fang.com/land/Tyc/Index/?sParcelID=0c92ccf5-05bd-4e73-a333-c732e4338f5f"/>
    <hyperlink ref="A19" r:id="rId51" tooltip="大西路以南、旺角广场以西" display="https://creis.fang.com/land/Detail?sParceliD=741409af-beaf-4bb9-a278-f1b9a486a967"/>
    <hyperlink ref="B19" r:id="rId52" tooltip="五星：评分出众！地块周边配套、规划、区位条件优越，或影响地块评分的负面因素很少。" display="javascript:;"/>
    <hyperlink ref="K19" r:id="rId53" display="https://creis.fang.com/land/Tyc/Index/?sParcelID=741409af-beaf-4bb9-a278-f1b9a486a967"/>
    <hyperlink ref="A20" r:id="rId54" tooltip="盛丹路以北、新城福联以东" display="https://creis.fang.com/land/Detail?sParceliD=88f85b01-3d6c-4f08-a037-f0e587fae054"/>
    <hyperlink ref="B20" r:id="rId55" tooltip="三星：评分居中！地块周边配套、规划、区位条件尚可，或影响地块评分的负面因素较少。" display="javascript:;"/>
    <hyperlink ref="K20" r:id="rId56" display="https://creis.fang.com/land/Tyc/Index/?sParcelID=88f85b01-3d6c-4f08-a037-f0e587fae054"/>
    <hyperlink ref="A21" r:id="rId57" tooltip="长香西大道以北,长青路以西" display="https://creis.fang.com/land/Detail?sParceliD=b1d5d7c1-cacc-4da6-89d8-9bc630b283fc"/>
    <hyperlink ref="B21" r:id="rId58" tooltip="两星：评分一般！地块周边配套、规划、区位条件一般，或影响地块评分的负面因素较多。" display="javascript:;"/>
    <hyperlink ref="K21" r:id="rId59" display="https://creis.fang.com/land/Tyc/Index/?sParcelID=b1d5d7c1-cacc-4da6-89d8-9bc630b283fc"/>
    <hyperlink ref="A22" r:id="rId60" tooltip="谷阳东大道以北" display="https://creis.fang.com/land/Detail?sParceliD=c6aace98-2c28-4298-a00c-d0ebf93a7aff"/>
    <hyperlink ref="B22" r:id="rId61" tooltip="三星：评分居中！地块周边配套、规划、区位条件尚可，或影响地块评分的负面因素较少。" display="javascript:;"/>
    <hyperlink ref="K22" r:id="rId62" display="https://creis.fang.com/land/Tyc/Index/?sParcelID=c6aace98-2c28-4298-a00c-d0ebf93a7aff"/>
    <hyperlink ref="A23" r:id="rId63" tooltip="盛丹路以北、盛园路以东" display="https://creis.fang.com/land/Detail?sParceliD=ec6370de-0281-4eea-a595-df1026dcc99b"/>
    <hyperlink ref="B23" r:id="rId64" tooltip="三星：评分居中！地块周边配套、规划、区位条件尚可，或影响地块评分的负面因素较少。" display="javascript:;"/>
    <hyperlink ref="K23" r:id="rId65" display="https://creis.fang.com/land/Tyc/Index/?sParcelID=ec6370de-0281-4eea-a595-df1026dcc99b"/>
    <hyperlink ref="A24" r:id="rId66" tooltip="润州区长江路以北、环湖路以东" display="https://creis.fang.com/land/Detail?sParceliD=bfd6de0e-f732-4535-ba5b-ba11343521bf"/>
    <hyperlink ref="B24" r:id="rId67" tooltip="五星：评分出众！地块周边配套、规划、区位条件优越，或影响地块评分的负面因素很少。" display="javascript:;"/>
    <hyperlink ref="K24" r:id="rId68" display="https://creis.fang.com/land/Tyc/Index/?sParcelID=bfd6de0e-f732-4535-ba5b-ba11343521bf"/>
    <hyperlink ref="A25" r:id="rId69" tooltip="2016-2-3" display="https://creis.fang.com/land/Detail?sParceliD=dbb2085d-d4e4-4082-a7f2-cf560dd72c55"/>
    <hyperlink ref="B25" r:id="rId70" tooltip="三星：评分居中！地块周边配套、规划、区位条件尚可，或影响地块评分的负面因素较少。" display="javascript:;"/>
    <hyperlink ref="K25" r:id="rId71" display="https://creis.fang.com/land/Tyc/Index/?sParcelID=dbb2085d-d4e4-4082-a7f2-cf560dd72c55"/>
    <hyperlink ref="A26" r:id="rId72" tooltip="R1601地块(金山湖以西2号地块)" display="https://creis.fang.com/land/Detail?sParceliD=01e9ac57-3de2-48f9-bc97-82bc11d96a18"/>
    <hyperlink ref="B26" r:id="rId73" tooltip="五星：评分出众！地块周边配套、规划、区位条件优越，或影响地块评分的负面因素很少。" display="javascript:;"/>
    <hyperlink ref="K26" r:id="rId74" display="https://creis.fang.com/land/Tyc/Index/?sParcelID=01e9ac57-3de2-48f9-bc97-82bc11d96a18"/>
    <hyperlink ref="A27" r:id="rId75" tooltip="R1605地块(金山湖以西5-1号地块)" display="https://creis.fang.com/land/Detail?sParceliD=136f4ceb-38df-4036-96e3-f443d2c5fbd8"/>
    <hyperlink ref="B27" r:id="rId76" tooltip="五星：评分出众！地块周边配套、规划、区位条件优越，或影响地块评分的负面因素很少。" display="javascript:;"/>
    <hyperlink ref="K27" r:id="rId77" display="https://creis.fang.com/land/Tyc/Index/?sParcelID=136f4ceb-38df-4036-96e3-f443d2c5fbd8"/>
    <hyperlink ref="A28" r:id="rId78" tooltip="R1603地块(金山湖以西3-2号地块)" display="https://creis.fang.com/land/Detail?sParceliD=487ce6b3-e6c2-4899-a2e0-dca7340043a2"/>
    <hyperlink ref="B28" r:id="rId79" tooltip="五星：评分出众！地块周边配套、规划、区位条件优越，或影响地块评分的负面因素很少。" display="javascript:;"/>
    <hyperlink ref="K28" r:id="rId80" display="https://creis.fang.com/land/Tyc/Index/?sParcelID=487ce6b3-e6c2-4899-a2e0-dca7340043a2"/>
    <hyperlink ref="A29" r:id="rId81" tooltip="R1606地块(金山湖以西5-2号地块)" display="https://creis.fang.com/land/Detail?sParceliD=5c238c5d-aef8-40f2-b2fe-65eadd3a690c"/>
    <hyperlink ref="B29" r:id="rId82" tooltip="五星：评分出众！地块周边配套、规划、区位条件优越，或影响地块评分的负面因素很少。" display="javascript:;"/>
    <hyperlink ref="K29" r:id="rId83" display="https://creis.fang.com/land/Tyc/Index/?sParcelID=5c238c5d-aef8-40f2-b2fe-65eadd3a690c"/>
    <hyperlink ref="A30" r:id="rId84" tooltip="R1604地块(金山湖以西4号地块)" display="https://creis.fang.com/land/Detail?sParceliD=cae53670-3616-45b5-a0f6-cb29b74bed89"/>
    <hyperlink ref="B30" r:id="rId85" tooltip="五星：评分出众！地块周边配套、规划、区位条件优越，或影响地块评分的负面因素很少。" display="javascript:;"/>
    <hyperlink ref="K30" r:id="rId86" display="https://creis.fang.com/land/Tyc/Index/?sParcelID=cae53670-3616-45b5-a0f6-cb29b74bed89"/>
    <hyperlink ref="A31" r:id="rId87" tooltip="R1602地块(金山湖以西3-1号地块)" display="https://creis.fang.com/land/Detail?sParceliD=e6a60a3f-5213-470b-b7c5-851652e2c3b1"/>
    <hyperlink ref="B31" r:id="rId88" tooltip="五星：评分出众！地块周边配套、规划、区位条件优越，或影响地块评分的负面因素很少。" display="javascript:;"/>
    <hyperlink ref="K31" r:id="rId89" display="https://creis.fang.com/land/Tyc/Index/?sParcelID=e6a60a3f-5213-470b-b7c5-851652e2c3b1"/>
    <hyperlink ref="A32" r:id="rId90" tooltip="丹徒区宝堰镇" display="https://creis.fang.com/land/Detail?sParceliD=710dc069-cd47-456b-8be6-379e1f7f347f"/>
    <hyperlink ref="B32" r:id="rId91" tooltip="一星：评分较差！地块周边配套、规划、区位条件较差，或影响地块评分的负面因素较多。" display="javascript:;"/>
    <hyperlink ref="K32" r:id="rId92" display="https://creis.fang.com/land/Tyc/Index/?sParcelID=710dc069-cd47-456b-8be6-379e1f7f347f"/>
    <hyperlink ref="A33" r:id="rId93" tooltip="R1509地块" display="https://creis.fang.com/land/Detail?sParceliD=4a64d589-4304-443d-bc5c-566e3bc91360"/>
    <hyperlink ref="B33" r:id="rId94" tooltip="四星：评分靠前！地块周边配套、规划、区位条件较好，或影响地块评分的负面因素较少。" display="javascript:;"/>
    <hyperlink ref="K33" r:id="rId95" display="https://creis.fang.com/land/Tyc/Index/?sParcelID=4a64d589-4304-443d-bc5c-566e3bc91360"/>
    <hyperlink ref="A34" r:id="rId96" tooltip="D1506地块" display="https://creis.fang.com/land/Detail?sParceliD=55517baa-a91e-450f-b033-c57d27fd6a90"/>
    <hyperlink ref="B34" r:id="rId97" tooltip="三星：评分居中！地块周边配套、规划、区位条件尚可，或影响地块评分的负面因素较少。" display="javascript:;"/>
    <hyperlink ref="K34" r:id="rId98" display="https://creis.fang.com/land/Tyc/Index/?sParcelID=55517baa-a91e-450f-b033-c57d27fd6a90"/>
    <hyperlink ref="A35" r:id="rId99" tooltip="R1512地块" display="https://creis.fang.com/land/Detail?sParceliD=e214aa01-6e96-4e03-816a-c060018d0728"/>
    <hyperlink ref="B35" r:id="rId100" tooltip="四星：评分靠前！地块周边配套、规划、区位条件较好，或影响地块评分的负面因素较少。" display="javascript:;"/>
    <hyperlink ref="K35" r:id="rId101" display="https://creis.fang.com/land/Tyc/Index/?sParcelID=e214aa01-6e96-4e03-816a-c060018d0728"/>
    <hyperlink ref="A36" r:id="rId102" tooltip="丹徒区上党镇" display="https://creis.fang.com/land/Detail?sParceliD=1f9423ff-7b2b-42c3-b07a-80671cd6bd27"/>
    <hyperlink ref="B36" r:id="rId103" tooltip="两星：评分一般！地块周边配套、规划、区位条件一般，或影响地块评分的负面因素较多。" display="javascript:;"/>
    <hyperlink ref="K36" r:id="rId104" display="https://creis.fang.com/land/Tyc/Index/?sParcelID=1f9423ff-7b2b-42c3-b07a-80671cd6bd27"/>
    <hyperlink ref="A37" r:id="rId105" tooltip="R1507地块" display="https://creis.fang.com/land/Detail?sParceliD=48221d91-d1af-4c49-893a-016ffcb122c7"/>
    <hyperlink ref="B37" r:id="rId106" tooltip="四星：评分靠前！地块周边配套、规划、区位条件较好，或影响地块评分的负面因素较少。" display="javascript:;"/>
    <hyperlink ref="K37" r:id="rId107" display="https://creis.fang.com/land/Tyc/Index/?sParcelID=48221d91-d1af-4c49-893a-016ffcb122c7"/>
    <hyperlink ref="A38" r:id="rId108" tooltip="J1502地块" display="https://creis.fang.com/land/Detail?sParceliD=b3939071-dd67-4643-90b7-30379e7927ba"/>
    <hyperlink ref="B38" r:id="rId109" tooltip="四星：评分靠前！地块周边配套、规划、区位条件较好，或影响地块评分的负面因素较少。" display="javascript:;"/>
    <hyperlink ref="K38" r:id="rId110" display="https://creis.fang.com/land/Tyc/Index/?sParcelID=b3939071-dd67-4643-90b7-30379e7927ba"/>
    <hyperlink ref="A39" r:id="rId111" tooltip="J1501地块" display="https://creis.fang.com/land/Detail?sParceliD=d164e196-a1fd-48e7-81dc-506e46a6ee47"/>
    <hyperlink ref="B39" r:id="rId112" tooltip="四星：评分靠前！地块周边配套、规划、区位条件较好，或影响地块评分的负面因素较少。" display="javascript:;"/>
    <hyperlink ref="K39" r:id="rId113" display="https://creis.fang.com/land/Tyc/Index/?sParcelID=d164e196-a1fd-48e7-81dc-506e46a6ee47"/>
    <hyperlink ref="A40" r:id="rId114" tooltip="R1510地块" display="https://creis.fang.com/land/Detail?sParceliD=d2b1b87c-24b0-45c3-8580-3c5564a50070"/>
    <hyperlink ref="B40" r:id="rId115" tooltip="四星：评分靠前！地块周边配套、规划、区位条件较好，或影响地块评分的负面因素较少。" display="javascript:;"/>
    <hyperlink ref="K40" r:id="rId116" display="https://creis.fang.com/land/Tyc/Index/?sParcelID=d2b1b87c-24b0-45c3-8580-3c5564a50070"/>
    <hyperlink ref="A41" r:id="rId117" tooltip="滨江大道以东、长江工艺品公司以南" display="https://creis.fang.com/land/Detail?sParceliD=5d41e1a7-d527-4ca5-b020-ea662d75b0dc"/>
    <hyperlink ref="B41" r:id="rId118" tooltip="一星：评分较差！地块周边配套、规划、区位条件较差，或影响地块评分的负面因素较多。" display="javascript:;"/>
    <hyperlink ref="K41" r:id="rId119" display="https://creis.fang.com/land/Tyc/Index/?sParcelID=5d41e1a7-d527-4ca5-b020-ea662d75b0dc"/>
    <hyperlink ref="A42" r:id="rId120" tooltip="苗家湾路以南" display="https://creis.fang.com/land/Detail?sParceliD=310be1ce-5fce-4de9-983d-7041aaaf17a8"/>
    <hyperlink ref="B42" r:id="rId121" tooltip="四星：评分靠前！地块周边配套、规划、区位条件较好，或影响地块评分的负面因素较少。" display="javascript:;"/>
    <hyperlink ref="K42" r:id="rId122" display="https://creis.fang.com/land/Tyc/Index/?sParcelID=310be1ce-5fce-4de9-983d-7041aaaf17a8"/>
    <hyperlink ref="A43" r:id="rId123" tooltip="宜侯路以南、赵声路以东" display="https://creis.fang.com/land/Detail?sParceliD=0f74edb5-60c8-420e-ba7a-a9953cc79aae"/>
    <hyperlink ref="B43" r:id="rId124" tooltip="三星：评分居中！地块周边配套、规划、区位条件尚可，或影响地块评分的负面因素较少。" display="javascript:;"/>
    <hyperlink ref="K43" r:id="rId125" display="https://creis.fang.com/land/Tyc/Index/?sParcelID=0f74edb5-60c8-420e-ba7a-a9953cc79aae"/>
    <hyperlink ref="A44" r:id="rId126" tooltip="禹山路以北" display="https://creis.fang.com/land/Detail?sParceliD=1a370c05-3b0e-4acb-8742-ffeaf0020625"/>
    <hyperlink ref="B44" r:id="rId127" tooltip="四星：评分靠前！地块周边配套、规划、区位条件较好，或影响地块评分的负面因素较少。" display="javascript:;"/>
    <hyperlink ref="K44" r:id="rId128" display="https://creis.fang.com/land/Tyc/Index/?sParcelID=1a370c05-3b0e-4acb-8742-ffeaf0020625"/>
    <hyperlink ref="A45" r:id="rId129" tooltip="宜侯路以南、银山南路以西" display="https://creis.fang.com/land/Detail?sParceliD=70add53d-c6f0-4d34-bb7d-84f5a6af5314"/>
    <hyperlink ref="B45" r:id="rId130" tooltip="三星：评分居中！地块周边配套、规划、区位条件尚可，或影响地块评分的负面因素较少。" display="javascript:;"/>
    <hyperlink ref="K45" r:id="rId131" display="https://creis.fang.com/land/Tyc/Index/?sParcelID=70add53d-c6f0-4d34-bb7d-84f5a6af5314"/>
    <hyperlink ref="A46" r:id="rId132" tooltip="枣林路以东、站前路以南" display="https://creis.fang.com/land/Detail?sParceliD=79e73ec9-97ec-47f0-83b2-ee13cb695ff5"/>
    <hyperlink ref="B46" r:id="rId133" tooltip="三星：评分居中！地块周边配套、规划、区位条件尚可，或影响地块评分的负面因素较少。" display="javascript:;"/>
    <hyperlink ref="K46" r:id="rId134" display="https://creis.fang.com/land/Tyc/Index/?sParcelID=79e73ec9-97ec-47f0-83b2-ee13cb695ff5"/>
    <hyperlink ref="A47" r:id="rId135" tooltip="捆山河以西" display="https://creis.fang.com/land/Detail?sParceliD=cc46dffa-8eb7-47cf-8842-ed16039d7d1e"/>
    <hyperlink ref="B47" r:id="rId136" tooltip="一星：评分较差！地块周边配套、规划、区位条件较差，或影响地块评分的负面因素较多。" display="javascript:;"/>
    <hyperlink ref="K47" r:id="rId137" display="https://creis.fang.com/land/Tyc/Index/?sParcelID=cc46dffa-8eb7-47cf-8842-ed16039d7d1e"/>
    <hyperlink ref="A48" r:id="rId138" tooltip="纬三路以北" display="https://creis.fang.com/land/Detail?sParceliD=f5fe6a2b-c37f-4c9f-99b3-194671b5e914"/>
    <hyperlink ref="B48" r:id="rId139" tooltip="四星：评分靠前！地块周边配套、规划、区位条件较好，或影响地块评分的负面因素较少。" display="javascript:;"/>
    <hyperlink ref="K48" r:id="rId140" display="https://creis.fang.com/land/Tyc/Index/?sParcelID=f5fe6a2b-c37f-4c9f-99b3-194671b5e914"/>
    <hyperlink ref="A49" r:id="rId141" tooltip="苗家湾路以东、丁卯桥路以南" display="https://creis.fang.com/land/Detail?sParceliD=ff99142e-1ba4-4645-bf72-5a5d16cb2202"/>
    <hyperlink ref="B49" r:id="rId142" tooltip="三星：评分居中！地块周边配套、规划、区位条件尚可，或影响地块评分的负面因素较少。" display="javascript:;"/>
    <hyperlink ref="K49" r:id="rId143" display="https://creis.fang.com/land/Tyc/Index/?sParcelID=ff99142e-1ba4-4645-bf72-5a5d16cb2202"/>
    <hyperlink ref="A50" r:id="rId144" tooltip="DT1318地块" display="https://creis.fang.com/land/Detail?sParceliD=588e77c0-c704-4f1d-a840-279b676b1a13"/>
    <hyperlink ref="B50" r:id="rId145" tooltip="两星：评分一般！地块周边配套、规划、区位条件一般，或影响地块评分的负面因素较多。" display="javascript:;"/>
    <hyperlink ref="A51" r:id="rId146" tooltip="DT1323G地块" display="https://creis.fang.com/land/Detail?sParceliD=6bb62bba-8124-4ddb-826e-14799734fe62"/>
    <hyperlink ref="B51" r:id="rId147" tooltip="一星：评分较差！地块周边配套、规划、区位条件较差，或影响地块评分的负面因素较多。" display="javascript:;"/>
    <hyperlink ref="K51" r:id="rId148" display="https://creis.fang.com/land/Tyc/Index/?sParcelID=6bb62bba-8124-4ddb-826e-14799734fe62"/>
    <hyperlink ref="A55" r:id="rId149" display="javascript:"/>
    <hyperlink ref="A56" r:id="rId150" display="javascript:"/>
    <hyperlink ref="A57" r:id="rId151" display="javascript:"/>
    <hyperlink ref="A58" r:id="rId152" display="javascript:"/>
    <hyperlink ref="A59" r:id="rId153" display="javascript:"/>
    <hyperlink ref="A60" r:id="rId154" display="javascript:"/>
  </hyperlinks>
  <pageMargins left="0.7" right="0.7" top="0.75" bottom="0.75" header="0.3" footer="0.3"/>
  <drawing r:id="rId15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0"/>
  <sheetViews>
    <sheetView topLeftCell="A100" workbookViewId="0">
      <selection activeCell="F9" sqref="F9"/>
    </sheetView>
  </sheetViews>
  <sheetFormatPr defaultColWidth="9" defaultRowHeight="14.4"/>
  <cols>
    <col min="1" max="1" width="9" style="3002"/>
    <col min="2" max="2" width="31.6640625" style="3002" customWidth="1"/>
    <col min="3" max="3" width="30.77734375" style="3002" customWidth="1"/>
    <col min="4" max="5" width="12.88671875" style="3002" customWidth="1"/>
    <col min="6" max="10" width="9" style="3002"/>
    <col min="11" max="11" width="9.44140625" style="3002" bestFit="1" customWidth="1"/>
    <col min="12" max="14" width="9" style="3002"/>
    <col min="15" max="15" width="15.77734375" style="3002" customWidth="1"/>
    <col min="16" max="16384" width="9" style="3002"/>
  </cols>
  <sheetData>
    <row r="1" spans="1:18" ht="15" thickBot="1">
      <c r="A1" s="2999" t="s">
        <v>3372</v>
      </c>
      <c r="B1" s="3000" t="s">
        <v>3373</v>
      </c>
      <c r="C1" s="3000" t="s">
        <v>3374</v>
      </c>
      <c r="D1" s="3000" t="s">
        <v>3375</v>
      </c>
      <c r="E1" s="3000" t="s">
        <v>3376</v>
      </c>
      <c r="F1" s="3000" t="s">
        <v>3377</v>
      </c>
      <c r="G1" s="3001" t="s">
        <v>3378</v>
      </c>
      <c r="H1" s="3001" t="s">
        <v>3380</v>
      </c>
      <c r="I1" s="3001" t="s">
        <v>3381</v>
      </c>
      <c r="J1" s="3001" t="s">
        <v>3380</v>
      </c>
      <c r="K1" s="3001" t="s">
        <v>3383</v>
      </c>
      <c r="L1" s="3001" t="s">
        <v>3380</v>
      </c>
    </row>
    <row r="2" spans="1:18" ht="15" thickBot="1">
      <c r="A2" s="3003">
        <v>1</v>
      </c>
      <c r="B2" s="3004" t="s">
        <v>3384</v>
      </c>
      <c r="C2" s="3004" t="s">
        <v>3385</v>
      </c>
      <c r="D2" s="3005">
        <v>1104.17</v>
      </c>
      <c r="E2" s="3005">
        <v>7651.29</v>
      </c>
      <c r="F2" s="3004" t="s">
        <v>3386</v>
      </c>
      <c r="G2" s="3006">
        <f>K2-I2</f>
        <v>953</v>
      </c>
      <c r="H2" s="3006">
        <f>L2-J2</f>
        <v>1246</v>
      </c>
      <c r="I2" s="3006">
        <f>ROUND(K2*[1]成本法!C57,0)</f>
        <v>1248</v>
      </c>
      <c r="J2" s="3006">
        <f>ROUND(I2*10000/E2,0)</f>
        <v>1631</v>
      </c>
      <c r="K2" s="3006">
        <f>ROUND(Q30*E2/10000,0)</f>
        <v>2201</v>
      </c>
      <c r="L2" s="3006">
        <f>Q30</f>
        <v>2877</v>
      </c>
    </row>
    <row r="3" spans="1:18" ht="15" thickBot="1">
      <c r="A3" s="3003">
        <v>2</v>
      </c>
      <c r="B3" s="3004" t="s">
        <v>3387</v>
      </c>
      <c r="C3" s="3004" t="s">
        <v>3388</v>
      </c>
      <c r="D3" s="3005">
        <v>1093</v>
      </c>
      <c r="E3" s="3005">
        <v>7573.92</v>
      </c>
      <c r="F3" s="3004" t="s">
        <v>3389</v>
      </c>
      <c r="G3" s="3006">
        <f>K3-I3</f>
        <v>944</v>
      </c>
      <c r="H3" s="3006">
        <f>L3-J3</f>
        <v>1246</v>
      </c>
      <c r="I3" s="3006">
        <f>ROUND(J3*E3/10000,0)</f>
        <v>1235</v>
      </c>
      <c r="J3" s="3006">
        <f>J2</f>
        <v>1631</v>
      </c>
      <c r="K3" s="3006">
        <f>Q29-K2</f>
        <v>2179</v>
      </c>
      <c r="L3" s="3006">
        <f>L2</f>
        <v>2877</v>
      </c>
      <c r="M3" s="3007" t="s">
        <v>3390</v>
      </c>
      <c r="N3" s="3007" t="s">
        <v>3391</v>
      </c>
      <c r="O3" s="3007" t="s">
        <v>3392</v>
      </c>
      <c r="P3" s="3007" t="s">
        <v>3393</v>
      </c>
      <c r="Q3" s="3007" t="s">
        <v>3379</v>
      </c>
      <c r="R3" s="3007" t="s">
        <v>3382</v>
      </c>
    </row>
    <row r="4" spans="1:18" s="3009" customFormat="1" ht="15" thickBot="1">
      <c r="A4" s="3003">
        <v>3</v>
      </c>
      <c r="B4" s="3004" t="s">
        <v>3394</v>
      </c>
      <c r="C4" s="3004" t="s">
        <v>3395</v>
      </c>
      <c r="D4" s="3005">
        <v>163.54</v>
      </c>
      <c r="E4" s="3005">
        <v>1133.25</v>
      </c>
      <c r="F4" s="3005" t="s">
        <v>3396</v>
      </c>
      <c r="G4" s="3006">
        <f t="shared" ref="G4:H19" si="0">K4-I4</f>
        <v>348</v>
      </c>
      <c r="H4" s="3006">
        <f t="shared" si="0"/>
        <v>3072</v>
      </c>
      <c r="I4" s="3006">
        <f>ROUND(K4*[1]成本法!$C$57,0)</f>
        <v>456</v>
      </c>
      <c r="J4" s="3006">
        <f>ROUND(I4*10000/E4,0)</f>
        <v>4024</v>
      </c>
      <c r="K4" s="3006">
        <f>ROUND(L4*E4/10000,0)</f>
        <v>804</v>
      </c>
      <c r="L4" s="3006">
        <f t="shared" ref="L4:L52" si="1">$Q$16</f>
        <v>7096</v>
      </c>
      <c r="M4" s="3008"/>
      <c r="N4" s="3008"/>
      <c r="O4" s="3008"/>
      <c r="P4" s="3008"/>
      <c r="Q4" s="3008"/>
      <c r="R4" s="3008"/>
    </row>
    <row r="5" spans="1:18" s="3009" customFormat="1" ht="15" thickBot="1">
      <c r="A5" s="3003">
        <v>4</v>
      </c>
      <c r="B5" s="3004" t="s">
        <v>3397</v>
      </c>
      <c r="C5" s="3004" t="s">
        <v>3398</v>
      </c>
      <c r="D5" s="3005">
        <v>13.62</v>
      </c>
      <c r="E5" s="3005">
        <v>94.38</v>
      </c>
      <c r="F5" s="3005" t="s">
        <v>3396</v>
      </c>
      <c r="G5" s="3006">
        <f t="shared" si="0"/>
        <v>29</v>
      </c>
      <c r="H5" s="3006">
        <f t="shared" si="0"/>
        <v>3072</v>
      </c>
      <c r="I5" s="3006">
        <f>ROUND(K5*[1]成本法!$C$57,0)</f>
        <v>38</v>
      </c>
      <c r="J5" s="3006">
        <v>4024</v>
      </c>
      <c r="K5" s="3006">
        <f>ROUND(L5*E5/10000,0)</f>
        <v>67</v>
      </c>
      <c r="L5" s="3006">
        <f t="shared" si="1"/>
        <v>7096</v>
      </c>
      <c r="M5" s="3008"/>
      <c r="N5" s="3008"/>
      <c r="O5" s="3008"/>
      <c r="P5" s="3008"/>
      <c r="Q5" s="3008"/>
      <c r="R5" s="3008"/>
    </row>
    <row r="6" spans="1:18" s="3009" customFormat="1" ht="15" thickBot="1">
      <c r="A6" s="3003">
        <v>5</v>
      </c>
      <c r="B6" s="3004" t="s">
        <v>3399</v>
      </c>
      <c r="C6" s="3004" t="s">
        <v>3400</v>
      </c>
      <c r="D6" s="3005">
        <v>203.12</v>
      </c>
      <c r="E6" s="3005">
        <v>1407.52</v>
      </c>
      <c r="F6" s="3005" t="s">
        <v>3396</v>
      </c>
      <c r="G6" s="3006">
        <f t="shared" si="0"/>
        <v>433</v>
      </c>
      <c r="H6" s="3006">
        <f t="shared" si="0"/>
        <v>3072</v>
      </c>
      <c r="I6" s="3006">
        <f>ROUND(K6*[1]成本法!$C$57,0)</f>
        <v>566</v>
      </c>
      <c r="J6" s="3006">
        <v>4024</v>
      </c>
      <c r="K6" s="3006">
        <f>ROUND(L6*E6/10000,0)</f>
        <v>999</v>
      </c>
      <c r="L6" s="3006">
        <f t="shared" si="1"/>
        <v>7096</v>
      </c>
      <c r="M6" s="3008"/>
      <c r="N6" s="3008"/>
      <c r="O6" s="3008"/>
      <c r="P6" s="3008"/>
      <c r="Q6" s="3008"/>
      <c r="R6" s="3008"/>
    </row>
    <row r="7" spans="1:18" s="3009" customFormat="1" ht="15" thickBot="1">
      <c r="A7" s="3003">
        <v>6</v>
      </c>
      <c r="B7" s="3004" t="s">
        <v>3401</v>
      </c>
      <c r="C7" s="3004" t="s">
        <v>3402</v>
      </c>
      <c r="D7" s="3005">
        <v>246.45</v>
      </c>
      <c r="E7" s="3005">
        <v>1707.77</v>
      </c>
      <c r="F7" s="3005" t="s">
        <v>3396</v>
      </c>
      <c r="G7" s="3006">
        <f t="shared" si="0"/>
        <v>525</v>
      </c>
      <c r="H7" s="3006">
        <f t="shared" si="0"/>
        <v>3072</v>
      </c>
      <c r="I7" s="3006">
        <f>ROUND(K7*[1]成本法!$C$57,0)</f>
        <v>687</v>
      </c>
      <c r="J7" s="3006">
        <v>4024</v>
      </c>
      <c r="K7" s="3006">
        <f t="shared" ref="K7:K70" si="2">ROUND(L7*E7/10000,0)</f>
        <v>1212</v>
      </c>
      <c r="L7" s="3006">
        <f t="shared" si="1"/>
        <v>7096</v>
      </c>
      <c r="M7" s="3008"/>
      <c r="N7" s="3008"/>
      <c r="O7" s="3008"/>
      <c r="P7" s="3008"/>
      <c r="Q7" s="3008"/>
      <c r="R7" s="3008"/>
    </row>
    <row r="8" spans="1:18" s="3009" customFormat="1" ht="15" thickBot="1">
      <c r="A8" s="3003">
        <v>7</v>
      </c>
      <c r="B8" s="3004" t="s">
        <v>3403</v>
      </c>
      <c r="C8" s="3004" t="s">
        <v>3404</v>
      </c>
      <c r="D8" s="3005">
        <v>177.5</v>
      </c>
      <c r="E8" s="3005">
        <v>1229.97</v>
      </c>
      <c r="F8" s="3005" t="s">
        <v>3405</v>
      </c>
      <c r="G8" s="3006">
        <f t="shared" si="0"/>
        <v>378</v>
      </c>
      <c r="H8" s="3006">
        <f t="shared" si="0"/>
        <v>3072</v>
      </c>
      <c r="I8" s="3006">
        <f>ROUND(K8*[1]成本法!$C$57,0)</f>
        <v>495</v>
      </c>
      <c r="J8" s="3006">
        <v>4024</v>
      </c>
      <c r="K8" s="3006">
        <f t="shared" si="2"/>
        <v>873</v>
      </c>
      <c r="L8" s="3006">
        <f t="shared" si="1"/>
        <v>7096</v>
      </c>
      <c r="M8" s="3008"/>
      <c r="N8" s="3008"/>
      <c r="O8" s="3008"/>
      <c r="P8" s="3008"/>
      <c r="Q8" s="3008"/>
      <c r="R8" s="3008"/>
    </row>
    <row r="9" spans="1:18" s="3009" customFormat="1" ht="15" thickBot="1">
      <c r="A9" s="3003">
        <v>8</v>
      </c>
      <c r="B9" s="3004" t="s">
        <v>3406</v>
      </c>
      <c r="C9" s="3004" t="s">
        <v>3407</v>
      </c>
      <c r="D9" s="3005">
        <v>77.209999999999994</v>
      </c>
      <c r="E9" s="3005">
        <v>535.04999999999995</v>
      </c>
      <c r="F9" s="3005" t="s">
        <v>3405</v>
      </c>
      <c r="G9" s="3006">
        <f t="shared" si="0"/>
        <v>165</v>
      </c>
      <c r="H9" s="3006">
        <f t="shared" si="0"/>
        <v>3072</v>
      </c>
      <c r="I9" s="3006">
        <f>ROUND(K9*[1]成本法!$C$57,0)</f>
        <v>215</v>
      </c>
      <c r="J9" s="3006">
        <v>4024</v>
      </c>
      <c r="K9" s="3006">
        <f t="shared" si="2"/>
        <v>380</v>
      </c>
      <c r="L9" s="3006">
        <f t="shared" si="1"/>
        <v>7096</v>
      </c>
      <c r="M9" s="3008"/>
      <c r="N9" s="3008"/>
      <c r="O9" s="3008"/>
      <c r="P9" s="3008"/>
      <c r="Q9" s="3008"/>
      <c r="R9" s="3008"/>
    </row>
    <row r="10" spans="1:18" s="3009" customFormat="1" ht="15" thickBot="1">
      <c r="A10" s="3003">
        <v>9</v>
      </c>
      <c r="B10" s="3004" t="s">
        <v>3408</v>
      </c>
      <c r="C10" s="3004" t="s">
        <v>3409</v>
      </c>
      <c r="D10" s="3005">
        <v>98.17</v>
      </c>
      <c r="E10" s="3005">
        <v>680.24</v>
      </c>
      <c r="F10" s="3005" t="s">
        <v>3405</v>
      </c>
      <c r="G10" s="3006">
        <f t="shared" si="0"/>
        <v>209</v>
      </c>
      <c r="H10" s="3006">
        <f t="shared" si="0"/>
        <v>3072</v>
      </c>
      <c r="I10" s="3006">
        <f>ROUND(K10*[1]成本法!$C$57,0)</f>
        <v>274</v>
      </c>
      <c r="J10" s="3006">
        <v>4024</v>
      </c>
      <c r="K10" s="3006">
        <f t="shared" si="2"/>
        <v>483</v>
      </c>
      <c r="L10" s="3006">
        <f t="shared" si="1"/>
        <v>7096</v>
      </c>
      <c r="M10" s="3008"/>
      <c r="N10" s="3008"/>
      <c r="O10" s="3008"/>
      <c r="P10" s="3008"/>
      <c r="Q10" s="3008"/>
      <c r="R10" s="3008"/>
    </row>
    <row r="11" spans="1:18" s="3009" customFormat="1" ht="15" thickBot="1">
      <c r="A11" s="3003">
        <v>10</v>
      </c>
      <c r="B11" s="3004" t="s">
        <v>3410</v>
      </c>
      <c r="C11" s="3004" t="s">
        <v>3411</v>
      </c>
      <c r="D11" s="3005">
        <v>229.85</v>
      </c>
      <c r="E11" s="3005">
        <v>1592.71</v>
      </c>
      <c r="F11" s="3005" t="s">
        <v>3405</v>
      </c>
      <c r="G11" s="3006">
        <f t="shared" si="0"/>
        <v>489</v>
      </c>
      <c r="H11" s="3006">
        <f t="shared" si="0"/>
        <v>3072</v>
      </c>
      <c r="I11" s="3006">
        <f>ROUND(K11*[1]成本法!$C$57,0)</f>
        <v>641</v>
      </c>
      <c r="J11" s="3006">
        <v>4024</v>
      </c>
      <c r="K11" s="3006">
        <f t="shared" si="2"/>
        <v>1130</v>
      </c>
      <c r="L11" s="3006">
        <f t="shared" si="1"/>
        <v>7096</v>
      </c>
      <c r="M11" s="3008"/>
      <c r="N11" s="3008"/>
      <c r="O11" s="3008"/>
      <c r="P11" s="3008"/>
      <c r="Q11" s="3008"/>
      <c r="R11" s="3008"/>
    </row>
    <row r="12" spans="1:18" s="3009" customFormat="1" ht="15" thickBot="1">
      <c r="A12" s="3003">
        <v>11</v>
      </c>
      <c r="B12" s="3004" t="s">
        <v>3412</v>
      </c>
      <c r="C12" s="3004" t="s">
        <v>3413</v>
      </c>
      <c r="D12" s="3005">
        <v>19.27</v>
      </c>
      <c r="E12" s="3005">
        <v>133.5</v>
      </c>
      <c r="F12" s="3005" t="s">
        <v>3405</v>
      </c>
      <c r="G12" s="3006">
        <f t="shared" si="0"/>
        <v>41</v>
      </c>
      <c r="H12" s="3006">
        <f t="shared" si="0"/>
        <v>3072</v>
      </c>
      <c r="I12" s="3006">
        <f>ROUND(K12*[1]成本法!$C$57,0)</f>
        <v>54</v>
      </c>
      <c r="J12" s="3006">
        <v>4024</v>
      </c>
      <c r="K12" s="3006">
        <f t="shared" si="2"/>
        <v>95</v>
      </c>
      <c r="L12" s="3006">
        <f t="shared" si="1"/>
        <v>7096</v>
      </c>
      <c r="M12" s="3008"/>
      <c r="N12" s="3008"/>
      <c r="O12" s="3008"/>
      <c r="P12" s="3008"/>
      <c r="Q12" s="3008"/>
      <c r="R12" s="3008"/>
    </row>
    <row r="13" spans="1:18" s="3009" customFormat="1" ht="15" thickBot="1">
      <c r="A13" s="3003">
        <v>12</v>
      </c>
      <c r="B13" s="3004" t="s">
        <v>3414</v>
      </c>
      <c r="C13" s="3004" t="s">
        <v>3415</v>
      </c>
      <c r="D13" s="3005">
        <v>193.35</v>
      </c>
      <c r="E13" s="3005">
        <v>1339.83</v>
      </c>
      <c r="F13" s="3005" t="s">
        <v>3405</v>
      </c>
      <c r="G13" s="3006">
        <f t="shared" si="0"/>
        <v>412</v>
      </c>
      <c r="H13" s="3006">
        <f t="shared" si="0"/>
        <v>3072</v>
      </c>
      <c r="I13" s="3006">
        <f>ROUND(K13*[1]成本法!$C$57,0)</f>
        <v>539</v>
      </c>
      <c r="J13" s="3006">
        <v>4024</v>
      </c>
      <c r="K13" s="3006">
        <f t="shared" si="2"/>
        <v>951</v>
      </c>
      <c r="L13" s="3006">
        <f t="shared" si="1"/>
        <v>7096</v>
      </c>
      <c r="M13" s="3008"/>
      <c r="N13" s="3008"/>
      <c r="O13" s="3008"/>
      <c r="P13" s="3008"/>
      <c r="Q13" s="3008"/>
      <c r="R13" s="3008"/>
    </row>
    <row r="14" spans="1:18" ht="15" thickBot="1">
      <c r="A14" s="3003">
        <v>13</v>
      </c>
      <c r="B14" s="3004" t="s">
        <v>3416</v>
      </c>
      <c r="C14" s="3004" t="s">
        <v>3417</v>
      </c>
      <c r="D14" s="3005">
        <v>77.010000000000005</v>
      </c>
      <c r="E14" s="3005">
        <v>533.66999999999996</v>
      </c>
      <c r="F14" s="3005" t="s">
        <v>3418</v>
      </c>
      <c r="G14" s="3006">
        <f t="shared" si="0"/>
        <v>164</v>
      </c>
      <c r="H14" s="3006">
        <f t="shared" si="0"/>
        <v>3072</v>
      </c>
      <c r="I14" s="3006">
        <f>ROUND(K14*[1]成本法!$C$57,0)</f>
        <v>215</v>
      </c>
      <c r="J14" s="3006">
        <v>4024</v>
      </c>
      <c r="K14" s="3006">
        <f t="shared" si="2"/>
        <v>379</v>
      </c>
      <c r="L14" s="3006">
        <f t="shared" si="1"/>
        <v>7096</v>
      </c>
      <c r="M14" s="3007" t="s">
        <v>3419</v>
      </c>
      <c r="N14" s="3002">
        <v>1.04</v>
      </c>
      <c r="O14" s="3007" t="s">
        <v>3420</v>
      </c>
      <c r="P14" s="3002">
        <f>SUM(E79:E107)</f>
        <v>15724.320000000003</v>
      </c>
      <c r="Q14" s="3002">
        <f>ROUND(Q16*1.04,0)</f>
        <v>7380</v>
      </c>
      <c r="R14" s="3002">
        <f>N18-R15-R16</f>
        <v>11607</v>
      </c>
    </row>
    <row r="15" spans="1:18" ht="15" thickBot="1">
      <c r="A15" s="3003">
        <v>14</v>
      </c>
      <c r="B15" s="3004" t="s">
        <v>3421</v>
      </c>
      <c r="C15" s="3004" t="s">
        <v>3422</v>
      </c>
      <c r="D15" s="3005">
        <v>48.68</v>
      </c>
      <c r="E15" s="3005">
        <v>337.31</v>
      </c>
      <c r="F15" s="3005" t="s">
        <v>3418</v>
      </c>
      <c r="G15" s="3006">
        <f t="shared" si="0"/>
        <v>103</v>
      </c>
      <c r="H15" s="3006">
        <f t="shared" si="0"/>
        <v>3072</v>
      </c>
      <c r="I15" s="3006">
        <f>ROUND(K15*[1]成本法!$C$57,0)</f>
        <v>136</v>
      </c>
      <c r="J15" s="3006">
        <v>4024</v>
      </c>
      <c r="K15" s="3006">
        <f t="shared" si="2"/>
        <v>239</v>
      </c>
      <c r="L15" s="3006">
        <f t="shared" si="1"/>
        <v>7096</v>
      </c>
      <c r="M15" s="3007" t="s">
        <v>3423</v>
      </c>
      <c r="N15" s="3002">
        <v>1.02</v>
      </c>
      <c r="O15" s="3007" t="s">
        <v>3424</v>
      </c>
      <c r="P15" s="3002">
        <f>SUM(E53:E78)</f>
        <v>16311.269999999995</v>
      </c>
      <c r="Q15" s="3002">
        <f>ROUND(Q16*1.02,0)</f>
        <v>7238</v>
      </c>
      <c r="R15" s="3002">
        <f>ROUND(Q15*P15/10000,0)</f>
        <v>11806</v>
      </c>
    </row>
    <row r="16" spans="1:18" ht="15" thickBot="1">
      <c r="A16" s="3003">
        <v>15</v>
      </c>
      <c r="B16" s="3004" t="s">
        <v>3425</v>
      </c>
      <c r="C16" s="3004" t="s">
        <v>3426</v>
      </c>
      <c r="D16" s="3005">
        <v>27.42</v>
      </c>
      <c r="E16" s="3005">
        <v>189.98</v>
      </c>
      <c r="F16" s="3005" t="s">
        <v>3418</v>
      </c>
      <c r="G16" s="3006">
        <f t="shared" si="0"/>
        <v>58</v>
      </c>
      <c r="H16" s="3006">
        <f t="shared" si="0"/>
        <v>3072</v>
      </c>
      <c r="I16" s="3006">
        <f>ROUND(K16*[1]成本法!$C$57,0)</f>
        <v>77</v>
      </c>
      <c r="J16" s="3006">
        <v>4024</v>
      </c>
      <c r="K16" s="3006">
        <f t="shared" si="2"/>
        <v>135</v>
      </c>
      <c r="L16" s="3006">
        <f t="shared" si="1"/>
        <v>7096</v>
      </c>
      <c r="M16" s="3007" t="s">
        <v>3427</v>
      </c>
      <c r="N16" s="3002">
        <v>1</v>
      </c>
      <c r="O16" s="3007" t="s">
        <v>3428</v>
      </c>
      <c r="P16" s="3002">
        <f>SUM(E4:E52)</f>
        <v>26253.919999999987</v>
      </c>
      <c r="Q16" s="3002">
        <f>P26</f>
        <v>7096</v>
      </c>
      <c r="R16" s="3002">
        <f>ROUND(Q16*P16/10000,0)</f>
        <v>18630</v>
      </c>
    </row>
    <row r="17" spans="1:18" ht="15" thickBot="1">
      <c r="A17" s="3003">
        <v>16</v>
      </c>
      <c r="B17" s="3004" t="s">
        <v>3429</v>
      </c>
      <c r="C17" s="3004" t="s">
        <v>3430</v>
      </c>
      <c r="D17" s="3005">
        <v>22.35</v>
      </c>
      <c r="E17" s="3005">
        <v>154.85</v>
      </c>
      <c r="F17" s="3005" t="s">
        <v>3418</v>
      </c>
      <c r="G17" s="3006">
        <f t="shared" si="0"/>
        <v>48</v>
      </c>
      <c r="H17" s="3006">
        <f t="shared" si="0"/>
        <v>3072</v>
      </c>
      <c r="I17" s="3006">
        <f>ROUND(K17*[1]成本法!$C$57,0)</f>
        <v>62</v>
      </c>
      <c r="J17" s="3006">
        <v>4024</v>
      </c>
      <c r="K17" s="3006">
        <f t="shared" si="2"/>
        <v>110</v>
      </c>
      <c r="L17" s="3006">
        <f t="shared" si="1"/>
        <v>7096</v>
      </c>
      <c r="M17" s="3007" t="s">
        <v>3431</v>
      </c>
      <c r="N17" s="3002">
        <f>ROUND(N18/'[1]数据-汇总表'!F19*10000,0)</f>
        <v>7213</v>
      </c>
      <c r="P17" s="3002">
        <f>P14+P15+P16</f>
        <v>58289.50999999998</v>
      </c>
      <c r="R17" s="3002">
        <f>SUM(R14:R16)</f>
        <v>42043</v>
      </c>
    </row>
    <row r="18" spans="1:18" ht="15" thickBot="1">
      <c r="A18" s="3003">
        <v>17</v>
      </c>
      <c r="B18" s="3004" t="s">
        <v>3432</v>
      </c>
      <c r="C18" s="3004" t="s">
        <v>3433</v>
      </c>
      <c r="D18" s="3005">
        <v>57.95</v>
      </c>
      <c r="E18" s="3005">
        <v>401.57</v>
      </c>
      <c r="F18" s="3005" t="s">
        <v>3418</v>
      </c>
      <c r="G18" s="3006">
        <f t="shared" si="0"/>
        <v>123</v>
      </c>
      <c r="H18" s="3006">
        <f t="shared" si="0"/>
        <v>3072</v>
      </c>
      <c r="I18" s="3006">
        <f>ROUND(K18*[1]成本法!$C$57,0)</f>
        <v>162</v>
      </c>
      <c r="J18" s="3006">
        <v>4024</v>
      </c>
      <c r="K18" s="3006">
        <f t="shared" si="2"/>
        <v>285</v>
      </c>
      <c r="L18" s="3006">
        <f t="shared" si="1"/>
        <v>7096</v>
      </c>
      <c r="M18" s="3007" t="s">
        <v>3434</v>
      </c>
      <c r="N18" s="3002">
        <f>N20</f>
        <v>42043</v>
      </c>
      <c r="O18" s="3007" t="s">
        <v>3435</v>
      </c>
    </row>
    <row r="19" spans="1:18" ht="15" thickBot="1">
      <c r="A19" s="3003">
        <v>18</v>
      </c>
      <c r="B19" s="3004" t="s">
        <v>3436</v>
      </c>
      <c r="C19" s="3004" t="s">
        <v>3437</v>
      </c>
      <c r="D19" s="3005">
        <v>48.51</v>
      </c>
      <c r="E19" s="3005">
        <v>336.14</v>
      </c>
      <c r="F19" s="3005" t="s">
        <v>3418</v>
      </c>
      <c r="G19" s="3006">
        <f t="shared" si="0"/>
        <v>103</v>
      </c>
      <c r="H19" s="3006">
        <f t="shared" si="0"/>
        <v>3072</v>
      </c>
      <c r="I19" s="3006">
        <f>ROUND(K19*[1]成本法!$C$57,0)</f>
        <v>136</v>
      </c>
      <c r="J19" s="3006">
        <v>4024</v>
      </c>
      <c r="K19" s="3006">
        <f t="shared" si="2"/>
        <v>239</v>
      </c>
      <c r="L19" s="3006">
        <f t="shared" si="1"/>
        <v>7096</v>
      </c>
      <c r="M19" s="3007" t="s">
        <v>3438</v>
      </c>
      <c r="N19" s="3010">
        <f>ROUND('[1]收益法（汇总）'!B6/'[1]收益法（汇总）'!B2,4)</f>
        <v>0.90549999999999997</v>
      </c>
    </row>
    <row r="20" spans="1:18" ht="15" thickBot="1">
      <c r="A20" s="3003">
        <v>19</v>
      </c>
      <c r="B20" s="3004" t="s">
        <v>3439</v>
      </c>
      <c r="C20" s="3004" t="s">
        <v>3440</v>
      </c>
      <c r="D20" s="3005">
        <v>58.21</v>
      </c>
      <c r="E20" s="3005">
        <v>403.36</v>
      </c>
      <c r="F20" s="3005" t="s">
        <v>3418</v>
      </c>
      <c r="G20" s="3006">
        <f t="shared" ref="G20:H79" si="3">K20-I20</f>
        <v>124</v>
      </c>
      <c r="H20" s="3006">
        <f t="shared" si="3"/>
        <v>3072</v>
      </c>
      <c r="I20" s="3006">
        <f>ROUND(K20*[1]成本法!$C$57,0)</f>
        <v>162</v>
      </c>
      <c r="J20" s="3006">
        <v>4024</v>
      </c>
      <c r="K20" s="3006">
        <f t="shared" si="2"/>
        <v>286</v>
      </c>
      <c r="L20" s="3006">
        <f t="shared" si="1"/>
        <v>7096</v>
      </c>
      <c r="M20" s="3007" t="s">
        <v>3441</v>
      </c>
      <c r="N20" s="3002">
        <f>ROUND([1]结果表!G19*面积明细!N19,0)</f>
        <v>42043</v>
      </c>
    </row>
    <row r="21" spans="1:18" ht="15" thickBot="1">
      <c r="A21" s="3003">
        <v>20</v>
      </c>
      <c r="B21" s="3004" t="s">
        <v>3442</v>
      </c>
      <c r="C21" s="3004" t="s">
        <v>3443</v>
      </c>
      <c r="D21" s="3005">
        <v>22.4</v>
      </c>
      <c r="E21" s="3005">
        <v>155.22999999999999</v>
      </c>
      <c r="F21" s="3005" t="s">
        <v>3418</v>
      </c>
      <c r="G21" s="3006">
        <f t="shared" si="3"/>
        <v>48</v>
      </c>
      <c r="H21" s="3006">
        <f t="shared" si="3"/>
        <v>3072</v>
      </c>
      <c r="I21" s="3006">
        <f>ROUND(K21*[1]成本法!$C$57,0)</f>
        <v>62</v>
      </c>
      <c r="J21" s="3006">
        <v>4024</v>
      </c>
      <c r="K21" s="3006">
        <f t="shared" si="2"/>
        <v>110</v>
      </c>
      <c r="L21" s="3006">
        <f t="shared" si="1"/>
        <v>7096</v>
      </c>
    </row>
    <row r="22" spans="1:18" ht="15" thickBot="1">
      <c r="A22" s="3003">
        <v>21</v>
      </c>
      <c r="B22" s="3004" t="s">
        <v>3444</v>
      </c>
      <c r="C22" s="3004" t="s">
        <v>3445</v>
      </c>
      <c r="D22" s="3005">
        <v>39.159999999999997</v>
      </c>
      <c r="E22" s="3005">
        <v>271.39</v>
      </c>
      <c r="F22" s="3005" t="s">
        <v>3418</v>
      </c>
      <c r="G22" s="3006">
        <f t="shared" si="3"/>
        <v>84</v>
      </c>
      <c r="H22" s="3006">
        <f t="shared" si="3"/>
        <v>3072</v>
      </c>
      <c r="I22" s="3006">
        <f>ROUND(K22*[1]成本法!$C$57,0)</f>
        <v>109</v>
      </c>
      <c r="J22" s="3006">
        <v>4024</v>
      </c>
      <c r="K22" s="3006">
        <f t="shared" si="2"/>
        <v>193</v>
      </c>
      <c r="L22" s="3006">
        <f t="shared" si="1"/>
        <v>7096</v>
      </c>
    </row>
    <row r="23" spans="1:18" ht="15" thickBot="1">
      <c r="A23" s="3003">
        <v>22</v>
      </c>
      <c r="B23" s="3004" t="s">
        <v>3446</v>
      </c>
      <c r="C23" s="3004" t="s">
        <v>3447</v>
      </c>
      <c r="D23" s="3005">
        <v>27.46</v>
      </c>
      <c r="E23" s="3005">
        <v>190.28</v>
      </c>
      <c r="F23" s="3005" t="s">
        <v>3418</v>
      </c>
      <c r="G23" s="3006">
        <f t="shared" si="3"/>
        <v>58</v>
      </c>
      <c r="H23" s="3006">
        <f t="shared" si="3"/>
        <v>3072</v>
      </c>
      <c r="I23" s="3006">
        <f>ROUND(K23*[1]成本法!$C$57,0)</f>
        <v>77</v>
      </c>
      <c r="J23" s="3006">
        <v>4024</v>
      </c>
      <c r="K23" s="3006">
        <f t="shared" si="2"/>
        <v>135</v>
      </c>
      <c r="L23" s="3006">
        <f t="shared" si="1"/>
        <v>7096</v>
      </c>
      <c r="P23" s="3007" t="s">
        <v>3448</v>
      </c>
    </row>
    <row r="24" spans="1:18" ht="15" thickBot="1">
      <c r="A24" s="3003">
        <v>23</v>
      </c>
      <c r="B24" s="3004" t="s">
        <v>3449</v>
      </c>
      <c r="C24" s="3004" t="s">
        <v>3450</v>
      </c>
      <c r="D24" s="3005">
        <v>109.74</v>
      </c>
      <c r="E24" s="3005">
        <v>760.46</v>
      </c>
      <c r="F24" s="3005" t="s">
        <v>3418</v>
      </c>
      <c r="G24" s="3006">
        <f t="shared" si="3"/>
        <v>234</v>
      </c>
      <c r="H24" s="3006">
        <f t="shared" si="3"/>
        <v>3072</v>
      </c>
      <c r="I24" s="3006">
        <f>ROUND(K24*[1]成本法!$C$57,0)</f>
        <v>306</v>
      </c>
      <c r="J24" s="3006">
        <v>4024</v>
      </c>
      <c r="K24" s="3006">
        <f t="shared" si="2"/>
        <v>540</v>
      </c>
      <c r="L24" s="3006">
        <f t="shared" si="1"/>
        <v>7096</v>
      </c>
    </row>
    <row r="25" spans="1:18" ht="15" thickBot="1">
      <c r="A25" s="3003">
        <v>24</v>
      </c>
      <c r="B25" s="3004" t="s">
        <v>3451</v>
      </c>
      <c r="C25" s="3004" t="s">
        <v>3452</v>
      </c>
      <c r="D25" s="3005">
        <v>76.680000000000007</v>
      </c>
      <c r="E25" s="3005">
        <v>531.33000000000004</v>
      </c>
      <c r="F25" s="3005" t="s">
        <v>3418</v>
      </c>
      <c r="G25" s="3006">
        <f t="shared" si="3"/>
        <v>163</v>
      </c>
      <c r="H25" s="3006">
        <f t="shared" si="3"/>
        <v>3072</v>
      </c>
      <c r="I25" s="3006">
        <f>ROUND(K25*[1]成本法!$C$57,0)</f>
        <v>214</v>
      </c>
      <c r="J25" s="3006">
        <v>4024</v>
      </c>
      <c r="K25" s="3006">
        <f t="shared" si="2"/>
        <v>377</v>
      </c>
      <c r="L25" s="3006">
        <f t="shared" si="1"/>
        <v>7096</v>
      </c>
    </row>
    <row r="26" spans="1:18" ht="15" thickBot="1">
      <c r="A26" s="3003">
        <v>25</v>
      </c>
      <c r="B26" s="3004" t="s">
        <v>3453</v>
      </c>
      <c r="C26" s="3004" t="s">
        <v>3454</v>
      </c>
      <c r="D26" s="3005">
        <v>68</v>
      </c>
      <c r="E26" s="3005">
        <v>471.2</v>
      </c>
      <c r="F26" s="3005" t="s">
        <v>3418</v>
      </c>
      <c r="G26" s="3006">
        <f t="shared" si="3"/>
        <v>145</v>
      </c>
      <c r="H26" s="3006">
        <f t="shared" si="3"/>
        <v>3072</v>
      </c>
      <c r="I26" s="3006">
        <f>ROUND(K26*[1]成本法!$C$57,0)</f>
        <v>189</v>
      </c>
      <c r="J26" s="3006">
        <v>4024</v>
      </c>
      <c r="K26" s="3006">
        <f t="shared" si="2"/>
        <v>334</v>
      </c>
      <c r="L26" s="3006">
        <f t="shared" si="1"/>
        <v>7096</v>
      </c>
      <c r="P26" s="3002">
        <f>ROUND(N18/(P16+P15*1.02+P14*1.04)*10000,0)</f>
        <v>7096</v>
      </c>
    </row>
    <row r="27" spans="1:18" ht="15" thickBot="1">
      <c r="A27" s="3003">
        <v>26</v>
      </c>
      <c r="B27" s="3004" t="s">
        <v>3455</v>
      </c>
      <c r="C27" s="3004" t="s">
        <v>3456</v>
      </c>
      <c r="D27" s="3005">
        <v>192.82</v>
      </c>
      <c r="E27" s="3005">
        <v>1336.12</v>
      </c>
      <c r="F27" s="3005" t="s">
        <v>3418</v>
      </c>
      <c r="G27" s="3006">
        <f t="shared" si="3"/>
        <v>410</v>
      </c>
      <c r="H27" s="3006">
        <f t="shared" si="3"/>
        <v>3072</v>
      </c>
      <c r="I27" s="3006">
        <f>ROUND(K27*[1]成本法!$C$57,0)</f>
        <v>538</v>
      </c>
      <c r="J27" s="3006">
        <v>4024</v>
      </c>
      <c r="K27" s="3006">
        <f t="shared" si="2"/>
        <v>948</v>
      </c>
      <c r="L27" s="3006">
        <f t="shared" si="1"/>
        <v>7096</v>
      </c>
      <c r="O27" s="3007" t="s">
        <v>3457</v>
      </c>
      <c r="P27" s="3002">
        <f>SUM(K4:K107)</f>
        <v>42051</v>
      </c>
    </row>
    <row r="28" spans="1:18" ht="15" thickBot="1">
      <c r="A28" s="3003">
        <v>27</v>
      </c>
      <c r="B28" s="3004" t="s">
        <v>3458</v>
      </c>
      <c r="C28" s="3004" t="s">
        <v>3459</v>
      </c>
      <c r="D28" s="3005">
        <v>10.1</v>
      </c>
      <c r="E28" s="3005">
        <v>70</v>
      </c>
      <c r="F28" s="3005" t="s">
        <v>3418</v>
      </c>
      <c r="G28" s="3006">
        <f t="shared" si="3"/>
        <v>22</v>
      </c>
      <c r="H28" s="3006">
        <f t="shared" si="3"/>
        <v>3072</v>
      </c>
      <c r="I28" s="3006">
        <f>ROUND(K28*[1]成本法!$C$57,0)</f>
        <v>28</v>
      </c>
      <c r="J28" s="3006">
        <v>4024</v>
      </c>
      <c r="K28" s="3006">
        <f t="shared" si="2"/>
        <v>50</v>
      </c>
      <c r="L28" s="3006">
        <f t="shared" si="1"/>
        <v>7096</v>
      </c>
    </row>
    <row r="29" spans="1:18" ht="15" thickBot="1">
      <c r="A29" s="3003">
        <v>28</v>
      </c>
      <c r="B29" s="3004" t="s">
        <v>3460</v>
      </c>
      <c r="C29" s="3004" t="s">
        <v>3461</v>
      </c>
      <c r="D29" s="3005">
        <v>177.89</v>
      </c>
      <c r="E29" s="3005">
        <v>1232.6500000000001</v>
      </c>
      <c r="F29" s="3005" t="s">
        <v>3462</v>
      </c>
      <c r="G29" s="3006">
        <f t="shared" si="3"/>
        <v>379</v>
      </c>
      <c r="H29" s="3006">
        <f t="shared" si="3"/>
        <v>3072</v>
      </c>
      <c r="I29" s="3006">
        <f>ROUND(K29*[1]成本法!$C$57,0)</f>
        <v>496</v>
      </c>
      <c r="J29" s="3006">
        <v>4024</v>
      </c>
      <c r="K29" s="3006">
        <f t="shared" si="2"/>
        <v>875</v>
      </c>
      <c r="L29" s="3006">
        <f t="shared" si="1"/>
        <v>7096</v>
      </c>
      <c r="P29" s="3007" t="s">
        <v>3463</v>
      </c>
      <c r="Q29" s="3002">
        <f>[1]结果表!G19-P27</f>
        <v>4380</v>
      </c>
      <c r="R29" s="3002">
        <f>[1]结果表!H118-面积明细!N18</f>
        <v>4388</v>
      </c>
    </row>
    <row r="30" spans="1:18" ht="15" thickBot="1">
      <c r="A30" s="3003">
        <v>29</v>
      </c>
      <c r="B30" s="3004" t="s">
        <v>3464</v>
      </c>
      <c r="C30" s="3004" t="s">
        <v>3465</v>
      </c>
      <c r="D30" s="3005">
        <v>92.65</v>
      </c>
      <c r="E30" s="3005">
        <v>642</v>
      </c>
      <c r="F30" s="3005" t="s">
        <v>3462</v>
      </c>
      <c r="G30" s="3006">
        <f t="shared" si="3"/>
        <v>197</v>
      </c>
      <c r="H30" s="3006">
        <f t="shared" si="3"/>
        <v>3072</v>
      </c>
      <c r="I30" s="3006">
        <f>ROUND(K30*[1]成本法!$C$57,0)</f>
        <v>259</v>
      </c>
      <c r="J30" s="3006">
        <v>4024</v>
      </c>
      <c r="K30" s="3006">
        <f t="shared" si="2"/>
        <v>456</v>
      </c>
      <c r="L30" s="3006">
        <f t="shared" si="1"/>
        <v>7096</v>
      </c>
      <c r="P30" s="3007" t="s">
        <v>3466</v>
      </c>
      <c r="Q30" s="3002">
        <f>ROUND(Q29*10000/'[1]收益法 (车库)'!F7,0)</f>
        <v>2877</v>
      </c>
    </row>
    <row r="31" spans="1:18" ht="15" thickBot="1">
      <c r="A31" s="3003">
        <v>30</v>
      </c>
      <c r="B31" s="3004" t="s">
        <v>3467</v>
      </c>
      <c r="C31" s="3004" t="s">
        <v>3468</v>
      </c>
      <c r="D31" s="3005">
        <v>14.78</v>
      </c>
      <c r="E31" s="3005">
        <v>102.42</v>
      </c>
      <c r="F31" s="3005" t="s">
        <v>3462</v>
      </c>
      <c r="G31" s="3006">
        <f t="shared" si="3"/>
        <v>32</v>
      </c>
      <c r="H31" s="3006">
        <f t="shared" si="3"/>
        <v>3072</v>
      </c>
      <c r="I31" s="3006">
        <f>ROUND(K31*[1]成本法!$C$57,0)</f>
        <v>41</v>
      </c>
      <c r="J31" s="3006">
        <v>4024</v>
      </c>
      <c r="K31" s="3006">
        <f t="shared" si="2"/>
        <v>73</v>
      </c>
      <c r="L31" s="3006">
        <f t="shared" si="1"/>
        <v>7096</v>
      </c>
    </row>
    <row r="32" spans="1:18" ht="15" thickBot="1">
      <c r="A32" s="3003">
        <v>31</v>
      </c>
      <c r="B32" s="3004" t="s">
        <v>3469</v>
      </c>
      <c r="C32" s="3004" t="s">
        <v>3470</v>
      </c>
      <c r="D32" s="3005">
        <v>10.34</v>
      </c>
      <c r="E32" s="3005">
        <v>71.66</v>
      </c>
      <c r="F32" s="3005" t="s">
        <v>3462</v>
      </c>
      <c r="G32" s="3006">
        <f t="shared" si="3"/>
        <v>22</v>
      </c>
      <c r="H32" s="3006">
        <f t="shared" si="3"/>
        <v>3072</v>
      </c>
      <c r="I32" s="3006">
        <f>ROUND(K32*[1]成本法!$C$57,0)</f>
        <v>29</v>
      </c>
      <c r="J32" s="3006">
        <v>4024</v>
      </c>
      <c r="K32" s="3006">
        <f t="shared" si="2"/>
        <v>51</v>
      </c>
      <c r="L32" s="3006">
        <f t="shared" si="1"/>
        <v>7096</v>
      </c>
    </row>
    <row r="33" spans="1:16" ht="15" thickBot="1">
      <c r="A33" s="3003">
        <v>32</v>
      </c>
      <c r="B33" s="3004" t="s">
        <v>3471</v>
      </c>
      <c r="C33" s="3004" t="s">
        <v>3472</v>
      </c>
      <c r="D33" s="3005">
        <v>55.49</v>
      </c>
      <c r="E33" s="3005">
        <v>384.52</v>
      </c>
      <c r="F33" s="3005" t="s">
        <v>3473</v>
      </c>
      <c r="G33" s="3006">
        <f t="shared" si="3"/>
        <v>118</v>
      </c>
      <c r="H33" s="3006">
        <f t="shared" si="3"/>
        <v>3072</v>
      </c>
      <c r="I33" s="3006">
        <f>ROUND(K33*[1]成本法!$C$57,0)</f>
        <v>155</v>
      </c>
      <c r="J33" s="3006">
        <v>4024</v>
      </c>
      <c r="K33" s="3006">
        <f t="shared" si="2"/>
        <v>273</v>
      </c>
      <c r="L33" s="3006">
        <f t="shared" si="1"/>
        <v>7096</v>
      </c>
    </row>
    <row r="34" spans="1:16" ht="15" thickBot="1">
      <c r="A34" s="3003">
        <v>33</v>
      </c>
      <c r="B34" s="3004" t="s">
        <v>3474</v>
      </c>
      <c r="C34" s="3004" t="s">
        <v>3475</v>
      </c>
      <c r="D34" s="3005">
        <v>98.99</v>
      </c>
      <c r="E34" s="3005">
        <v>685.96</v>
      </c>
      <c r="F34" s="3005" t="s">
        <v>3473</v>
      </c>
      <c r="G34" s="3006">
        <f t="shared" si="3"/>
        <v>211</v>
      </c>
      <c r="H34" s="3006">
        <f t="shared" si="3"/>
        <v>3072</v>
      </c>
      <c r="I34" s="3006">
        <f>ROUND(K34*[1]成本法!$C$57,0)</f>
        <v>276</v>
      </c>
      <c r="J34" s="3006">
        <v>4024</v>
      </c>
      <c r="K34" s="3006">
        <f t="shared" si="2"/>
        <v>487</v>
      </c>
      <c r="L34" s="3006">
        <f t="shared" si="1"/>
        <v>7096</v>
      </c>
      <c r="O34" s="3002">
        <f>SUM(E4:E13)</f>
        <v>9854.2199999999993</v>
      </c>
      <c r="P34" s="3002">
        <f>SUM(K4:K13)</f>
        <v>6994</v>
      </c>
    </row>
    <row r="35" spans="1:16" ht="15" thickBot="1">
      <c r="A35" s="3003">
        <v>34</v>
      </c>
      <c r="B35" s="3004" t="s">
        <v>3476</v>
      </c>
      <c r="C35" s="3004" t="s">
        <v>3477</v>
      </c>
      <c r="D35" s="3005">
        <v>67.69</v>
      </c>
      <c r="E35" s="3005">
        <v>469.05</v>
      </c>
      <c r="F35" s="3005" t="s">
        <v>3473</v>
      </c>
      <c r="G35" s="3006">
        <f t="shared" si="3"/>
        <v>144</v>
      </c>
      <c r="H35" s="3006">
        <f t="shared" si="3"/>
        <v>3072</v>
      </c>
      <c r="I35" s="3006">
        <f>ROUND(K35*[1]成本法!$C$57,0)</f>
        <v>189</v>
      </c>
      <c r="J35" s="3006">
        <v>4024</v>
      </c>
      <c r="K35" s="3006">
        <f t="shared" si="2"/>
        <v>333</v>
      </c>
      <c r="L35" s="3006">
        <f t="shared" si="1"/>
        <v>7096</v>
      </c>
      <c r="P35" s="3002">
        <f>P34/K103</f>
        <v>18.502645502645503</v>
      </c>
    </row>
    <row r="36" spans="1:16" ht="15" thickBot="1">
      <c r="A36" s="3003">
        <v>35</v>
      </c>
      <c r="B36" s="3004" t="s">
        <v>3478</v>
      </c>
      <c r="C36" s="3004" t="s">
        <v>3479</v>
      </c>
      <c r="D36" s="3005">
        <v>63.81</v>
      </c>
      <c r="E36" s="3005">
        <v>442.19</v>
      </c>
      <c r="F36" s="3005" t="s">
        <v>3473</v>
      </c>
      <c r="G36" s="3006">
        <f t="shared" si="3"/>
        <v>136</v>
      </c>
      <c r="H36" s="3006">
        <f t="shared" si="3"/>
        <v>3072</v>
      </c>
      <c r="I36" s="3006">
        <f>ROUND(K36*[1]成本法!$C$57,0)</f>
        <v>178</v>
      </c>
      <c r="J36" s="3006">
        <v>4024</v>
      </c>
      <c r="K36" s="3006">
        <f t="shared" si="2"/>
        <v>314</v>
      </c>
      <c r="L36" s="3006">
        <f t="shared" si="1"/>
        <v>7096</v>
      </c>
    </row>
    <row r="37" spans="1:16" ht="15" thickBot="1">
      <c r="A37" s="3003">
        <v>36</v>
      </c>
      <c r="B37" s="3004" t="s">
        <v>3480</v>
      </c>
      <c r="C37" s="3004" t="s">
        <v>3481</v>
      </c>
      <c r="D37" s="3005">
        <v>10.15</v>
      </c>
      <c r="E37" s="3005">
        <v>70.3</v>
      </c>
      <c r="F37" s="3005" t="s">
        <v>3473</v>
      </c>
      <c r="G37" s="3006">
        <f t="shared" si="3"/>
        <v>22</v>
      </c>
      <c r="H37" s="3006">
        <f t="shared" si="3"/>
        <v>3072</v>
      </c>
      <c r="I37" s="3006">
        <f>ROUND(K37*[1]成本法!$C$57,0)</f>
        <v>28</v>
      </c>
      <c r="J37" s="3006">
        <v>4024</v>
      </c>
      <c r="K37" s="3006">
        <f t="shared" si="2"/>
        <v>50</v>
      </c>
      <c r="L37" s="3006">
        <f t="shared" si="1"/>
        <v>7096</v>
      </c>
    </row>
    <row r="38" spans="1:16" ht="15" thickBot="1">
      <c r="A38" s="3003">
        <v>37</v>
      </c>
      <c r="B38" s="3004" t="s">
        <v>3482</v>
      </c>
      <c r="C38" s="3004" t="s">
        <v>3483</v>
      </c>
      <c r="D38" s="3005">
        <v>55.49</v>
      </c>
      <c r="E38" s="3005">
        <v>384.52</v>
      </c>
      <c r="F38" s="3005" t="s">
        <v>3484</v>
      </c>
      <c r="G38" s="3006">
        <f t="shared" si="3"/>
        <v>118</v>
      </c>
      <c r="H38" s="3006">
        <f t="shared" si="3"/>
        <v>3072</v>
      </c>
      <c r="I38" s="3006">
        <f>ROUND(K38*[1]成本法!$C$57,0)</f>
        <v>155</v>
      </c>
      <c r="J38" s="3006">
        <v>4024</v>
      </c>
      <c r="K38" s="3006">
        <f t="shared" si="2"/>
        <v>273</v>
      </c>
      <c r="L38" s="3006">
        <f t="shared" si="1"/>
        <v>7096</v>
      </c>
    </row>
    <row r="39" spans="1:16" ht="15" thickBot="1">
      <c r="A39" s="3003">
        <v>38</v>
      </c>
      <c r="B39" s="3004" t="s">
        <v>3485</v>
      </c>
      <c r="C39" s="3004" t="s">
        <v>3486</v>
      </c>
      <c r="D39" s="3005">
        <v>98.99</v>
      </c>
      <c r="E39" s="3005">
        <v>685.96</v>
      </c>
      <c r="F39" s="3005" t="s">
        <v>3484</v>
      </c>
      <c r="G39" s="3006">
        <f t="shared" si="3"/>
        <v>211</v>
      </c>
      <c r="H39" s="3006">
        <f t="shared" si="3"/>
        <v>3072</v>
      </c>
      <c r="I39" s="3006">
        <f>ROUND(K39*[1]成本法!$C$57,0)</f>
        <v>276</v>
      </c>
      <c r="J39" s="3006">
        <v>4024</v>
      </c>
      <c r="K39" s="3006">
        <f t="shared" si="2"/>
        <v>487</v>
      </c>
      <c r="L39" s="3006">
        <f t="shared" si="1"/>
        <v>7096</v>
      </c>
    </row>
    <row r="40" spans="1:16" ht="15" thickBot="1">
      <c r="A40" s="3003">
        <v>39</v>
      </c>
      <c r="B40" s="3004" t="s">
        <v>3487</v>
      </c>
      <c r="C40" s="3004" t="s">
        <v>3488</v>
      </c>
      <c r="D40" s="3005">
        <v>67.69</v>
      </c>
      <c r="E40" s="3005">
        <v>469.05</v>
      </c>
      <c r="F40" s="3005" t="s">
        <v>3484</v>
      </c>
      <c r="G40" s="3006">
        <f t="shared" si="3"/>
        <v>144</v>
      </c>
      <c r="H40" s="3006">
        <f t="shared" si="3"/>
        <v>3072</v>
      </c>
      <c r="I40" s="3006">
        <f>ROUND(K40*[1]成本法!$C$57,0)</f>
        <v>189</v>
      </c>
      <c r="J40" s="3006">
        <v>4024</v>
      </c>
      <c r="K40" s="3006">
        <f t="shared" si="2"/>
        <v>333</v>
      </c>
      <c r="L40" s="3006">
        <f t="shared" si="1"/>
        <v>7096</v>
      </c>
    </row>
    <row r="41" spans="1:16" ht="15" thickBot="1">
      <c r="A41" s="3003">
        <v>40</v>
      </c>
      <c r="B41" s="3004" t="s">
        <v>3489</v>
      </c>
      <c r="C41" s="3004" t="s">
        <v>3490</v>
      </c>
      <c r="D41" s="3005">
        <v>63.81</v>
      </c>
      <c r="E41" s="3005">
        <v>442.19</v>
      </c>
      <c r="F41" s="3005" t="s">
        <v>3484</v>
      </c>
      <c r="G41" s="3006">
        <f t="shared" si="3"/>
        <v>136</v>
      </c>
      <c r="H41" s="3006">
        <f t="shared" si="3"/>
        <v>3072</v>
      </c>
      <c r="I41" s="3006">
        <f>ROUND(K41*[1]成本法!$C$57,0)</f>
        <v>178</v>
      </c>
      <c r="J41" s="3006">
        <v>4024</v>
      </c>
      <c r="K41" s="3006">
        <f t="shared" si="2"/>
        <v>314</v>
      </c>
      <c r="L41" s="3006">
        <f t="shared" si="1"/>
        <v>7096</v>
      </c>
    </row>
    <row r="42" spans="1:16" ht="15" thickBot="1">
      <c r="A42" s="3003">
        <v>41</v>
      </c>
      <c r="B42" s="3004" t="s">
        <v>3491</v>
      </c>
      <c r="C42" s="3004" t="s">
        <v>3492</v>
      </c>
      <c r="D42" s="3005">
        <v>10.15</v>
      </c>
      <c r="E42" s="3005">
        <v>70.3</v>
      </c>
      <c r="F42" s="3005" t="s">
        <v>3484</v>
      </c>
      <c r="G42" s="3006">
        <f t="shared" si="3"/>
        <v>22</v>
      </c>
      <c r="H42" s="3006">
        <f t="shared" si="3"/>
        <v>3072</v>
      </c>
      <c r="I42" s="3006">
        <f>ROUND(K42*[1]成本法!$C$57,0)</f>
        <v>28</v>
      </c>
      <c r="J42" s="3006">
        <v>4024</v>
      </c>
      <c r="K42" s="3006">
        <f t="shared" si="2"/>
        <v>50</v>
      </c>
      <c r="L42" s="3006">
        <f t="shared" si="1"/>
        <v>7096</v>
      </c>
    </row>
    <row r="43" spans="1:16" ht="15" thickBot="1">
      <c r="A43" s="3003">
        <v>42</v>
      </c>
      <c r="B43" s="3004" t="s">
        <v>3493</v>
      </c>
      <c r="C43" s="3004" t="s">
        <v>3494</v>
      </c>
      <c r="D43" s="3005">
        <v>55.49</v>
      </c>
      <c r="E43" s="3005">
        <v>384.52</v>
      </c>
      <c r="F43" s="3005" t="s">
        <v>3495</v>
      </c>
      <c r="G43" s="3006">
        <f t="shared" si="3"/>
        <v>118</v>
      </c>
      <c r="H43" s="3006">
        <f t="shared" si="3"/>
        <v>3072</v>
      </c>
      <c r="I43" s="3006">
        <f>ROUND(K43*[1]成本法!$C$57,0)</f>
        <v>155</v>
      </c>
      <c r="J43" s="3006">
        <v>4024</v>
      </c>
      <c r="K43" s="3006">
        <f t="shared" si="2"/>
        <v>273</v>
      </c>
      <c r="L43" s="3006">
        <f t="shared" si="1"/>
        <v>7096</v>
      </c>
    </row>
    <row r="44" spans="1:16" ht="15" thickBot="1">
      <c r="A44" s="3003">
        <v>43</v>
      </c>
      <c r="B44" s="3004" t="s">
        <v>3496</v>
      </c>
      <c r="C44" s="3004" t="s">
        <v>3497</v>
      </c>
      <c r="D44" s="3005">
        <v>98.99</v>
      </c>
      <c r="E44" s="3005">
        <v>685.96</v>
      </c>
      <c r="F44" s="3005" t="s">
        <v>3495</v>
      </c>
      <c r="G44" s="3006">
        <f t="shared" si="3"/>
        <v>211</v>
      </c>
      <c r="H44" s="3006">
        <f t="shared" si="3"/>
        <v>3072</v>
      </c>
      <c r="I44" s="3006">
        <f>ROUND(K44*[1]成本法!$C$57,0)</f>
        <v>276</v>
      </c>
      <c r="J44" s="3006">
        <v>4024</v>
      </c>
      <c r="K44" s="3006">
        <f t="shared" si="2"/>
        <v>487</v>
      </c>
      <c r="L44" s="3006">
        <f t="shared" si="1"/>
        <v>7096</v>
      </c>
    </row>
    <row r="45" spans="1:16" ht="15" thickBot="1">
      <c r="A45" s="3003">
        <v>44</v>
      </c>
      <c r="B45" s="3004" t="s">
        <v>3498</v>
      </c>
      <c r="C45" s="3004" t="s">
        <v>3499</v>
      </c>
      <c r="D45" s="3005">
        <v>67.69</v>
      </c>
      <c r="E45" s="3005">
        <v>469.05</v>
      </c>
      <c r="F45" s="3005" t="s">
        <v>3495</v>
      </c>
      <c r="G45" s="3006">
        <f t="shared" si="3"/>
        <v>144</v>
      </c>
      <c r="H45" s="3006">
        <f t="shared" si="3"/>
        <v>3072</v>
      </c>
      <c r="I45" s="3006">
        <f>ROUND(K45*[1]成本法!$C$57,0)</f>
        <v>189</v>
      </c>
      <c r="J45" s="3006">
        <v>4024</v>
      </c>
      <c r="K45" s="3006">
        <f t="shared" si="2"/>
        <v>333</v>
      </c>
      <c r="L45" s="3006">
        <f t="shared" si="1"/>
        <v>7096</v>
      </c>
    </row>
    <row r="46" spans="1:16" ht="15" thickBot="1">
      <c r="A46" s="3003">
        <v>45</v>
      </c>
      <c r="B46" s="3004" t="s">
        <v>3500</v>
      </c>
      <c r="C46" s="3004" t="s">
        <v>3501</v>
      </c>
      <c r="D46" s="3005">
        <v>63.81</v>
      </c>
      <c r="E46" s="3005">
        <v>442.19</v>
      </c>
      <c r="F46" s="3005" t="s">
        <v>3495</v>
      </c>
      <c r="G46" s="3006">
        <f t="shared" si="3"/>
        <v>136</v>
      </c>
      <c r="H46" s="3006">
        <f t="shared" si="3"/>
        <v>3072</v>
      </c>
      <c r="I46" s="3006">
        <f>ROUND(K46*[1]成本法!$C$57,0)</f>
        <v>178</v>
      </c>
      <c r="J46" s="3006">
        <v>4024</v>
      </c>
      <c r="K46" s="3006">
        <f t="shared" si="2"/>
        <v>314</v>
      </c>
      <c r="L46" s="3006">
        <f t="shared" si="1"/>
        <v>7096</v>
      </c>
    </row>
    <row r="47" spans="1:16" ht="15" thickBot="1">
      <c r="A47" s="3003">
        <v>46</v>
      </c>
      <c r="B47" s="3004" t="s">
        <v>3502</v>
      </c>
      <c r="C47" s="3004" t="s">
        <v>3503</v>
      </c>
      <c r="D47" s="3005">
        <v>10.15</v>
      </c>
      <c r="E47" s="3005">
        <v>70.3</v>
      </c>
      <c r="F47" s="3005" t="s">
        <v>3495</v>
      </c>
      <c r="G47" s="3006">
        <f t="shared" si="3"/>
        <v>22</v>
      </c>
      <c r="H47" s="3006">
        <f t="shared" si="3"/>
        <v>3072</v>
      </c>
      <c r="I47" s="3006">
        <f>ROUND(K47*[1]成本法!$C$57,0)</f>
        <v>28</v>
      </c>
      <c r="J47" s="3006">
        <v>4024</v>
      </c>
      <c r="K47" s="3006">
        <f t="shared" si="2"/>
        <v>50</v>
      </c>
      <c r="L47" s="3006">
        <f t="shared" si="1"/>
        <v>7096</v>
      </c>
    </row>
    <row r="48" spans="1:16" ht="15" thickBot="1">
      <c r="A48" s="3003">
        <v>47</v>
      </c>
      <c r="B48" s="3004" t="s">
        <v>3504</v>
      </c>
      <c r="C48" s="3004" t="s">
        <v>3505</v>
      </c>
      <c r="D48" s="3005">
        <v>55.49</v>
      </c>
      <c r="E48" s="3005">
        <v>384.52</v>
      </c>
      <c r="F48" s="3005" t="s">
        <v>3506</v>
      </c>
      <c r="G48" s="3006">
        <f t="shared" si="3"/>
        <v>118</v>
      </c>
      <c r="H48" s="3006">
        <f t="shared" si="3"/>
        <v>3065</v>
      </c>
      <c r="I48" s="3006">
        <f>ROUND(K48*[1]成本法!$C$57,0)</f>
        <v>155</v>
      </c>
      <c r="J48" s="3006">
        <f>ROUND(I48*10000/E48,0)</f>
        <v>4031</v>
      </c>
      <c r="K48" s="3006">
        <f t="shared" si="2"/>
        <v>273</v>
      </c>
      <c r="L48" s="3006">
        <f t="shared" si="1"/>
        <v>7096</v>
      </c>
    </row>
    <row r="49" spans="1:12" ht="15" thickBot="1">
      <c r="A49" s="3003">
        <v>48</v>
      </c>
      <c r="B49" s="3004" t="s">
        <v>3507</v>
      </c>
      <c r="C49" s="3004" t="s">
        <v>3508</v>
      </c>
      <c r="D49" s="3005">
        <v>98.99</v>
      </c>
      <c r="E49" s="3005">
        <v>685.96</v>
      </c>
      <c r="F49" s="3005" t="s">
        <v>3506</v>
      </c>
      <c r="G49" s="3006">
        <f t="shared" si="3"/>
        <v>211</v>
      </c>
      <c r="H49" s="3006">
        <f t="shared" si="3"/>
        <v>2987</v>
      </c>
      <c r="I49" s="3006">
        <f>ROUND(K49*[1]成本法!$C$57,0)</f>
        <v>276</v>
      </c>
      <c r="J49" s="3006">
        <v>4109</v>
      </c>
      <c r="K49" s="3006">
        <f t="shared" si="2"/>
        <v>487</v>
      </c>
      <c r="L49" s="3006">
        <f t="shared" si="1"/>
        <v>7096</v>
      </c>
    </row>
    <row r="50" spans="1:12" ht="15" thickBot="1">
      <c r="A50" s="3003">
        <v>49</v>
      </c>
      <c r="B50" s="3004" t="s">
        <v>3509</v>
      </c>
      <c r="C50" s="3004" t="s">
        <v>3510</v>
      </c>
      <c r="D50" s="3005">
        <v>67.69</v>
      </c>
      <c r="E50" s="3005">
        <v>469.05</v>
      </c>
      <c r="F50" s="3005" t="s">
        <v>3506</v>
      </c>
      <c r="G50" s="3006">
        <f t="shared" si="3"/>
        <v>144</v>
      </c>
      <c r="H50" s="3006">
        <f t="shared" si="3"/>
        <v>2987</v>
      </c>
      <c r="I50" s="3006">
        <f>ROUND(K50*[1]成本法!$C$57,0)</f>
        <v>189</v>
      </c>
      <c r="J50" s="3006">
        <v>4109</v>
      </c>
      <c r="K50" s="3006">
        <f t="shared" si="2"/>
        <v>333</v>
      </c>
      <c r="L50" s="3006">
        <f t="shared" si="1"/>
        <v>7096</v>
      </c>
    </row>
    <row r="51" spans="1:12" ht="15" thickBot="1">
      <c r="A51" s="3003">
        <v>50</v>
      </c>
      <c r="B51" s="3004" t="s">
        <v>3511</v>
      </c>
      <c r="C51" s="3004" t="s">
        <v>3512</v>
      </c>
      <c r="D51" s="3005">
        <v>63.81</v>
      </c>
      <c r="E51" s="3005">
        <v>442.19</v>
      </c>
      <c r="F51" s="3005" t="s">
        <v>3506</v>
      </c>
      <c r="G51" s="3006">
        <f t="shared" si="3"/>
        <v>136</v>
      </c>
      <c r="H51" s="3006">
        <f t="shared" si="3"/>
        <v>2987</v>
      </c>
      <c r="I51" s="3006">
        <f>ROUND(K51*[1]成本法!$C$57,0)</f>
        <v>178</v>
      </c>
      <c r="J51" s="3006">
        <v>4109</v>
      </c>
      <c r="K51" s="3006">
        <f t="shared" si="2"/>
        <v>314</v>
      </c>
      <c r="L51" s="3006">
        <f t="shared" si="1"/>
        <v>7096</v>
      </c>
    </row>
    <row r="52" spans="1:12" ht="15" thickBot="1">
      <c r="A52" s="3003">
        <v>51</v>
      </c>
      <c r="B52" s="3004" t="s">
        <v>3513</v>
      </c>
      <c r="C52" s="3004" t="s">
        <v>3514</v>
      </c>
      <c r="D52" s="3005">
        <v>10.15</v>
      </c>
      <c r="E52" s="3005">
        <v>70.3</v>
      </c>
      <c r="F52" s="3005" t="s">
        <v>3506</v>
      </c>
      <c r="G52" s="3006">
        <f t="shared" si="3"/>
        <v>22</v>
      </c>
      <c r="H52" s="3006">
        <f t="shared" si="3"/>
        <v>2987</v>
      </c>
      <c r="I52" s="3006">
        <f>ROUND(K52*[1]成本法!$C$57,0)</f>
        <v>28</v>
      </c>
      <c r="J52" s="3006">
        <v>4109</v>
      </c>
      <c r="K52" s="3006">
        <f t="shared" si="2"/>
        <v>50</v>
      </c>
      <c r="L52" s="3006">
        <f t="shared" si="1"/>
        <v>7096</v>
      </c>
    </row>
    <row r="53" spans="1:12" ht="15" thickBot="1">
      <c r="A53" s="3003">
        <v>52</v>
      </c>
      <c r="B53" s="3004" t="s">
        <v>3515</v>
      </c>
      <c r="C53" s="3004" t="s">
        <v>3516</v>
      </c>
      <c r="D53" s="3005">
        <v>55.49</v>
      </c>
      <c r="E53" s="3005">
        <v>384.52</v>
      </c>
      <c r="F53" s="3005" t="s">
        <v>3517</v>
      </c>
      <c r="G53" s="3006">
        <f t="shared" si="3"/>
        <v>120</v>
      </c>
      <c r="H53" s="3006">
        <f t="shared" si="3"/>
        <v>3129</v>
      </c>
      <c r="I53" s="3006">
        <f>ROUND(K53*[1]成本法!$C$57,0)</f>
        <v>158</v>
      </c>
      <c r="J53" s="3006">
        <v>4109</v>
      </c>
      <c r="K53" s="3006">
        <f t="shared" si="2"/>
        <v>278</v>
      </c>
      <c r="L53" s="3006">
        <f t="shared" ref="L53:L78" si="4">$Q$15</f>
        <v>7238</v>
      </c>
    </row>
    <row r="54" spans="1:12" ht="15" thickBot="1">
      <c r="A54" s="3003">
        <v>53</v>
      </c>
      <c r="B54" s="3004" t="s">
        <v>3518</v>
      </c>
      <c r="C54" s="3004" t="s">
        <v>3519</v>
      </c>
      <c r="D54" s="3005">
        <v>98.99</v>
      </c>
      <c r="E54" s="3005">
        <v>685.96</v>
      </c>
      <c r="F54" s="3005" t="s">
        <v>3517</v>
      </c>
      <c r="G54" s="3006">
        <f t="shared" si="3"/>
        <v>215</v>
      </c>
      <c r="H54" s="3006">
        <f t="shared" si="3"/>
        <v>3129</v>
      </c>
      <c r="I54" s="3006">
        <f>ROUND(K54*[1]成本法!$C$57,0)</f>
        <v>281</v>
      </c>
      <c r="J54" s="3006">
        <v>4109</v>
      </c>
      <c r="K54" s="3006">
        <f t="shared" si="2"/>
        <v>496</v>
      </c>
      <c r="L54" s="3006">
        <f t="shared" si="4"/>
        <v>7238</v>
      </c>
    </row>
    <row r="55" spans="1:12" ht="15" thickBot="1">
      <c r="A55" s="3003">
        <v>54</v>
      </c>
      <c r="B55" s="3004" t="s">
        <v>3520</v>
      </c>
      <c r="C55" s="3004" t="s">
        <v>3521</v>
      </c>
      <c r="D55" s="3005">
        <v>67.69</v>
      </c>
      <c r="E55" s="3005">
        <v>469.05</v>
      </c>
      <c r="F55" s="3005" t="s">
        <v>3517</v>
      </c>
      <c r="G55" s="3006">
        <f t="shared" si="3"/>
        <v>147</v>
      </c>
      <c r="H55" s="3006">
        <f t="shared" si="3"/>
        <v>3129</v>
      </c>
      <c r="I55" s="3006">
        <f>ROUND(K55*[1]成本法!$C$57,0)</f>
        <v>192</v>
      </c>
      <c r="J55" s="3006">
        <v>4109</v>
      </c>
      <c r="K55" s="3006">
        <f t="shared" si="2"/>
        <v>339</v>
      </c>
      <c r="L55" s="3006">
        <f t="shared" si="4"/>
        <v>7238</v>
      </c>
    </row>
    <row r="56" spans="1:12" ht="15" thickBot="1">
      <c r="A56" s="3003">
        <v>55</v>
      </c>
      <c r="B56" s="3004" t="s">
        <v>3522</v>
      </c>
      <c r="C56" s="3004" t="s">
        <v>3523</v>
      </c>
      <c r="D56" s="3005">
        <v>63.81</v>
      </c>
      <c r="E56" s="3005">
        <v>442.19</v>
      </c>
      <c r="F56" s="3005" t="s">
        <v>3517</v>
      </c>
      <c r="G56" s="3006">
        <f t="shared" si="3"/>
        <v>139</v>
      </c>
      <c r="H56" s="3006">
        <f t="shared" si="3"/>
        <v>3129</v>
      </c>
      <c r="I56" s="3006">
        <f>ROUND(K56*[1]成本法!$C$57,0)</f>
        <v>181</v>
      </c>
      <c r="J56" s="3006">
        <v>4109</v>
      </c>
      <c r="K56" s="3006">
        <f t="shared" si="2"/>
        <v>320</v>
      </c>
      <c r="L56" s="3006">
        <f t="shared" si="4"/>
        <v>7238</v>
      </c>
    </row>
    <row r="57" spans="1:12" ht="15" thickBot="1">
      <c r="A57" s="3003">
        <v>56</v>
      </c>
      <c r="B57" s="3004" t="s">
        <v>3524</v>
      </c>
      <c r="C57" s="3004" t="s">
        <v>3525</v>
      </c>
      <c r="D57" s="3005">
        <v>10.15</v>
      </c>
      <c r="E57" s="3005">
        <v>70.3</v>
      </c>
      <c r="F57" s="3005" t="s">
        <v>3517</v>
      </c>
      <c r="G57" s="3006">
        <f t="shared" si="3"/>
        <v>22</v>
      </c>
      <c r="H57" s="3006">
        <f t="shared" si="3"/>
        <v>3129</v>
      </c>
      <c r="I57" s="3006">
        <f>ROUND(K57*[1]成本法!$C$57,0)</f>
        <v>29</v>
      </c>
      <c r="J57" s="3006">
        <v>4109</v>
      </c>
      <c r="K57" s="3006">
        <f t="shared" si="2"/>
        <v>51</v>
      </c>
      <c r="L57" s="3006">
        <f t="shared" si="4"/>
        <v>7238</v>
      </c>
    </row>
    <row r="58" spans="1:12" ht="15" thickBot="1">
      <c r="A58" s="3003">
        <v>57</v>
      </c>
      <c r="B58" s="3004" t="s">
        <v>3526</v>
      </c>
      <c r="C58" s="3004" t="s">
        <v>3527</v>
      </c>
      <c r="D58" s="3005">
        <v>55.49</v>
      </c>
      <c r="E58" s="3005">
        <v>384.52</v>
      </c>
      <c r="F58" s="3005" t="s">
        <v>3528</v>
      </c>
      <c r="G58" s="3006">
        <f t="shared" si="3"/>
        <v>120</v>
      </c>
      <c r="H58" s="3006">
        <f t="shared" si="3"/>
        <v>3129</v>
      </c>
      <c r="I58" s="3006">
        <f>ROUND(K58*[1]成本法!$C$57,0)</f>
        <v>158</v>
      </c>
      <c r="J58" s="3006">
        <v>4109</v>
      </c>
      <c r="K58" s="3006">
        <f t="shared" si="2"/>
        <v>278</v>
      </c>
      <c r="L58" s="3006">
        <f t="shared" si="4"/>
        <v>7238</v>
      </c>
    </row>
    <row r="59" spans="1:12" ht="15" thickBot="1">
      <c r="A59" s="3003">
        <v>58</v>
      </c>
      <c r="B59" s="3004" t="s">
        <v>3529</v>
      </c>
      <c r="C59" s="3004" t="s">
        <v>3530</v>
      </c>
      <c r="D59" s="3005">
        <v>98.99</v>
      </c>
      <c r="E59" s="3005">
        <v>685.96</v>
      </c>
      <c r="F59" s="3005" t="s">
        <v>3528</v>
      </c>
      <c r="G59" s="3006">
        <f t="shared" si="3"/>
        <v>215</v>
      </c>
      <c r="H59" s="3006">
        <f t="shared" si="3"/>
        <v>3129</v>
      </c>
      <c r="I59" s="3006">
        <f>ROUND(K59*[1]成本法!$C$57,0)</f>
        <v>281</v>
      </c>
      <c r="J59" s="3006">
        <v>4109</v>
      </c>
      <c r="K59" s="3006">
        <f t="shared" si="2"/>
        <v>496</v>
      </c>
      <c r="L59" s="3006">
        <f t="shared" si="4"/>
        <v>7238</v>
      </c>
    </row>
    <row r="60" spans="1:12" ht="15" thickBot="1">
      <c r="A60" s="3003">
        <v>59</v>
      </c>
      <c r="B60" s="3004" t="s">
        <v>3531</v>
      </c>
      <c r="C60" s="3004" t="s">
        <v>3532</v>
      </c>
      <c r="D60" s="3005">
        <v>67.69</v>
      </c>
      <c r="E60" s="3005">
        <v>469.05</v>
      </c>
      <c r="F60" s="3005" t="s">
        <v>3528</v>
      </c>
      <c r="G60" s="3006">
        <f t="shared" si="3"/>
        <v>147</v>
      </c>
      <c r="H60" s="3006">
        <f t="shared" si="3"/>
        <v>3129</v>
      </c>
      <c r="I60" s="3006">
        <f>ROUND(K60*[1]成本法!$C$57,0)</f>
        <v>192</v>
      </c>
      <c r="J60" s="3006">
        <v>4109</v>
      </c>
      <c r="K60" s="3006">
        <f t="shared" si="2"/>
        <v>339</v>
      </c>
      <c r="L60" s="3006">
        <f t="shared" si="4"/>
        <v>7238</v>
      </c>
    </row>
    <row r="61" spans="1:12" ht="15" thickBot="1">
      <c r="A61" s="3003">
        <v>60</v>
      </c>
      <c r="B61" s="3004" t="s">
        <v>3533</v>
      </c>
      <c r="C61" s="3004" t="s">
        <v>3534</v>
      </c>
      <c r="D61" s="3005">
        <v>63.81</v>
      </c>
      <c r="E61" s="3005">
        <v>442.19</v>
      </c>
      <c r="F61" s="3005" t="s">
        <v>3528</v>
      </c>
      <c r="G61" s="3006">
        <f>K61-I61</f>
        <v>139</v>
      </c>
      <c r="H61" s="3006">
        <f>L61-J61</f>
        <v>3129</v>
      </c>
      <c r="I61" s="3006">
        <f>ROUND(K61*[1]成本法!$C$57,0)</f>
        <v>181</v>
      </c>
      <c r="J61" s="3006">
        <v>4109</v>
      </c>
      <c r="K61" s="3006">
        <f>ROUND(L61*E61/10000,0)</f>
        <v>320</v>
      </c>
      <c r="L61" s="3006">
        <f>$Q$15</f>
        <v>7238</v>
      </c>
    </row>
    <row r="62" spans="1:12" ht="15" thickBot="1">
      <c r="A62" s="3003">
        <v>61</v>
      </c>
      <c r="B62" s="3004" t="s">
        <v>3535</v>
      </c>
      <c r="C62" s="3004" t="s">
        <v>3536</v>
      </c>
      <c r="D62" s="3005">
        <v>10.15</v>
      </c>
      <c r="E62" s="3005">
        <v>70.3</v>
      </c>
      <c r="F62" s="3005" t="s">
        <v>3528</v>
      </c>
      <c r="G62" s="3006">
        <f t="shared" si="3"/>
        <v>22</v>
      </c>
      <c r="H62" s="3006">
        <f t="shared" si="3"/>
        <v>3129</v>
      </c>
      <c r="I62" s="3006">
        <f>ROUND(K62*[1]成本法!$C$57,0)</f>
        <v>29</v>
      </c>
      <c r="J62" s="3006">
        <v>4109</v>
      </c>
      <c r="K62" s="3006">
        <f t="shared" si="2"/>
        <v>51</v>
      </c>
      <c r="L62" s="3006">
        <f t="shared" si="4"/>
        <v>7238</v>
      </c>
    </row>
    <row r="63" spans="1:12" ht="15" thickBot="1">
      <c r="A63" s="3003">
        <v>62</v>
      </c>
      <c r="B63" s="3004" t="s">
        <v>3537</v>
      </c>
      <c r="C63" s="3004" t="s">
        <v>3538</v>
      </c>
      <c r="D63" s="3005">
        <v>137.11000000000001</v>
      </c>
      <c r="E63" s="3005">
        <v>950.07</v>
      </c>
      <c r="F63" s="3005" t="s">
        <v>3539</v>
      </c>
      <c r="G63" s="3006">
        <f t="shared" si="3"/>
        <v>298</v>
      </c>
      <c r="H63" s="3006">
        <f t="shared" si="3"/>
        <v>3129</v>
      </c>
      <c r="I63" s="3006">
        <f>ROUND(K63*[1]成本法!$C$57,0)</f>
        <v>390</v>
      </c>
      <c r="J63" s="3006">
        <v>4109</v>
      </c>
      <c r="K63" s="3006">
        <f t="shared" si="2"/>
        <v>688</v>
      </c>
      <c r="L63" s="3006">
        <f t="shared" si="4"/>
        <v>7238</v>
      </c>
    </row>
    <row r="64" spans="1:12" ht="15" thickBot="1">
      <c r="A64" s="3003">
        <v>63</v>
      </c>
      <c r="B64" s="3004" t="s">
        <v>3540</v>
      </c>
      <c r="C64" s="3004" t="s">
        <v>3541</v>
      </c>
      <c r="D64" s="3005">
        <v>148.88</v>
      </c>
      <c r="E64" s="3005">
        <v>1031.6500000000001</v>
      </c>
      <c r="F64" s="3005" t="s">
        <v>3539</v>
      </c>
      <c r="G64" s="3006">
        <f t="shared" si="3"/>
        <v>323</v>
      </c>
      <c r="H64" s="3006">
        <f t="shared" si="3"/>
        <v>3129</v>
      </c>
      <c r="I64" s="3006">
        <f>ROUND(K64*[1]成本法!$C$57,0)</f>
        <v>424</v>
      </c>
      <c r="J64" s="3006">
        <v>4109</v>
      </c>
      <c r="K64" s="3006">
        <f t="shared" si="2"/>
        <v>747</v>
      </c>
      <c r="L64" s="3006">
        <f t="shared" si="4"/>
        <v>7238</v>
      </c>
    </row>
    <row r="65" spans="1:12" ht="15" thickBot="1">
      <c r="A65" s="3003">
        <v>64</v>
      </c>
      <c r="B65" s="3004" t="s">
        <v>3542</v>
      </c>
      <c r="C65" s="3004" t="s">
        <v>3543</v>
      </c>
      <c r="D65" s="3005">
        <v>10.15</v>
      </c>
      <c r="E65" s="3005">
        <v>70.3</v>
      </c>
      <c r="F65" s="3005" t="s">
        <v>3539</v>
      </c>
      <c r="G65" s="3006">
        <f t="shared" si="3"/>
        <v>22</v>
      </c>
      <c r="H65" s="3006">
        <f t="shared" si="3"/>
        <v>3129</v>
      </c>
      <c r="I65" s="3006">
        <f>ROUND(K65*[1]成本法!$C$57,0)</f>
        <v>29</v>
      </c>
      <c r="J65" s="3006">
        <v>4109</v>
      </c>
      <c r="K65" s="3006">
        <f t="shared" si="2"/>
        <v>51</v>
      </c>
      <c r="L65" s="3006">
        <f t="shared" si="4"/>
        <v>7238</v>
      </c>
    </row>
    <row r="66" spans="1:12" ht="15" thickBot="1">
      <c r="A66" s="3003">
        <v>65</v>
      </c>
      <c r="B66" s="3004" t="s">
        <v>3544</v>
      </c>
      <c r="C66" s="3004" t="s">
        <v>3545</v>
      </c>
      <c r="D66" s="3005">
        <v>137.11000000000001</v>
      </c>
      <c r="E66" s="3005">
        <v>950.07</v>
      </c>
      <c r="F66" s="3005" t="s">
        <v>3546</v>
      </c>
      <c r="G66" s="3006">
        <f t="shared" si="3"/>
        <v>298</v>
      </c>
      <c r="H66" s="3006">
        <f t="shared" si="3"/>
        <v>3129</v>
      </c>
      <c r="I66" s="3006">
        <f>ROUND(K66*[1]成本法!$C$57,0)</f>
        <v>390</v>
      </c>
      <c r="J66" s="3006">
        <v>4109</v>
      </c>
      <c r="K66" s="3006">
        <f t="shared" si="2"/>
        <v>688</v>
      </c>
      <c r="L66" s="3006">
        <f t="shared" si="4"/>
        <v>7238</v>
      </c>
    </row>
    <row r="67" spans="1:12" ht="15" thickBot="1">
      <c r="A67" s="3003">
        <v>66</v>
      </c>
      <c r="B67" s="3004" t="s">
        <v>3547</v>
      </c>
      <c r="C67" s="3004" t="s">
        <v>3548</v>
      </c>
      <c r="D67" s="3005">
        <v>148.88</v>
      </c>
      <c r="E67" s="3005">
        <v>1031.6500000000001</v>
      </c>
      <c r="F67" s="3005" t="s">
        <v>3549</v>
      </c>
      <c r="G67" s="3006">
        <f t="shared" si="3"/>
        <v>323</v>
      </c>
      <c r="H67" s="3006">
        <f t="shared" si="3"/>
        <v>3129</v>
      </c>
      <c r="I67" s="3006">
        <f>ROUND(K67*[1]成本法!$C$57,0)</f>
        <v>424</v>
      </c>
      <c r="J67" s="3006">
        <v>4109</v>
      </c>
      <c r="K67" s="3006">
        <f t="shared" si="2"/>
        <v>747</v>
      </c>
      <c r="L67" s="3006">
        <f t="shared" si="4"/>
        <v>7238</v>
      </c>
    </row>
    <row r="68" spans="1:12" ht="15" thickBot="1">
      <c r="A68" s="3003">
        <v>67</v>
      </c>
      <c r="B68" s="3004" t="s">
        <v>3550</v>
      </c>
      <c r="C68" s="3004" t="s">
        <v>3551</v>
      </c>
      <c r="D68" s="3005">
        <v>10.15</v>
      </c>
      <c r="E68" s="3005">
        <v>70.3</v>
      </c>
      <c r="F68" s="3005" t="s">
        <v>3549</v>
      </c>
      <c r="G68" s="3006">
        <f t="shared" si="3"/>
        <v>22</v>
      </c>
      <c r="H68" s="3006">
        <f t="shared" si="3"/>
        <v>3129</v>
      </c>
      <c r="I68" s="3006">
        <f>ROUND(K68*[1]成本法!$C$57,0)</f>
        <v>29</v>
      </c>
      <c r="J68" s="3006">
        <v>4109</v>
      </c>
      <c r="K68" s="3006">
        <f t="shared" si="2"/>
        <v>51</v>
      </c>
      <c r="L68" s="3006">
        <f t="shared" si="4"/>
        <v>7238</v>
      </c>
    </row>
    <row r="69" spans="1:12" ht="15" thickBot="1">
      <c r="A69" s="3003">
        <v>68</v>
      </c>
      <c r="B69" s="3004" t="s">
        <v>3552</v>
      </c>
      <c r="C69" s="3004" t="s">
        <v>3553</v>
      </c>
      <c r="D69" s="3005">
        <v>137.11000000000001</v>
      </c>
      <c r="E69" s="3005">
        <v>950.07</v>
      </c>
      <c r="F69" s="3005" t="s">
        <v>3554</v>
      </c>
      <c r="G69" s="3006">
        <f t="shared" si="3"/>
        <v>298</v>
      </c>
      <c r="H69" s="3006">
        <f t="shared" si="3"/>
        <v>3129</v>
      </c>
      <c r="I69" s="3006">
        <f>ROUND(K69*[1]成本法!$C$57,0)</f>
        <v>390</v>
      </c>
      <c r="J69" s="3006">
        <v>4109</v>
      </c>
      <c r="K69" s="3006">
        <f t="shared" si="2"/>
        <v>688</v>
      </c>
      <c r="L69" s="3006">
        <f t="shared" si="4"/>
        <v>7238</v>
      </c>
    </row>
    <row r="70" spans="1:12" ht="15" thickBot="1">
      <c r="A70" s="3003">
        <v>69</v>
      </c>
      <c r="B70" s="3004" t="s">
        <v>3555</v>
      </c>
      <c r="C70" s="3004" t="s">
        <v>3556</v>
      </c>
      <c r="D70" s="3005">
        <v>148.88</v>
      </c>
      <c r="E70" s="3005">
        <v>1031.6500000000001</v>
      </c>
      <c r="F70" s="3005" t="s">
        <v>3554</v>
      </c>
      <c r="G70" s="3006">
        <f t="shared" si="3"/>
        <v>323</v>
      </c>
      <c r="H70" s="3006">
        <f t="shared" si="3"/>
        <v>3129</v>
      </c>
      <c r="I70" s="3006">
        <f>ROUND(K70*[1]成本法!$C$57,0)</f>
        <v>424</v>
      </c>
      <c r="J70" s="3006">
        <v>4109</v>
      </c>
      <c r="K70" s="3006">
        <f t="shared" si="2"/>
        <v>747</v>
      </c>
      <c r="L70" s="3006">
        <f t="shared" si="4"/>
        <v>7238</v>
      </c>
    </row>
    <row r="71" spans="1:12" ht="15" thickBot="1">
      <c r="A71" s="3003">
        <v>70</v>
      </c>
      <c r="B71" s="3004" t="s">
        <v>3557</v>
      </c>
      <c r="C71" s="3004" t="s">
        <v>3558</v>
      </c>
      <c r="D71" s="3005">
        <v>10.15</v>
      </c>
      <c r="E71" s="3005">
        <v>70.3</v>
      </c>
      <c r="F71" s="3005" t="s">
        <v>3554</v>
      </c>
      <c r="G71" s="3006">
        <f t="shared" si="3"/>
        <v>22</v>
      </c>
      <c r="H71" s="3006">
        <f t="shared" si="3"/>
        <v>3129</v>
      </c>
      <c r="I71" s="3006">
        <f>ROUND(K71*[1]成本法!$C$57,0)</f>
        <v>29</v>
      </c>
      <c r="J71" s="3006">
        <v>4109</v>
      </c>
      <c r="K71" s="3006">
        <f t="shared" ref="K71:K107" si="5">ROUND(L71*E71/10000,0)</f>
        <v>51</v>
      </c>
      <c r="L71" s="3006">
        <f t="shared" si="4"/>
        <v>7238</v>
      </c>
    </row>
    <row r="72" spans="1:12" ht="15" thickBot="1">
      <c r="A72" s="3003">
        <v>71</v>
      </c>
      <c r="B72" s="3004" t="s">
        <v>3559</v>
      </c>
      <c r="C72" s="3004" t="s">
        <v>3560</v>
      </c>
      <c r="D72" s="3005">
        <v>137.11000000000001</v>
      </c>
      <c r="E72" s="3005">
        <v>950.07</v>
      </c>
      <c r="F72" s="3005" t="s">
        <v>3561</v>
      </c>
      <c r="G72" s="3006">
        <f t="shared" si="3"/>
        <v>298</v>
      </c>
      <c r="H72" s="3006">
        <f t="shared" si="3"/>
        <v>3129</v>
      </c>
      <c r="I72" s="3006">
        <f>ROUND(K72*[1]成本法!$C$57,0)</f>
        <v>390</v>
      </c>
      <c r="J72" s="3006">
        <v>4109</v>
      </c>
      <c r="K72" s="3006">
        <f t="shared" si="5"/>
        <v>688</v>
      </c>
      <c r="L72" s="3006">
        <f t="shared" si="4"/>
        <v>7238</v>
      </c>
    </row>
    <row r="73" spans="1:12" ht="15" thickBot="1">
      <c r="A73" s="3003">
        <v>72</v>
      </c>
      <c r="B73" s="3004" t="s">
        <v>3562</v>
      </c>
      <c r="C73" s="3004" t="s">
        <v>3563</v>
      </c>
      <c r="D73" s="3005">
        <v>148.88</v>
      </c>
      <c r="E73" s="3005">
        <v>1031.6500000000001</v>
      </c>
      <c r="F73" s="3005" t="s">
        <v>3561</v>
      </c>
      <c r="G73" s="3006">
        <f t="shared" si="3"/>
        <v>323</v>
      </c>
      <c r="H73" s="3006">
        <f t="shared" si="3"/>
        <v>3129</v>
      </c>
      <c r="I73" s="3006">
        <f>ROUND(K73*[1]成本法!$C$57,0)</f>
        <v>424</v>
      </c>
      <c r="J73" s="3006">
        <v>4109</v>
      </c>
      <c r="K73" s="3006">
        <f t="shared" si="5"/>
        <v>747</v>
      </c>
      <c r="L73" s="3006">
        <f t="shared" si="4"/>
        <v>7238</v>
      </c>
    </row>
    <row r="74" spans="1:12" ht="15" thickBot="1">
      <c r="A74" s="3003">
        <v>73</v>
      </c>
      <c r="B74" s="3004" t="s">
        <v>3564</v>
      </c>
      <c r="C74" s="3004" t="s">
        <v>3565</v>
      </c>
      <c r="D74" s="3005">
        <v>10.15</v>
      </c>
      <c r="E74" s="3005">
        <v>70.3</v>
      </c>
      <c r="F74" s="3005" t="s">
        <v>3561</v>
      </c>
      <c r="G74" s="3006">
        <f t="shared" si="3"/>
        <v>22</v>
      </c>
      <c r="H74" s="3006">
        <f t="shared" si="3"/>
        <v>3113</v>
      </c>
      <c r="I74" s="3006">
        <f>ROUND(K74*[1]成本法!$C$57,0)</f>
        <v>29</v>
      </c>
      <c r="J74" s="3006">
        <f t="shared" ref="J74" si="6">ROUND(I74*10000/E74,0)</f>
        <v>4125</v>
      </c>
      <c r="K74" s="3006">
        <f t="shared" si="5"/>
        <v>51</v>
      </c>
      <c r="L74" s="3006">
        <f t="shared" si="4"/>
        <v>7238</v>
      </c>
    </row>
    <row r="75" spans="1:12" ht="15" thickBot="1">
      <c r="A75" s="3003">
        <v>74</v>
      </c>
      <c r="B75" s="3004" t="s">
        <v>3566</v>
      </c>
      <c r="C75" s="3004" t="s">
        <v>3567</v>
      </c>
      <c r="D75" s="3005">
        <v>138.29</v>
      </c>
      <c r="E75" s="3005">
        <v>958.29</v>
      </c>
      <c r="F75" s="3005" t="s">
        <v>3568</v>
      </c>
      <c r="G75" s="3006">
        <f t="shared" si="3"/>
        <v>301</v>
      </c>
      <c r="H75" s="3006">
        <f t="shared" si="3"/>
        <v>3055</v>
      </c>
      <c r="I75" s="3006">
        <f>ROUND(K75*[1]成本法!$C$57,0)</f>
        <v>393</v>
      </c>
      <c r="J75" s="3006">
        <v>4183</v>
      </c>
      <c r="K75" s="3006">
        <f t="shared" si="5"/>
        <v>694</v>
      </c>
      <c r="L75" s="3006">
        <f t="shared" si="4"/>
        <v>7238</v>
      </c>
    </row>
    <row r="76" spans="1:12" ht="15" thickBot="1">
      <c r="A76" s="3003">
        <v>75</v>
      </c>
      <c r="B76" s="3004" t="s">
        <v>3569</v>
      </c>
      <c r="C76" s="3004" t="s">
        <v>3570</v>
      </c>
      <c r="D76" s="3005">
        <v>150.16999999999999</v>
      </c>
      <c r="E76" s="3005">
        <v>1040.58</v>
      </c>
      <c r="F76" s="3005" t="s">
        <v>3568</v>
      </c>
      <c r="G76" s="3006">
        <f t="shared" si="3"/>
        <v>326</v>
      </c>
      <c r="H76" s="3006">
        <f t="shared" si="3"/>
        <v>3055</v>
      </c>
      <c r="I76" s="3006">
        <f>ROUND(K76*[1]成本法!$C$57,0)</f>
        <v>427</v>
      </c>
      <c r="J76" s="3006">
        <v>4183</v>
      </c>
      <c r="K76" s="3006">
        <f t="shared" si="5"/>
        <v>753</v>
      </c>
      <c r="L76" s="3006">
        <f t="shared" si="4"/>
        <v>7238</v>
      </c>
    </row>
    <row r="77" spans="1:12" ht="15" thickBot="1">
      <c r="A77" s="3003">
        <v>76</v>
      </c>
      <c r="B77" s="3004" t="s">
        <v>3571</v>
      </c>
      <c r="C77" s="3004" t="s">
        <v>3572</v>
      </c>
      <c r="D77" s="3005">
        <v>138.38999999999999</v>
      </c>
      <c r="E77" s="3005">
        <v>958.98</v>
      </c>
      <c r="F77" s="3005" t="s">
        <v>3573</v>
      </c>
      <c r="G77" s="3006">
        <f t="shared" si="3"/>
        <v>301</v>
      </c>
      <c r="H77" s="3006">
        <f t="shared" si="3"/>
        <v>3055</v>
      </c>
      <c r="I77" s="3006">
        <f>ROUND(K77*[1]成本法!$C$57,0)</f>
        <v>393</v>
      </c>
      <c r="J77" s="3006">
        <v>4183</v>
      </c>
      <c r="K77" s="3006">
        <f t="shared" si="5"/>
        <v>694</v>
      </c>
      <c r="L77" s="3006">
        <f t="shared" si="4"/>
        <v>7238</v>
      </c>
    </row>
    <row r="78" spans="1:12" ht="15" thickBot="1">
      <c r="A78" s="3003">
        <v>77</v>
      </c>
      <c r="B78" s="3004" t="s">
        <v>3574</v>
      </c>
      <c r="C78" s="3004" t="s">
        <v>3575</v>
      </c>
      <c r="D78" s="3005">
        <v>150.27000000000001</v>
      </c>
      <c r="E78" s="3005">
        <v>1041.3</v>
      </c>
      <c r="F78" s="3005" t="s">
        <v>3573</v>
      </c>
      <c r="G78" s="3006">
        <f t="shared" si="3"/>
        <v>326</v>
      </c>
      <c r="H78" s="3006">
        <f t="shared" si="3"/>
        <v>3055</v>
      </c>
      <c r="I78" s="3006">
        <f>ROUND(K78*[1]成本法!$C$57,0)</f>
        <v>428</v>
      </c>
      <c r="J78" s="3006">
        <v>4183</v>
      </c>
      <c r="K78" s="3006">
        <f t="shared" si="5"/>
        <v>754</v>
      </c>
      <c r="L78" s="3006">
        <f t="shared" si="4"/>
        <v>7238</v>
      </c>
    </row>
    <row r="79" spans="1:12" ht="15" thickBot="1">
      <c r="A79" s="3003">
        <v>78</v>
      </c>
      <c r="B79" s="3004" t="s">
        <v>3576</v>
      </c>
      <c r="C79" s="3004" t="s">
        <v>3577</v>
      </c>
      <c r="D79" s="3005">
        <v>136.26</v>
      </c>
      <c r="E79" s="3005">
        <v>944.22</v>
      </c>
      <c r="F79" s="3005" t="s">
        <v>3578</v>
      </c>
      <c r="G79" s="3006">
        <f t="shared" si="3"/>
        <v>302</v>
      </c>
      <c r="H79" s="3006">
        <f t="shared" si="3"/>
        <v>3197</v>
      </c>
      <c r="I79" s="3006">
        <f>ROUND(K79*[1]成本法!$C$57,0)</f>
        <v>395</v>
      </c>
      <c r="J79" s="3006">
        <v>4183</v>
      </c>
      <c r="K79" s="3006">
        <f t="shared" si="5"/>
        <v>697</v>
      </c>
      <c r="L79" s="3006">
        <v>7380</v>
      </c>
    </row>
    <row r="80" spans="1:12" ht="15" thickBot="1">
      <c r="A80" s="3003">
        <v>79</v>
      </c>
      <c r="B80" s="3004" t="s">
        <v>3579</v>
      </c>
      <c r="C80" s="3004" t="s">
        <v>3580</v>
      </c>
      <c r="D80" s="3005">
        <v>147.96</v>
      </c>
      <c r="E80" s="3005">
        <v>1025.27</v>
      </c>
      <c r="F80" s="3005" t="s">
        <v>3578</v>
      </c>
      <c r="G80" s="3006">
        <f t="shared" ref="G80:H107" si="7">K80-I80</f>
        <v>328</v>
      </c>
      <c r="H80" s="3006">
        <f t="shared" si="7"/>
        <v>3197</v>
      </c>
      <c r="I80" s="3006">
        <f>ROUND(K80*[1]成本法!$C$57,0)</f>
        <v>429</v>
      </c>
      <c r="J80" s="3006">
        <v>4183</v>
      </c>
      <c r="K80" s="3006">
        <f t="shared" si="5"/>
        <v>757</v>
      </c>
      <c r="L80" s="3006">
        <v>7380</v>
      </c>
    </row>
    <row r="81" spans="1:12" ht="15" thickBot="1">
      <c r="A81" s="3003">
        <v>80</v>
      </c>
      <c r="B81" s="3004" t="s">
        <v>3581</v>
      </c>
      <c r="C81" s="3004" t="s">
        <v>3582</v>
      </c>
      <c r="D81" s="3005">
        <v>18.829999999999998</v>
      </c>
      <c r="E81" s="3005">
        <v>130.47999999999999</v>
      </c>
      <c r="F81" s="3005" t="s">
        <v>3578</v>
      </c>
      <c r="G81" s="3006">
        <f t="shared" si="7"/>
        <v>42</v>
      </c>
      <c r="H81" s="3006">
        <f t="shared" si="7"/>
        <v>3197</v>
      </c>
      <c r="I81" s="3006">
        <f>ROUND(K81*[1]成本法!$C$57,0)</f>
        <v>54</v>
      </c>
      <c r="J81" s="3006">
        <v>4183</v>
      </c>
      <c r="K81" s="3006">
        <f t="shared" si="5"/>
        <v>96</v>
      </c>
      <c r="L81" s="3006">
        <v>7380</v>
      </c>
    </row>
    <row r="82" spans="1:12" ht="15" thickBot="1">
      <c r="A82" s="3003">
        <v>81</v>
      </c>
      <c r="B82" s="3004" t="s">
        <v>3583</v>
      </c>
      <c r="C82" s="3004" t="s">
        <v>3584</v>
      </c>
      <c r="D82" s="3005">
        <v>136.26</v>
      </c>
      <c r="E82" s="3005">
        <v>944.22</v>
      </c>
      <c r="F82" s="3005" t="s">
        <v>3585</v>
      </c>
      <c r="G82" s="3006">
        <f t="shared" si="7"/>
        <v>302</v>
      </c>
      <c r="H82" s="3006">
        <f t="shared" si="7"/>
        <v>3197</v>
      </c>
      <c r="I82" s="3006">
        <f>ROUND(K82*[1]成本法!$C$57,0)</f>
        <v>395</v>
      </c>
      <c r="J82" s="3006">
        <v>4183</v>
      </c>
      <c r="K82" s="3006">
        <f t="shared" si="5"/>
        <v>697</v>
      </c>
      <c r="L82" s="3006">
        <v>7380</v>
      </c>
    </row>
    <row r="83" spans="1:12" ht="15" thickBot="1">
      <c r="A83" s="3003">
        <v>82</v>
      </c>
      <c r="B83" s="3004" t="s">
        <v>3586</v>
      </c>
      <c r="C83" s="3004" t="s">
        <v>3587</v>
      </c>
      <c r="D83" s="3005">
        <v>147.96</v>
      </c>
      <c r="E83" s="3005">
        <v>1025.27</v>
      </c>
      <c r="F83" s="3005" t="s">
        <v>3585</v>
      </c>
      <c r="G83" s="3006">
        <f t="shared" si="7"/>
        <v>328</v>
      </c>
      <c r="H83" s="3006">
        <f t="shared" si="7"/>
        <v>3197</v>
      </c>
      <c r="I83" s="3006">
        <f>ROUND(K83*[1]成本法!$C$57,0)</f>
        <v>429</v>
      </c>
      <c r="J83" s="3006">
        <v>4183</v>
      </c>
      <c r="K83" s="3006">
        <f t="shared" si="5"/>
        <v>757</v>
      </c>
      <c r="L83" s="3006">
        <v>7380</v>
      </c>
    </row>
    <row r="84" spans="1:12" ht="15" thickBot="1">
      <c r="A84" s="3003">
        <v>83</v>
      </c>
      <c r="B84" s="3004" t="s">
        <v>3588</v>
      </c>
      <c r="C84" s="3004" t="s">
        <v>3589</v>
      </c>
      <c r="D84" s="3005">
        <v>18.829999999999998</v>
      </c>
      <c r="E84" s="3005">
        <v>130.47999999999999</v>
      </c>
      <c r="F84" s="3005" t="s">
        <v>3585</v>
      </c>
      <c r="G84" s="3006">
        <f t="shared" si="7"/>
        <v>42</v>
      </c>
      <c r="H84" s="3006">
        <f t="shared" si="7"/>
        <v>3197</v>
      </c>
      <c r="I84" s="3006">
        <f>ROUND(K84*[1]成本法!$C$57,0)</f>
        <v>54</v>
      </c>
      <c r="J84" s="3006">
        <v>4183</v>
      </c>
      <c r="K84" s="3006">
        <f t="shared" si="5"/>
        <v>96</v>
      </c>
      <c r="L84" s="3006">
        <v>7380</v>
      </c>
    </row>
    <row r="85" spans="1:12" ht="15" thickBot="1">
      <c r="A85" s="3003">
        <v>84</v>
      </c>
      <c r="B85" s="3004" t="s">
        <v>3590</v>
      </c>
      <c r="C85" s="3004" t="s">
        <v>3591</v>
      </c>
      <c r="D85" s="3005">
        <v>136.26</v>
      </c>
      <c r="E85" s="3005">
        <v>944.22</v>
      </c>
      <c r="F85" s="3005" t="s">
        <v>3592</v>
      </c>
      <c r="G85" s="3006">
        <f t="shared" si="7"/>
        <v>302</v>
      </c>
      <c r="H85" s="3006">
        <f t="shared" si="7"/>
        <v>3197</v>
      </c>
      <c r="I85" s="3006">
        <f>ROUND(K85*[1]成本法!$C$57,0)</f>
        <v>395</v>
      </c>
      <c r="J85" s="3006">
        <v>4183</v>
      </c>
      <c r="K85" s="3006">
        <f t="shared" si="5"/>
        <v>697</v>
      </c>
      <c r="L85" s="3006">
        <v>7380</v>
      </c>
    </row>
    <row r="86" spans="1:12" ht="15" thickBot="1">
      <c r="A86" s="3003">
        <v>85</v>
      </c>
      <c r="B86" s="3004" t="s">
        <v>3593</v>
      </c>
      <c r="C86" s="3004" t="s">
        <v>3594</v>
      </c>
      <c r="D86" s="3005">
        <v>147.96</v>
      </c>
      <c r="E86" s="3005">
        <v>1025.27</v>
      </c>
      <c r="F86" s="3005" t="s">
        <v>3592</v>
      </c>
      <c r="G86" s="3006">
        <f t="shared" si="7"/>
        <v>328</v>
      </c>
      <c r="H86" s="3006">
        <f t="shared" si="7"/>
        <v>3197</v>
      </c>
      <c r="I86" s="3006">
        <f>ROUND(K86*[1]成本法!$C$57,0)</f>
        <v>429</v>
      </c>
      <c r="J86" s="3006">
        <v>4183</v>
      </c>
      <c r="K86" s="3006">
        <f t="shared" si="5"/>
        <v>757</v>
      </c>
      <c r="L86" s="3006">
        <v>7380</v>
      </c>
    </row>
    <row r="87" spans="1:12" ht="15" thickBot="1">
      <c r="A87" s="3003">
        <v>86</v>
      </c>
      <c r="B87" s="3004" t="s">
        <v>3595</v>
      </c>
      <c r="C87" s="3004" t="s">
        <v>3596</v>
      </c>
      <c r="D87" s="3005">
        <v>18.829999999999998</v>
      </c>
      <c r="E87" s="3005">
        <v>130.47999999999999</v>
      </c>
      <c r="F87" s="3005" t="s">
        <v>3592</v>
      </c>
      <c r="G87" s="3006">
        <f t="shared" si="7"/>
        <v>42</v>
      </c>
      <c r="H87" s="3006">
        <f t="shared" si="7"/>
        <v>3197</v>
      </c>
      <c r="I87" s="3006">
        <f>ROUND(K87*[1]成本法!$C$57,0)</f>
        <v>54</v>
      </c>
      <c r="J87" s="3006">
        <v>4183</v>
      </c>
      <c r="K87" s="3006">
        <f t="shared" si="5"/>
        <v>96</v>
      </c>
      <c r="L87" s="3006">
        <v>7380</v>
      </c>
    </row>
    <row r="88" spans="1:12" ht="15" thickBot="1">
      <c r="A88" s="3003">
        <v>87</v>
      </c>
      <c r="B88" s="3004" t="s">
        <v>3597</v>
      </c>
      <c r="C88" s="3004" t="s">
        <v>3598</v>
      </c>
      <c r="D88" s="3005">
        <v>136.26</v>
      </c>
      <c r="E88" s="3005">
        <v>944.22</v>
      </c>
      <c r="F88" s="3005" t="s">
        <v>3599</v>
      </c>
      <c r="G88" s="3006">
        <f t="shared" si="7"/>
        <v>302</v>
      </c>
      <c r="H88" s="3006">
        <f t="shared" si="7"/>
        <v>3197</v>
      </c>
      <c r="I88" s="3006">
        <f>ROUND(K88*[1]成本法!$C$57,0)</f>
        <v>395</v>
      </c>
      <c r="J88" s="3006">
        <v>4183</v>
      </c>
      <c r="K88" s="3006">
        <f t="shared" si="5"/>
        <v>697</v>
      </c>
      <c r="L88" s="3006">
        <v>7380</v>
      </c>
    </row>
    <row r="89" spans="1:12" ht="15" thickBot="1">
      <c r="A89" s="3003">
        <v>88</v>
      </c>
      <c r="B89" s="3004" t="s">
        <v>3600</v>
      </c>
      <c r="C89" s="3004" t="s">
        <v>3601</v>
      </c>
      <c r="D89" s="3005">
        <v>147.96</v>
      </c>
      <c r="E89" s="3005">
        <v>1025.27</v>
      </c>
      <c r="F89" s="3005" t="s">
        <v>3599</v>
      </c>
      <c r="G89" s="3006">
        <f t="shared" si="7"/>
        <v>328</v>
      </c>
      <c r="H89" s="3006">
        <f t="shared" si="7"/>
        <v>3197</v>
      </c>
      <c r="I89" s="3006">
        <f>ROUND(K89*[1]成本法!$C$57,0)</f>
        <v>429</v>
      </c>
      <c r="J89" s="3006">
        <v>4183</v>
      </c>
      <c r="K89" s="3006">
        <f t="shared" si="5"/>
        <v>757</v>
      </c>
      <c r="L89" s="3006">
        <v>7380</v>
      </c>
    </row>
    <row r="90" spans="1:12" ht="15" thickBot="1">
      <c r="A90" s="3003">
        <v>89</v>
      </c>
      <c r="B90" s="3004" t="s">
        <v>3602</v>
      </c>
      <c r="C90" s="3004" t="s">
        <v>3603</v>
      </c>
      <c r="D90" s="3005">
        <v>18.829999999999998</v>
      </c>
      <c r="E90" s="3005">
        <v>130.47999999999999</v>
      </c>
      <c r="F90" s="3005" t="s">
        <v>3599</v>
      </c>
      <c r="G90" s="3006">
        <f t="shared" si="7"/>
        <v>42</v>
      </c>
      <c r="H90" s="3006">
        <f t="shared" si="7"/>
        <v>3197</v>
      </c>
      <c r="I90" s="3006">
        <f>ROUND(K90*[1]成本法!$C$57,0)</f>
        <v>54</v>
      </c>
      <c r="J90" s="3006">
        <v>4183</v>
      </c>
      <c r="K90" s="3006">
        <f t="shared" si="5"/>
        <v>96</v>
      </c>
      <c r="L90" s="3006">
        <v>7380</v>
      </c>
    </row>
    <row r="91" spans="1:12" ht="15" thickBot="1">
      <c r="A91" s="3003">
        <v>90</v>
      </c>
      <c r="B91" s="3004" t="s">
        <v>3604</v>
      </c>
      <c r="C91" s="3004" t="s">
        <v>3605</v>
      </c>
      <c r="D91" s="3005">
        <v>136.26</v>
      </c>
      <c r="E91" s="3005">
        <v>944.22</v>
      </c>
      <c r="F91" s="3005" t="s">
        <v>3606</v>
      </c>
      <c r="G91" s="3006">
        <f t="shared" si="7"/>
        <v>302</v>
      </c>
      <c r="H91" s="3006">
        <f t="shared" si="7"/>
        <v>3197</v>
      </c>
      <c r="I91" s="3006">
        <f>ROUND(K91*[1]成本法!$C$57,0)</f>
        <v>395</v>
      </c>
      <c r="J91" s="3006">
        <v>4183</v>
      </c>
      <c r="K91" s="3006">
        <f t="shared" si="5"/>
        <v>697</v>
      </c>
      <c r="L91" s="3006">
        <v>7380</v>
      </c>
    </row>
    <row r="92" spans="1:12" ht="15" thickBot="1">
      <c r="A92" s="3003">
        <v>91</v>
      </c>
      <c r="B92" s="3004" t="s">
        <v>3607</v>
      </c>
      <c r="C92" s="3004" t="s">
        <v>3608</v>
      </c>
      <c r="D92" s="3005">
        <v>147.96</v>
      </c>
      <c r="E92" s="3005">
        <v>1025.27</v>
      </c>
      <c r="F92" s="3005" t="s">
        <v>3606</v>
      </c>
      <c r="G92" s="3006">
        <f t="shared" si="7"/>
        <v>328</v>
      </c>
      <c r="H92" s="3006">
        <f t="shared" si="7"/>
        <v>3197</v>
      </c>
      <c r="I92" s="3006">
        <f>ROUND(K92*[1]成本法!$C$57,0)</f>
        <v>429</v>
      </c>
      <c r="J92" s="3006">
        <v>4183</v>
      </c>
      <c r="K92" s="3006">
        <f t="shared" si="5"/>
        <v>757</v>
      </c>
      <c r="L92" s="3006">
        <v>7380</v>
      </c>
    </row>
    <row r="93" spans="1:12" ht="15" thickBot="1">
      <c r="A93" s="3003">
        <v>92</v>
      </c>
      <c r="B93" s="3004" t="s">
        <v>3609</v>
      </c>
      <c r="C93" s="3004" t="s">
        <v>3610</v>
      </c>
      <c r="D93" s="3005">
        <v>18.829999999999998</v>
      </c>
      <c r="E93" s="3005">
        <v>130.47999999999999</v>
      </c>
      <c r="F93" s="3005" t="s">
        <v>3606</v>
      </c>
      <c r="G93" s="3006">
        <f t="shared" si="7"/>
        <v>42</v>
      </c>
      <c r="H93" s="3006">
        <f t="shared" si="7"/>
        <v>3197</v>
      </c>
      <c r="I93" s="3006">
        <f>ROUND(K93*[1]成本法!$C$57,0)</f>
        <v>54</v>
      </c>
      <c r="J93" s="3006">
        <v>4183</v>
      </c>
      <c r="K93" s="3006">
        <f t="shared" si="5"/>
        <v>96</v>
      </c>
      <c r="L93" s="3006">
        <v>7380</v>
      </c>
    </row>
    <row r="94" spans="1:12" ht="15" thickBot="1">
      <c r="A94" s="3003">
        <v>93</v>
      </c>
      <c r="B94" s="3004" t="s">
        <v>3611</v>
      </c>
      <c r="C94" s="3004" t="s">
        <v>3612</v>
      </c>
      <c r="D94" s="3005">
        <v>226.4</v>
      </c>
      <c r="E94" s="3005">
        <v>1568.83</v>
      </c>
      <c r="F94" s="3005" t="s">
        <v>3613</v>
      </c>
      <c r="G94" s="3006">
        <f t="shared" si="7"/>
        <v>501</v>
      </c>
      <c r="H94" s="3006">
        <f t="shared" si="7"/>
        <v>3197</v>
      </c>
      <c r="I94" s="3006">
        <f>ROUND(K94*[1]成本法!$C$57,0)</f>
        <v>657</v>
      </c>
      <c r="J94" s="3006">
        <v>4183</v>
      </c>
      <c r="K94" s="3006">
        <f t="shared" si="5"/>
        <v>1158</v>
      </c>
      <c r="L94" s="3006">
        <v>7380</v>
      </c>
    </row>
    <row r="95" spans="1:12" ht="15" thickBot="1">
      <c r="A95" s="3003">
        <v>94</v>
      </c>
      <c r="B95" s="3004" t="s">
        <v>3614</v>
      </c>
      <c r="C95" s="3004" t="s">
        <v>3615</v>
      </c>
      <c r="D95" s="3005">
        <v>48.54</v>
      </c>
      <c r="E95" s="3005">
        <v>336.37</v>
      </c>
      <c r="F95" s="3005" t="s">
        <v>3613</v>
      </c>
      <c r="G95" s="3006">
        <f t="shared" si="7"/>
        <v>107</v>
      </c>
      <c r="H95" s="3006">
        <f t="shared" si="7"/>
        <v>3197</v>
      </c>
      <c r="I95" s="3006">
        <f>ROUND(K95*[1]成本法!$C$57,0)</f>
        <v>141</v>
      </c>
      <c r="J95" s="3006">
        <v>4183</v>
      </c>
      <c r="K95" s="3006">
        <f t="shared" si="5"/>
        <v>248</v>
      </c>
      <c r="L95" s="3006">
        <v>7380</v>
      </c>
    </row>
    <row r="96" spans="1:12" ht="15" thickBot="1">
      <c r="A96" s="3003">
        <v>95</v>
      </c>
      <c r="B96" s="3004" t="s">
        <v>3616</v>
      </c>
      <c r="C96" s="3004" t="s">
        <v>3617</v>
      </c>
      <c r="D96" s="3005">
        <v>19.14</v>
      </c>
      <c r="E96" s="3005">
        <v>132.62</v>
      </c>
      <c r="F96" s="3005" t="s">
        <v>3613</v>
      </c>
      <c r="G96" s="3006">
        <f t="shared" si="7"/>
        <v>42</v>
      </c>
      <c r="H96" s="3006">
        <f t="shared" si="7"/>
        <v>3197</v>
      </c>
      <c r="I96" s="3006">
        <f>ROUND(K96*[1]成本法!$C$57,0)</f>
        <v>56</v>
      </c>
      <c r="J96" s="3006">
        <v>4183</v>
      </c>
      <c r="K96" s="3006">
        <f t="shared" si="5"/>
        <v>98</v>
      </c>
      <c r="L96" s="3006">
        <v>7380</v>
      </c>
    </row>
    <row r="97" spans="1:12" ht="15" thickBot="1">
      <c r="A97" s="3003">
        <v>96</v>
      </c>
      <c r="B97" s="3004" t="s">
        <v>3618</v>
      </c>
      <c r="C97" s="3004" t="s">
        <v>3619</v>
      </c>
      <c r="D97" s="3005">
        <v>66.680000000000007</v>
      </c>
      <c r="E97" s="3005">
        <v>462.03</v>
      </c>
      <c r="F97" s="3005" t="s">
        <v>3620</v>
      </c>
      <c r="G97" s="3006">
        <f t="shared" si="7"/>
        <v>148</v>
      </c>
      <c r="H97" s="3006">
        <f t="shared" si="7"/>
        <v>3197</v>
      </c>
      <c r="I97" s="3006">
        <f>ROUND(K97*[1]成本法!$C$57,0)</f>
        <v>193</v>
      </c>
      <c r="J97" s="3006">
        <v>4183</v>
      </c>
      <c r="K97" s="3006">
        <f t="shared" si="5"/>
        <v>341</v>
      </c>
      <c r="L97" s="3006">
        <v>7380</v>
      </c>
    </row>
    <row r="98" spans="1:12" ht="15" thickBot="1">
      <c r="A98" s="3003">
        <v>97</v>
      </c>
      <c r="B98" s="3004" t="s">
        <v>3621</v>
      </c>
      <c r="C98" s="3004" t="s">
        <v>3622</v>
      </c>
      <c r="D98" s="3005">
        <v>18.829999999999998</v>
      </c>
      <c r="E98" s="3005">
        <v>130.49</v>
      </c>
      <c r="F98" s="3005" t="s">
        <v>3620</v>
      </c>
      <c r="G98" s="3006">
        <f t="shared" si="7"/>
        <v>42</v>
      </c>
      <c r="H98" s="3006">
        <f t="shared" si="7"/>
        <v>3197</v>
      </c>
      <c r="I98" s="3006">
        <f>ROUND(K98*[1]成本法!$C$57,0)</f>
        <v>54</v>
      </c>
      <c r="J98" s="3006">
        <v>4183</v>
      </c>
      <c r="K98" s="3006">
        <f t="shared" si="5"/>
        <v>96</v>
      </c>
      <c r="L98" s="3006">
        <v>7380</v>
      </c>
    </row>
    <row r="99" spans="1:12" ht="15" thickBot="1">
      <c r="A99" s="3003">
        <v>98</v>
      </c>
      <c r="B99" s="3004" t="s">
        <v>3623</v>
      </c>
      <c r="C99" s="3004" t="s">
        <v>3624</v>
      </c>
      <c r="D99" s="3005">
        <v>44.97</v>
      </c>
      <c r="E99" s="3005">
        <v>311.61</v>
      </c>
      <c r="F99" s="3005" t="s">
        <v>3620</v>
      </c>
      <c r="G99" s="3006">
        <f t="shared" si="7"/>
        <v>100</v>
      </c>
      <c r="H99" s="3006">
        <f t="shared" si="7"/>
        <v>3197</v>
      </c>
      <c r="I99" s="3006">
        <f>ROUND(K99*[1]成本法!$C$57,0)</f>
        <v>130</v>
      </c>
      <c r="J99" s="3006">
        <v>4183</v>
      </c>
      <c r="K99" s="3006">
        <f t="shared" si="5"/>
        <v>230</v>
      </c>
      <c r="L99" s="3006">
        <v>7380</v>
      </c>
    </row>
    <row r="100" spans="1:12" ht="15" thickBot="1">
      <c r="A100" s="3003">
        <v>99</v>
      </c>
      <c r="B100" s="3004" t="s">
        <v>3625</v>
      </c>
      <c r="C100" s="3004" t="s">
        <v>3626</v>
      </c>
      <c r="D100" s="3005">
        <v>18.829999999999998</v>
      </c>
      <c r="E100" s="3005">
        <v>130.49</v>
      </c>
      <c r="F100" s="3005" t="s">
        <v>3620</v>
      </c>
      <c r="G100" s="3006">
        <f t="shared" si="7"/>
        <v>42</v>
      </c>
      <c r="H100" s="3006">
        <f t="shared" si="7"/>
        <v>3197</v>
      </c>
      <c r="I100" s="3006">
        <f>ROUND(K100*[1]成本法!$C$57,0)</f>
        <v>54</v>
      </c>
      <c r="J100" s="3006">
        <v>4183</v>
      </c>
      <c r="K100" s="3006">
        <f t="shared" si="5"/>
        <v>96</v>
      </c>
      <c r="L100" s="3006">
        <v>7380</v>
      </c>
    </row>
    <row r="101" spans="1:12" ht="15" thickBot="1">
      <c r="A101" s="3003">
        <v>100</v>
      </c>
      <c r="B101" s="3004" t="s">
        <v>3627</v>
      </c>
      <c r="C101" s="3004" t="s">
        <v>3628</v>
      </c>
      <c r="D101" s="3005">
        <v>82.13</v>
      </c>
      <c r="E101" s="3005">
        <v>569.14</v>
      </c>
      <c r="F101" s="3005" t="s">
        <v>3620</v>
      </c>
      <c r="G101" s="3006">
        <f t="shared" si="7"/>
        <v>182</v>
      </c>
      <c r="H101" s="3006">
        <f t="shared" si="7"/>
        <v>3197</v>
      </c>
      <c r="I101" s="3006">
        <f>ROUND(K101*[1]成本法!$C$57,0)</f>
        <v>238</v>
      </c>
      <c r="J101" s="3006">
        <v>4183</v>
      </c>
      <c r="K101" s="3006">
        <f t="shared" si="5"/>
        <v>420</v>
      </c>
      <c r="L101" s="3006">
        <v>7380</v>
      </c>
    </row>
    <row r="102" spans="1:12" ht="15" thickBot="1">
      <c r="A102" s="3003">
        <v>101</v>
      </c>
      <c r="B102" s="3004" t="s">
        <v>3629</v>
      </c>
      <c r="C102" s="3004" t="s">
        <v>3630</v>
      </c>
      <c r="D102" s="3005">
        <v>20.67</v>
      </c>
      <c r="E102" s="3005">
        <v>143.24</v>
      </c>
      <c r="F102" s="3005" t="s">
        <v>3620</v>
      </c>
      <c r="G102" s="3006">
        <f t="shared" si="7"/>
        <v>46</v>
      </c>
      <c r="H102" s="3006">
        <f t="shared" si="7"/>
        <v>3197</v>
      </c>
      <c r="I102" s="3006">
        <f>ROUND(K102*[1]成本法!$C$57,0)</f>
        <v>60</v>
      </c>
      <c r="J102" s="3006">
        <v>4183</v>
      </c>
      <c r="K102" s="3006">
        <f t="shared" si="5"/>
        <v>106</v>
      </c>
      <c r="L102" s="3006">
        <v>7380</v>
      </c>
    </row>
    <row r="103" spans="1:12" ht="15" thickBot="1">
      <c r="A103" s="3003">
        <v>102</v>
      </c>
      <c r="B103" s="3004" t="s">
        <v>3631</v>
      </c>
      <c r="C103" s="3004" t="s">
        <v>3632</v>
      </c>
      <c r="D103" s="3005">
        <v>73.900000000000006</v>
      </c>
      <c r="E103" s="3005">
        <v>512.11</v>
      </c>
      <c r="F103" s="3005" t="s">
        <v>3633</v>
      </c>
      <c r="G103" s="3006">
        <f t="shared" si="7"/>
        <v>164</v>
      </c>
      <c r="H103" s="3006">
        <f t="shared" si="7"/>
        <v>3196</v>
      </c>
      <c r="I103" s="3006">
        <f>ROUND(K103*[1]成本法!$C$57,0)</f>
        <v>214</v>
      </c>
      <c r="J103" s="3006">
        <v>4184</v>
      </c>
      <c r="K103" s="3006">
        <f t="shared" si="5"/>
        <v>378</v>
      </c>
      <c r="L103" s="3006">
        <v>7380</v>
      </c>
    </row>
    <row r="104" spans="1:12" ht="15" thickBot="1">
      <c r="A104" s="3003">
        <v>103</v>
      </c>
      <c r="B104" s="3004" t="s">
        <v>3634</v>
      </c>
      <c r="C104" s="3004" t="s">
        <v>3635</v>
      </c>
      <c r="D104" s="3005">
        <v>19.46</v>
      </c>
      <c r="E104" s="3005">
        <v>134.87</v>
      </c>
      <c r="F104" s="3005" t="s">
        <v>3633</v>
      </c>
      <c r="G104" s="3006">
        <f t="shared" si="7"/>
        <v>43</v>
      </c>
      <c r="H104" s="3006">
        <f t="shared" si="7"/>
        <v>3195</v>
      </c>
      <c r="I104" s="3006">
        <f>ROUND(K104*[1]成本法!$C$57,0)</f>
        <v>57</v>
      </c>
      <c r="J104" s="3006">
        <v>4185</v>
      </c>
      <c r="K104" s="3006">
        <f t="shared" si="5"/>
        <v>100</v>
      </c>
      <c r="L104" s="3006">
        <v>7380</v>
      </c>
    </row>
    <row r="105" spans="1:12" ht="15" thickBot="1">
      <c r="A105" s="3003">
        <v>104</v>
      </c>
      <c r="B105" s="3004" t="s">
        <v>3636</v>
      </c>
      <c r="C105" s="3004" t="s">
        <v>3637</v>
      </c>
      <c r="D105" s="3005">
        <v>19.46</v>
      </c>
      <c r="E105" s="3005">
        <v>134.87</v>
      </c>
      <c r="F105" s="3005" t="s">
        <v>3633</v>
      </c>
      <c r="G105" s="3006">
        <f t="shared" si="7"/>
        <v>43</v>
      </c>
      <c r="H105" s="3006">
        <f t="shared" si="7"/>
        <v>3194</v>
      </c>
      <c r="I105" s="3006">
        <f>ROUND(K105*[1]成本法!$C$57,0)</f>
        <v>57</v>
      </c>
      <c r="J105" s="3006">
        <v>4186</v>
      </c>
      <c r="K105" s="3006">
        <f t="shared" si="5"/>
        <v>100</v>
      </c>
      <c r="L105" s="3006">
        <v>7380</v>
      </c>
    </row>
    <row r="106" spans="1:12" ht="15" thickBot="1">
      <c r="A106" s="3003">
        <v>105</v>
      </c>
      <c r="B106" s="3004" t="s">
        <v>3638</v>
      </c>
      <c r="C106" s="3004" t="s">
        <v>3639</v>
      </c>
      <c r="D106" s="3005">
        <v>73.900000000000006</v>
      </c>
      <c r="E106" s="3005">
        <v>512.11</v>
      </c>
      <c r="F106" s="3005" t="s">
        <v>3633</v>
      </c>
      <c r="G106" s="3006">
        <f t="shared" si="7"/>
        <v>164</v>
      </c>
      <c r="H106" s="3006">
        <f t="shared" si="7"/>
        <v>3193</v>
      </c>
      <c r="I106" s="3006">
        <f>ROUND(K106*[1]成本法!$C$57,0)</f>
        <v>214</v>
      </c>
      <c r="J106" s="3006">
        <v>4187</v>
      </c>
      <c r="K106" s="3006">
        <f t="shared" si="5"/>
        <v>378</v>
      </c>
      <c r="L106" s="3006">
        <v>7380</v>
      </c>
    </row>
    <row r="107" spans="1:12" ht="15" thickBot="1">
      <c r="A107" s="3003">
        <v>106</v>
      </c>
      <c r="B107" s="3004" t="s">
        <v>3640</v>
      </c>
      <c r="C107" s="3004" t="s">
        <v>3641</v>
      </c>
      <c r="D107" s="3005">
        <f>21.02-0.04</f>
        <v>20.98</v>
      </c>
      <c r="E107" s="3005">
        <v>145.69</v>
      </c>
      <c r="F107" s="3005" t="s">
        <v>3633</v>
      </c>
      <c r="G107" s="3006">
        <f t="shared" si="7"/>
        <v>47</v>
      </c>
      <c r="H107" s="3006">
        <f t="shared" si="7"/>
        <v>3192</v>
      </c>
      <c r="I107" s="3006">
        <f>ROUND(K107*[1]成本法!$C$57,0)</f>
        <v>61</v>
      </c>
      <c r="J107" s="3006">
        <v>4188</v>
      </c>
      <c r="K107" s="3006">
        <f t="shared" si="5"/>
        <v>108</v>
      </c>
      <c r="L107" s="3006">
        <v>7380</v>
      </c>
    </row>
    <row r="108" spans="1:12" ht="15" thickBot="1">
      <c r="A108" s="3347" t="s">
        <v>37</v>
      </c>
      <c r="B108" s="3348"/>
      <c r="C108" s="3349"/>
      <c r="D108" s="3005">
        <f>SUM(D2:D107)</f>
        <v>10608.999999999985</v>
      </c>
      <c r="E108" s="3005">
        <f>SUM(E2:E107)</f>
        <v>73514.720000000059</v>
      </c>
      <c r="F108" s="3005" t="s">
        <v>70</v>
      </c>
      <c r="G108" s="3006">
        <f>SUM(G2:G107)</f>
        <v>20110</v>
      </c>
      <c r="H108" s="3006"/>
      <c r="I108" s="3006">
        <f>SUM(I2:I107)</f>
        <v>26321</v>
      </c>
      <c r="J108" s="3006"/>
      <c r="K108" s="3006">
        <f>SUM(K2:K107)</f>
        <v>46431</v>
      </c>
      <c r="L108" s="3006"/>
    </row>
    <row r="109" spans="1:12">
      <c r="D109" s="3002" t="s">
        <v>3644</v>
      </c>
      <c r="E109" s="3002">
        <f>SUM(E4:E107)</f>
        <v>58289.510000000017</v>
      </c>
    </row>
    <row r="110" spans="1:12">
      <c r="D110" s="3002" t="s">
        <v>3645</v>
      </c>
      <c r="E110" s="3002">
        <f>E2+E3</f>
        <v>15225.21</v>
      </c>
    </row>
  </sheetData>
  <mergeCells count="1">
    <mergeCell ref="A108:C10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1635</v>
      </c>
      <c r="B2" s="3034" t="s">
        <v>1636</v>
      </c>
      <c r="C2" s="3034" t="s">
        <v>1637</v>
      </c>
      <c r="D2" s="3034" t="str">
        <f>结果表!D116</f>
        <v>出让国有建设用地使用权价值</v>
      </c>
      <c r="E2" s="3034"/>
      <c r="F2" s="3034" t="str">
        <f>结果表!F116</f>
        <v>在建建筑物价值</v>
      </c>
      <c r="G2" s="3034"/>
      <c r="H2" s="3034" t="str">
        <f>IF(项目基本情况!B9="房地产市场价值","房地产市场价值","房地产价值")</f>
        <v>房地产价值</v>
      </c>
      <c r="I2" s="3034"/>
    </row>
    <row r="3" spans="1:9" ht="15.6">
      <c r="A3" s="3028"/>
      <c r="B3" s="3028"/>
      <c r="C3" s="3028"/>
      <c r="D3" s="1044" t="s">
        <v>1632</v>
      </c>
      <c r="E3" s="1044" t="s">
        <v>1638</v>
      </c>
      <c r="F3" s="1044" t="s">
        <v>1632</v>
      </c>
      <c r="G3" s="1044" t="s">
        <v>1633</v>
      </c>
      <c r="H3" s="1044" t="s">
        <v>1632</v>
      </c>
      <c r="I3" s="1044" t="s">
        <v>1633</v>
      </c>
    </row>
    <row r="4" spans="1:9" ht="15">
      <c r="A4" s="1963" t="str">
        <f>项目基本情况!S2</f>
        <v>房地产</v>
      </c>
      <c r="B4" s="1044">
        <f>项目基本情况!C17</f>
        <v>73514.720000000016</v>
      </c>
      <c r="C4" s="1044">
        <f>项目基本情况!C18</f>
        <v>10609</v>
      </c>
      <c r="D4" s="1044" t="e">
        <f ca="1">结果表!D118</f>
        <v>#REF!</v>
      </c>
      <c r="E4" s="1044" t="e">
        <f ca="1">结果表!E118</f>
        <v>#DIV/0!</v>
      </c>
      <c r="F4" s="1044" t="e">
        <f ca="1">结果表!F118</f>
        <v>#REF!</v>
      </c>
      <c r="G4" s="1044" t="e">
        <f ca="1">结果表!G118</f>
        <v>#REF!</v>
      </c>
      <c r="H4" s="1044">
        <f ca="1">结果表!H118</f>
        <v>46521</v>
      </c>
      <c r="I4" s="1044" t="e">
        <f ca="1">结果表!I118</f>
        <v>#DIV/0!</v>
      </c>
    </row>
    <row r="5" spans="1:9" ht="30" customHeight="1">
      <c r="A5" s="3028" t="s">
        <v>1634</v>
      </c>
      <c r="B5" s="3028"/>
      <c r="C5" s="3028"/>
      <c r="D5" s="3029" t="e">
        <f ca="1">结果表!D119</f>
        <v>#REF!</v>
      </c>
      <c r="E5" s="3029"/>
      <c r="F5" s="3029" t="e">
        <f ca="1">结果表!F119</f>
        <v>#REF!</v>
      </c>
      <c r="G5" s="3029"/>
      <c r="H5" s="3029" t="str">
        <f ca="1">结果表!H119</f>
        <v>肆亿陆仟伍佰贰拾壹万元整</v>
      </c>
      <c r="I5" s="3029"/>
    </row>
    <row r="6" spans="1:9" ht="15.6">
      <c r="A6" s="3027" t="str">
        <f>结果表!A120</f>
        <v>估价师知悉的法定优先受偿款</v>
      </c>
      <c r="B6" s="3027"/>
      <c r="C6" s="3027"/>
      <c r="D6" s="3027">
        <f>结果表!D120</f>
        <v>0</v>
      </c>
      <c r="E6" s="3027"/>
      <c r="F6" s="3027"/>
      <c r="G6" s="3027"/>
      <c r="H6" s="3027"/>
      <c r="I6" s="3027"/>
    </row>
    <row r="7" spans="1:9" ht="15">
      <c r="A7" s="3028" t="s">
        <v>1634</v>
      </c>
      <c r="B7" s="3028"/>
      <c r="C7" s="3028"/>
      <c r="D7" s="3030" t="str">
        <f>结果表!D121</f>
        <v>零元整</v>
      </c>
      <c r="E7" s="3031"/>
      <c r="F7" s="3031"/>
      <c r="G7" s="3031"/>
      <c r="H7" s="3031"/>
      <c r="I7" s="3032"/>
    </row>
    <row r="8" spans="1:9" ht="15.6">
      <c r="A8" s="3027" t="str">
        <f>结果表!A122</f>
        <v>房地产抵押价值</v>
      </c>
      <c r="B8" s="3027"/>
      <c r="C8" s="3027"/>
      <c r="D8" s="3027">
        <f ca="1">结果表!D122</f>
        <v>46521</v>
      </c>
      <c r="E8" s="3027"/>
      <c r="F8" s="3027"/>
      <c r="G8" s="3027"/>
      <c r="H8" s="3027"/>
      <c r="I8" s="3027"/>
    </row>
    <row r="9" spans="1:9" ht="15">
      <c r="A9" s="3028" t="s">
        <v>1634</v>
      </c>
      <c r="B9" s="3028"/>
      <c r="C9" s="3028"/>
      <c r="D9" s="3029" t="str">
        <f ca="1">结果表!D123</f>
        <v>肆亿陆仟伍佰贰拾壹万元整</v>
      </c>
      <c r="E9" s="3029"/>
      <c r="F9" s="3029"/>
      <c r="G9" s="3029"/>
      <c r="H9" s="3029"/>
      <c r="I9" s="3029"/>
    </row>
    <row r="10" spans="1:9" ht="15.6">
      <c r="A10" s="3027" t="str">
        <f>结果表!A124</f>
        <v/>
      </c>
      <c r="B10" s="3027"/>
      <c r="C10" s="3027"/>
      <c r="D10" s="3027" t="str">
        <f>结果表!D124</f>
        <v>——</v>
      </c>
      <c r="E10" s="3027"/>
      <c r="F10" s="3027"/>
      <c r="G10" s="3027"/>
      <c r="H10" s="3027"/>
      <c r="I10" s="3027"/>
    </row>
    <row r="11" spans="1:9" ht="15">
      <c r="A11" s="3028" t="s">
        <v>1634</v>
      </c>
      <c r="B11" s="3028"/>
      <c r="C11" s="3028"/>
      <c r="D11" s="3029" t="e">
        <f>结果表!D125</f>
        <v>#VALUE!</v>
      </c>
      <c r="E11" s="3029"/>
      <c r="F11" s="3029"/>
      <c r="G11" s="3029"/>
      <c r="H11" s="3029"/>
      <c r="I11" s="3029"/>
    </row>
    <row r="12" spans="1:9" ht="15.6">
      <c r="A12" s="3027" t="str">
        <f>结果表!A126</f>
        <v/>
      </c>
      <c r="B12" s="3027"/>
      <c r="C12" s="3027"/>
      <c r="D12" s="3027" t="str">
        <f>结果表!D126</f>
        <v>——</v>
      </c>
      <c r="E12" s="3027"/>
      <c r="F12" s="3027"/>
      <c r="G12" s="3027"/>
      <c r="H12" s="3027"/>
      <c r="I12" s="3027"/>
    </row>
    <row r="13" spans="1:9" ht="15.6" thickBot="1">
      <c r="A13" s="3024" t="s">
        <v>1634</v>
      </c>
      <c r="B13" s="3024"/>
      <c r="C13" s="3024"/>
      <c r="D13" s="3025" t="e">
        <f>结果表!D127</f>
        <v>#VALUE!</v>
      </c>
      <c r="E13" s="3025"/>
      <c r="F13" s="3025"/>
      <c r="G13" s="3025"/>
      <c r="H13" s="3025"/>
      <c r="I13" s="3025"/>
    </row>
    <row r="14" spans="1:9" ht="14.4" thickTop="1">
      <c r="A14" s="3026" t="s">
        <v>1639</v>
      </c>
      <c r="B14" s="3026"/>
      <c r="C14" s="3026"/>
      <c r="D14" s="3026"/>
      <c r="E14" s="3026"/>
      <c r="F14" s="3026"/>
      <c r="G14" s="3026"/>
      <c r="H14" s="3026"/>
      <c r="I14" s="3026"/>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41" t="s">
        <v>1656</v>
      </c>
      <c r="B1" s="3041"/>
      <c r="C1" s="3041"/>
      <c r="D1" s="3041"/>
    </row>
    <row r="2" spans="1:4" ht="17.399999999999999">
      <c r="A2" s="3042" t="s">
        <v>1640</v>
      </c>
      <c r="B2" s="3042"/>
      <c r="C2" s="3042"/>
      <c r="D2" s="3042"/>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42" t="s">
        <v>1646</v>
      </c>
      <c r="B6" s="3042"/>
      <c r="C6" s="3042"/>
      <c r="D6" s="3042"/>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8"/>
      <c r="B9" s="728"/>
      <c r="C9" s="728"/>
      <c r="D9" s="728"/>
    </row>
    <row r="10" spans="1:4" ht="17.399999999999999">
      <c r="A10" s="1974" t="s">
        <v>1648</v>
      </c>
      <c r="B10" s="728"/>
      <c r="C10" s="728"/>
      <c r="D10" s="728"/>
    </row>
    <row r="11" spans="1:4" ht="30" customHeight="1">
      <c r="A11" s="3043" t="s">
        <v>1649</v>
      </c>
      <c r="B11" s="3035"/>
      <c r="C11" s="3035"/>
      <c r="D11" s="3035"/>
    </row>
    <row r="12" spans="1:4" ht="15.6">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5" t="str">
        <f>IF(项目基本情况!B8="抵押","4.本次评估估价师所知悉的法定优先受偿款情况说明如下：","——")</f>
        <v>4.本次评估估价师所知悉的法定优先受偿款情况说明如下：</v>
      </c>
      <c r="B14" s="3040"/>
      <c r="C14" s="3040"/>
      <c r="D14" s="3040"/>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5"/>
      <c r="C15" s="3035"/>
      <c r="D15" s="3035"/>
    </row>
    <row r="16" spans="1:4" ht="30" customHeight="1">
      <c r="A16" s="3037" t="s">
        <v>1650</v>
      </c>
      <c r="B16" s="3037"/>
      <c r="C16" s="3037"/>
      <c r="D16" s="3037"/>
    </row>
    <row r="17" spans="1:4" ht="144" customHeight="1">
      <c r="A17" s="3037" t="s">
        <v>1651</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8"/>
      <c r="C21" s="3038"/>
      <c r="D21" s="3038"/>
    </row>
    <row r="22" spans="1:4" ht="18.75" customHeight="1">
      <c r="A22" s="3039" t="s">
        <v>1652</v>
      </c>
      <c r="B22" s="3039"/>
      <c r="C22" s="3039"/>
      <c r="D22" s="3039"/>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36">
        <v>42551</v>
      </c>
      <c r="D31" s="30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49" t="s">
        <v>1663</v>
      </c>
      <c r="B15" s="3044" t="s">
        <v>136</v>
      </c>
      <c r="C15" s="3045"/>
    </row>
    <row r="16" spans="1:7" ht="14.4">
      <c r="A16" s="3050"/>
      <c r="B16" s="3044" t="s">
        <v>69</v>
      </c>
      <c r="C16" s="3045"/>
    </row>
    <row r="17" spans="1:3" ht="14.4">
      <c r="A17" s="3050"/>
      <c r="B17" s="3047" t="s">
        <v>1664</v>
      </c>
      <c r="C17" s="1990" t="s">
        <v>1663</v>
      </c>
    </row>
    <row r="18" spans="1:3" ht="14.4">
      <c r="A18" s="3050"/>
      <c r="B18" s="3047"/>
      <c r="C18" s="1990" t="s">
        <v>1665</v>
      </c>
    </row>
    <row r="19" spans="1:3" ht="14.4">
      <c r="A19" s="3050"/>
      <c r="B19" s="3047"/>
      <c r="C19" s="1990" t="s">
        <v>1666</v>
      </c>
    </row>
    <row r="20" spans="1:3" ht="14.4">
      <c r="A20" s="3051"/>
      <c r="B20" s="3046" t="s">
        <v>1667</v>
      </c>
      <c r="C20" s="3045"/>
    </row>
    <row r="21" spans="1:3" ht="14.4">
      <c r="A21" s="1991" t="s">
        <v>1668</v>
      </c>
      <c r="B21" s="1992"/>
      <c r="C21" s="1993"/>
    </row>
    <row r="22" spans="1:3" ht="14.4">
      <c r="A22" s="3048" t="s">
        <v>1669</v>
      </c>
      <c r="B22" s="3046" t="s">
        <v>1670</v>
      </c>
      <c r="C22" s="3045"/>
    </row>
    <row r="23" spans="1:3" ht="14.4">
      <c r="A23" s="3048"/>
      <c r="B23" s="3046" t="s">
        <v>1671</v>
      </c>
      <c r="C23" s="3045"/>
    </row>
    <row r="24" spans="1:3" ht="14.4">
      <c r="A24" s="3048"/>
      <c r="B24" s="3046" t="s">
        <v>1672</v>
      </c>
      <c r="C24" s="3045"/>
    </row>
    <row r="25" spans="1:3" ht="14.4">
      <c r="A25" s="3048"/>
      <c r="B25" s="3047" t="s">
        <v>1673</v>
      </c>
      <c r="C25" s="1990" t="s">
        <v>1674</v>
      </c>
    </row>
    <row r="26" spans="1:3" ht="14.4">
      <c r="A26" s="3048"/>
      <c r="B26" s="3047"/>
      <c r="C26" s="1990" t="s">
        <v>1675</v>
      </c>
    </row>
    <row r="27" spans="1:3" ht="14.4">
      <c r="A27" s="3048"/>
      <c r="B27" s="3047"/>
      <c r="C27" s="1990" t="s">
        <v>1676</v>
      </c>
    </row>
    <row r="28" spans="1:3" ht="14.4">
      <c r="A28" s="3048"/>
      <c r="B28" s="3047"/>
      <c r="C28" s="1990" t="s">
        <v>1677</v>
      </c>
    </row>
    <row r="29" spans="1:3" ht="14.4">
      <c r="A29" s="3048"/>
      <c r="B29" s="3047"/>
      <c r="C29" s="1990" t="s">
        <v>1678</v>
      </c>
    </row>
    <row r="30" spans="1:3" ht="14.4">
      <c r="A30" s="3048"/>
      <c r="B30" s="3047"/>
      <c r="C30" s="1990" t="s">
        <v>1679</v>
      </c>
    </row>
    <row r="31" spans="1:3" ht="14.4">
      <c r="A31" s="3048"/>
      <c r="B31" s="3047"/>
      <c r="C31" s="1990" t="s">
        <v>1680</v>
      </c>
    </row>
    <row r="32" spans="1:3" ht="14.4">
      <c r="A32" s="3048"/>
      <c r="B32" s="3047"/>
      <c r="C32" s="1990" t="s">
        <v>1681</v>
      </c>
    </row>
    <row r="33" spans="1:3" ht="14.4">
      <c r="A33" s="3048"/>
      <c r="B33" s="3047"/>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43980</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3039</v>
      </c>
      <c r="B14" s="1022">
        <f ca="1">IF(C14&lt;B2,"已过期",1120040230)</f>
        <v>1120040230</v>
      </c>
      <c r="C14" s="2339">
        <v>44864</v>
      </c>
      <c r="D14" s="2342" t="s">
        <v>3039</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3046</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3048</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52" t="s">
        <v>842</v>
      </c>
      <c r="B25" s="3052"/>
      <c r="C25" s="3052"/>
      <c r="D25" s="3052"/>
      <c r="E25" s="3052"/>
      <c r="F25" s="3052"/>
      <c r="G25" s="3052"/>
    </row>
    <row r="26" spans="1:7" s="1025" customFormat="1" ht="24" customHeight="1">
      <c r="A26" s="3053" t="s">
        <v>843</v>
      </c>
      <c r="B26" s="3053"/>
      <c r="C26" s="3054"/>
      <c r="D26" s="3055" t="s">
        <v>844</v>
      </c>
      <c r="E26" s="3053"/>
      <c r="F26" s="3053"/>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比较法-商业</vt:lpstr>
      <vt:lpstr>收益法办公</vt:lpstr>
      <vt:lpstr>收益法 (元)</vt:lpstr>
      <vt:lpstr>成本法 (元)</vt:lpstr>
      <vt:lpstr>假设开发法</vt:lpstr>
      <vt:lpstr>收益法车库</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面积明细</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2020-05-29T06:12:03Z</dcterms:modified>
</cp:coreProperties>
</file>