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赁统计"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R6" i="1" l="1"/>
  <c r="I48" i="34"/>
  <c r="G48" i="34"/>
  <c r="C37" i="34"/>
  <c r="N6" i="1"/>
  <c r="Y6" i="1"/>
  <c r="V60" i="77"/>
  <c r="V59" i="77"/>
  <c r="V56" i="77"/>
  <c r="V54" i="77"/>
  <c r="V51" i="77"/>
  <c r="V49" i="77"/>
  <c r="V47" i="77"/>
  <c r="V44" i="77"/>
  <c r="V41" i="77"/>
  <c r="V40" i="77"/>
  <c r="V36" i="77"/>
  <c r="V33" i="77"/>
  <c r="V30" i="77"/>
  <c r="V26" i="77"/>
  <c r="V24" i="77"/>
  <c r="V20" i="77"/>
  <c r="V18" i="77"/>
  <c r="V15" i="77"/>
  <c r="V12" i="77"/>
  <c r="V9" i="77"/>
  <c r="V6" i="77"/>
  <c r="U59" i="77"/>
  <c r="U56" i="77"/>
  <c r="U54" i="77"/>
  <c r="U51" i="77"/>
  <c r="U49" i="77"/>
  <c r="U47" i="77"/>
  <c r="U44" i="77"/>
  <c r="U41" i="77"/>
  <c r="U40" i="77"/>
  <c r="U36" i="77"/>
  <c r="U33" i="77"/>
  <c r="U30" i="77"/>
  <c r="U26" i="77"/>
  <c r="U24" i="77"/>
  <c r="U20" i="77"/>
  <c r="U18" i="77"/>
  <c r="U15" i="77"/>
  <c r="U12" i="77"/>
  <c r="U9" i="77"/>
  <c r="U6" i="77"/>
  <c r="T7" i="77"/>
  <c r="T8" i="77"/>
  <c r="T9" i="77"/>
  <c r="T10" i="77"/>
  <c r="T11" i="77"/>
  <c r="T12" i="77"/>
  <c r="T13" i="77"/>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 i="77"/>
  <c r="M6" i="77"/>
  <c r="L59" i="77"/>
  <c r="M9" i="77"/>
  <c r="M12" i="77"/>
  <c r="M20" i="77"/>
  <c r="M24" i="77"/>
  <c r="M26" i="77"/>
  <c r="M41" i="77"/>
  <c r="M44" i="77"/>
  <c r="M51" i="77"/>
  <c r="M54" i="77"/>
  <c r="M56" i="77"/>
  <c r="M59" i="77"/>
  <c r="N9" i="77"/>
  <c r="N12" i="77"/>
  <c r="N13" i="77"/>
  <c r="N18" i="77"/>
  <c r="N19" i="77"/>
  <c r="N20" i="77"/>
  <c r="N24" i="77"/>
  <c r="N26" i="77"/>
  <c r="N41" i="77"/>
  <c r="N44" i="77"/>
  <c r="N51" i="77"/>
  <c r="N52" i="77"/>
  <c r="N54" i="77"/>
  <c r="N55" i="77"/>
  <c r="N56" i="77"/>
  <c r="N57" i="77"/>
  <c r="N59" i="77"/>
  <c r="O9" i="77"/>
  <c r="O10" i="77"/>
  <c r="O13" i="77"/>
  <c r="O19" i="77"/>
  <c r="O20" i="77"/>
  <c r="O21" i="77"/>
  <c r="O24" i="77"/>
  <c r="O26" i="77"/>
  <c r="O27" i="77"/>
  <c r="O41" i="77"/>
  <c r="O42" i="77"/>
  <c r="O44" i="77"/>
  <c r="O45" i="77"/>
  <c r="O52" i="77"/>
  <c r="O55" i="77"/>
  <c r="O57" i="77"/>
  <c r="O59" i="77"/>
  <c r="P10" i="77"/>
  <c r="P19" i="77"/>
  <c r="P21" i="77"/>
  <c r="P24" i="77"/>
  <c r="P27" i="77"/>
  <c r="P42" i="77"/>
  <c r="P45" i="77"/>
  <c r="P59" i="77"/>
  <c r="Q59" i="77"/>
  <c r="R59" i="77"/>
  <c r="S59" i="77"/>
  <c r="T5" i="77"/>
  <c r="F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24" i="43"/>
  <c r="C39" i="43"/>
  <c r="G39" i="43"/>
  <c r="C38" i="43"/>
  <c r="G38" i="43"/>
  <c r="C37" i="43"/>
  <c r="G37" i="43"/>
  <c r="C36" i="43"/>
  <c r="G36" i="43"/>
  <c r="C35" i="43"/>
  <c r="G35" i="43"/>
  <c r="C34" i="43"/>
  <c r="G34" i="43"/>
  <c r="J53" i="67"/>
  <c r="M47" i="15"/>
  <c r="J50" i="15"/>
  <c r="J51" i="15"/>
  <c r="I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9" i="49"/>
  <c r="E16" i="49"/>
  <c r="E21" i="49"/>
  <c r="E9" i="49"/>
  <c r="B6" i="49"/>
  <c r="B8" i="49"/>
  <c r="C4" i="4" s="1"/>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s="1"/>
  <c r="M19" i="6"/>
  <c r="S21" i="6"/>
  <c r="L27" i="6"/>
  <c r="S26" i="6"/>
  <c r="S22" i="6"/>
  <c r="M20" i="6"/>
  <c r="I20" i="6"/>
  <c r="G16" i="1"/>
  <c r="H10" i="40"/>
  <c r="U10" i="40"/>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AA7"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W7" i="21"/>
  <c r="AA7" i="21"/>
  <c r="R48" i="21"/>
  <c r="E48" i="21"/>
  <c r="E52" i="21"/>
  <c r="F52" i="21"/>
  <c r="R26" i="6"/>
  <c r="R23" i="6"/>
  <c r="R24" i="6"/>
  <c r="R21" i="6"/>
  <c r="R8" i="1"/>
  <c r="R22" i="6"/>
  <c r="D30" i="6"/>
  <c r="D16" i="6"/>
  <c r="A7" i="51"/>
  <c r="B7" i="72"/>
  <c r="C4" i="52"/>
  <c r="B45" i="72"/>
  <c r="A10" i="51"/>
  <c r="B9" i="72"/>
  <c r="D27" i="6"/>
  <c r="C10" i="68"/>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35" i="11"/>
  <c r="C38" i="11"/>
  <c r="D31" i="6"/>
  <c r="I6" i="6"/>
  <c r="B2" i="43"/>
  <c r="R49" i="21"/>
  <c r="C48" i="21"/>
  <c r="I53" i="21"/>
  <c r="J53" i="21"/>
  <c r="C37" i="36"/>
  <c r="C36" i="36"/>
  <c r="G40" i="36"/>
  <c r="H40" i="36"/>
  <c r="E41" i="36"/>
  <c r="F41" i="36"/>
  <c r="G41" i="36"/>
  <c r="H41" i="36"/>
  <c r="R27" i="6"/>
  <c r="E47" i="37"/>
  <c r="F47" i="37"/>
  <c r="E46" i="37"/>
  <c r="F46" i="37"/>
  <c r="C43" i="37"/>
  <c r="C42" i="37"/>
  <c r="C39" i="35"/>
  <c r="C38" i="35"/>
  <c r="E43" i="35"/>
  <c r="F43" i="35"/>
  <c r="E42" i="35"/>
  <c r="F42" i="35"/>
  <c r="G52" i="21"/>
  <c r="H52" i="21"/>
  <c r="G53" i="21"/>
  <c r="H53" i="21"/>
  <c r="E53" i="21"/>
  <c r="F53" i="21"/>
  <c r="H63" i="40"/>
  <c r="G65" i="40"/>
  <c r="H70" i="39"/>
  <c r="C33" i="11"/>
  <c r="I5" i="6"/>
  <c r="B3" i="43"/>
  <c r="C49" i="21"/>
  <c r="I63" i="40"/>
  <c r="H65" i="40"/>
  <c r="C39" i="11"/>
  <c r="I70" i="39"/>
  <c r="J63" i="40"/>
  <c r="I65" i="40"/>
  <c r="C46" i="11"/>
  <c r="C45" i="11"/>
  <c r="J70" i="39"/>
  <c r="K63" i="40"/>
  <c r="J65" i="40"/>
  <c r="K70" i="39"/>
  <c r="L63" i="40"/>
  <c r="K65" i="40"/>
  <c r="L70" i="39"/>
  <c r="E2" i="70"/>
  <c r="C34" i="69"/>
  <c r="C35"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B2" i="37"/>
  <c r="B3" i="37"/>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H107" i="9"/>
  <c r="D122" i="9"/>
  <c r="H108" i="9"/>
  <c r="D15" i="53"/>
  <c r="B31" i="72"/>
  <c r="D13" i="53"/>
  <c r="D14" i="53"/>
  <c r="B32" i="72"/>
  <c r="B30" i="72"/>
  <c r="G14" i="74"/>
  <c r="B6" i="74"/>
  <c r="D123" i="9"/>
  <c r="D9" i="52"/>
  <c r="D8" i="52"/>
  <c r="D6" i="74"/>
  <c r="C6" i="74"/>
  <c r="AD3" i="71"/>
  <c r="P21" i="43"/>
  <c r="P22" i="43"/>
  <c r="P23" i="43"/>
  <c r="B71" i="39"/>
  <c r="P24" i="43"/>
  <c r="B66" i="40"/>
  <c r="P25" i="43"/>
  <c r="F9" i="15"/>
  <c r="C14" i="15"/>
  <c r="F43" i="15"/>
  <c r="F40" i="15"/>
  <c r="M9" i="15"/>
  <c r="E7" i="76"/>
  <c r="E11" i="76"/>
  <c r="B8" i="76"/>
  <c r="B13" i="76"/>
  <c r="F7" i="73"/>
  <c r="D6" i="73"/>
  <c r="AO11" i="1"/>
  <c r="C76" i="67"/>
  <c r="M26" i="67"/>
  <c r="L48" i="67"/>
  <c r="L47" i="15"/>
  <c r="L47" i="67"/>
  <c r="F40" i="67"/>
  <c r="F9" i="67"/>
  <c r="M23" i="67"/>
  <c r="F7" i="15"/>
  <c r="D5" i="73"/>
  <c r="F13" i="15"/>
  <c r="F38" i="15"/>
  <c r="M6" i="15"/>
  <c r="M22" i="15"/>
  <c r="M23" i="15"/>
  <c r="M28" i="15"/>
  <c r="E6" i="76"/>
  <c r="E10" i="76"/>
  <c r="B12" i="76"/>
  <c r="B9" i="76"/>
  <c r="F6" i="73"/>
  <c r="D4" i="73"/>
  <c r="AO13" i="1"/>
  <c r="M24" i="67"/>
  <c r="F26" i="67"/>
  <c r="M9" i="67"/>
  <c r="J15" i="67"/>
  <c r="M22" i="67"/>
  <c r="F36" i="67"/>
  <c r="M8" i="67"/>
  <c r="F35" i="67"/>
  <c r="F41" i="67"/>
  <c r="D2" i="36"/>
  <c r="D2" i="33"/>
  <c r="D35" i="9"/>
  <c r="M27" i="67"/>
  <c r="E2" i="69"/>
  <c r="D2" i="21"/>
  <c r="D2" i="35"/>
  <c r="F8" i="15"/>
  <c r="F4" i="73"/>
  <c r="F16" i="15"/>
  <c r="F26" i="15"/>
  <c r="M8" i="15"/>
  <c r="M26" i="15"/>
  <c r="E9" i="76"/>
  <c r="E13" i="76"/>
  <c r="B11" i="76"/>
  <c r="B7" i="76"/>
  <c r="D3" i="73"/>
  <c r="D7" i="73"/>
  <c r="AO10" i="1"/>
  <c r="F6" i="67"/>
  <c r="F13" i="67"/>
  <c r="F43" i="67"/>
  <c r="F16" i="67"/>
  <c r="F38" i="67"/>
  <c r="M28" i="67"/>
  <c r="M29" i="15"/>
  <c r="F6" i="15"/>
  <c r="F35" i="15"/>
  <c r="F36" i="15"/>
  <c r="F37" i="15"/>
  <c r="F42" i="15"/>
  <c r="M21" i="15"/>
  <c r="J15" i="15"/>
  <c r="M24" i="15"/>
  <c r="L48" i="15"/>
  <c r="E8" i="76"/>
  <c r="E12" i="76"/>
  <c r="B10" i="76"/>
  <c r="F5" i="73"/>
  <c r="F3" i="73"/>
  <c r="AO9" i="1"/>
  <c r="AO12" i="1"/>
  <c r="F8" i="67"/>
  <c r="F7" i="67"/>
  <c r="M6" i="67"/>
  <c r="C76" i="15"/>
  <c r="F37" i="67"/>
  <c r="M29" i="67"/>
  <c r="F42" i="67"/>
  <c r="B6" i="76"/>
  <c r="AO7" i="1"/>
  <c r="F20" i="31"/>
  <c r="E2" i="68"/>
  <c r="M21" i="67"/>
  <c r="AO8" i="1"/>
  <c r="D2" i="37"/>
  <c r="D2" i="34"/>
  <c r="D34" i="9"/>
  <c r="T49" i="34" l="1"/>
  <c r="G49" i="34" s="1"/>
  <c r="G53" i="34" s="1"/>
  <c r="H53" i="34" s="1"/>
  <c r="C14" i="12"/>
  <c r="F43" i="34"/>
  <c r="F124" i="34"/>
  <c r="G124" i="34" s="1"/>
  <c r="H124" i="34" s="1"/>
  <c r="I124" i="34" s="1"/>
  <c r="J124" i="34" s="1"/>
  <c r="K124" i="34" s="1"/>
  <c r="L124" i="34" s="1"/>
  <c r="M124" i="34" s="1"/>
  <c r="V49" i="34"/>
  <c r="I49" i="34" s="1"/>
  <c r="S34" i="34"/>
  <c r="C15" i="12"/>
  <c r="D19" i="68"/>
  <c r="D37" i="68" s="1"/>
  <c r="C37" i="68" s="1"/>
  <c r="C18" i="12"/>
  <c r="C19" i="68"/>
  <c r="C20" i="68" s="1"/>
  <c r="C38" i="69"/>
  <c r="R16" i="1"/>
  <c r="E4" i="49"/>
  <c r="B4" i="49"/>
  <c r="E5" i="49"/>
  <c r="E10" i="49"/>
  <c r="E8" i="49"/>
  <c r="B13" i="49"/>
  <c r="B11" i="49"/>
  <c r="E4" i="4" s="1"/>
  <c r="B5" i="62" s="1"/>
  <c r="B73" i="72" s="1"/>
  <c r="E6" i="49"/>
  <c r="E7" i="49"/>
  <c r="B16" i="49"/>
  <c r="B10" i="49"/>
  <c r="C10" i="69"/>
  <c r="C8" i="69" s="1"/>
  <c r="C5" i="69" s="1"/>
  <c r="D37" i="69"/>
  <c r="C37" i="69" s="1"/>
  <c r="C33" i="69" s="1"/>
  <c r="C39" i="69" s="1"/>
  <c r="C19" i="69"/>
  <c r="C20" i="69" s="1"/>
  <c r="C28" i="69" s="1"/>
  <c r="C27" i="69" s="1"/>
  <c r="C34" i="68"/>
  <c r="B2" i="35"/>
  <c r="B3" i="35" s="1"/>
  <c r="B2" i="21"/>
  <c r="B3" i="21" s="1"/>
  <c r="B8" i="70"/>
  <c r="J20" i="67"/>
  <c r="B2" i="33"/>
  <c r="B3" i="33" s="1"/>
  <c r="B20" i="31"/>
  <c r="B2" i="36"/>
  <c r="B3" i="36" s="1"/>
  <c r="B7" i="70"/>
  <c r="F69" i="67"/>
  <c r="B2" i="76"/>
  <c r="F63" i="67"/>
  <c r="C62" i="67" s="1"/>
  <c r="C34" i="67"/>
  <c r="F70" i="67"/>
  <c r="F64" i="67"/>
  <c r="F65" i="67"/>
  <c r="Q71" i="15"/>
  <c r="M7" i="67"/>
  <c r="J6" i="67" s="1"/>
  <c r="F50" i="67"/>
  <c r="C27" i="67"/>
  <c r="F51" i="67"/>
  <c r="C49" i="67" s="1"/>
  <c r="B12" i="70"/>
  <c r="B13" i="70"/>
  <c r="B9" i="70"/>
  <c r="E20" i="43"/>
  <c r="E2" i="76"/>
  <c r="J53" i="15"/>
  <c r="I54" i="15"/>
  <c r="J57" i="15"/>
  <c r="J55" i="15" s="1"/>
  <c r="J58" i="15" s="1"/>
  <c r="Q50" i="15" s="1"/>
  <c r="L56" i="15"/>
  <c r="L57" i="15"/>
  <c r="L60" i="15"/>
  <c r="J20" i="15"/>
  <c r="F66" i="15"/>
  <c r="F65" i="15"/>
  <c r="F64" i="15"/>
  <c r="C34" i="15"/>
  <c r="F63" i="15"/>
  <c r="C62" i="15" s="1"/>
  <c r="F50" i="15"/>
  <c r="M7" i="15"/>
  <c r="J6" i="15" s="1"/>
  <c r="C6" i="15"/>
  <c r="F68" i="67"/>
  <c r="F66" i="67"/>
  <c r="N59" i="67"/>
  <c r="M59" i="67"/>
  <c r="L58" i="67"/>
  <c r="L59" i="67"/>
  <c r="L58" i="15"/>
  <c r="M59" i="15"/>
  <c r="N59" i="15"/>
  <c r="L59" i="15"/>
  <c r="F71" i="67"/>
  <c r="I54" i="67"/>
  <c r="L56" i="67"/>
  <c r="J57" i="67"/>
  <c r="J55" i="67" s="1"/>
  <c r="J58" i="67" s="1"/>
  <c r="Q50" i="67" s="1"/>
  <c r="C6" i="67"/>
  <c r="Q71" i="67"/>
  <c r="B10" i="70"/>
  <c r="B11" i="70"/>
  <c r="F68" i="15"/>
  <c r="C27" i="15"/>
  <c r="F71" i="15"/>
  <c r="C18" i="15"/>
  <c r="C15" i="15"/>
  <c r="I1" i="73"/>
  <c r="B39" i="1" s="1"/>
  <c r="F51" i="15"/>
  <c r="C47" i="68"/>
  <c r="D45" i="68" s="1"/>
  <c r="G1" i="73"/>
  <c r="C14" i="67"/>
  <c r="C16" i="67"/>
  <c r="C17" i="67"/>
  <c r="C16" i="15"/>
  <c r="C17" i="15"/>
  <c r="B40" i="1" l="1"/>
  <c r="F25" i="12" s="1"/>
  <c r="C26" i="12" s="1"/>
  <c r="D25" i="12" s="1"/>
  <c r="C16" i="12"/>
  <c r="C21" i="12" s="1"/>
  <c r="C22" i="12" s="1"/>
  <c r="C30" i="12" s="1"/>
  <c r="C28" i="12" s="1"/>
  <c r="AA43" i="34"/>
  <c r="R49" i="34" s="1"/>
  <c r="S43" i="34"/>
  <c r="C28" i="68"/>
  <c r="C27" i="68" s="1"/>
  <c r="I53" i="34"/>
  <c r="J53" i="34" s="1"/>
  <c r="G54" i="34"/>
  <c r="H54" i="34" s="1"/>
  <c r="K4" i="4"/>
  <c r="B46" i="48" s="1"/>
  <c r="B4" i="72" s="1"/>
  <c r="C49" i="15"/>
  <c r="C38" i="68"/>
  <c r="C35" i="68"/>
  <c r="C19" i="15"/>
  <c r="C15" i="67"/>
  <c r="C18" i="67"/>
  <c r="C46" i="69"/>
  <c r="C45" i="69" s="1"/>
  <c r="M11" i="15"/>
  <c r="J10" i="15" s="1"/>
  <c r="J5" i="15" s="1"/>
  <c r="M11" i="67"/>
  <c r="J10" i="67" s="1"/>
  <c r="J5" i="67" s="1"/>
  <c r="F11" i="15"/>
  <c r="C10" i="15" s="1"/>
  <c r="C5" i="15" s="1"/>
  <c r="F11" i="67"/>
  <c r="Q74" i="15"/>
  <c r="Q61" i="15"/>
  <c r="Q61" i="67"/>
  <c r="Q74" i="67"/>
  <c r="Q66" i="15"/>
  <c r="Q57" i="15"/>
  <c r="B3" i="76"/>
  <c r="Q73" i="15"/>
  <c r="Q60" i="15"/>
  <c r="Q73" i="67"/>
  <c r="Q60" i="67"/>
  <c r="F24" i="15"/>
  <c r="C24" i="15" s="1"/>
  <c r="F1" i="15"/>
  <c r="Q52" i="15"/>
  <c r="P17" i="43"/>
  <c r="N17" i="43"/>
  <c r="M17" i="43"/>
  <c r="O17" i="43"/>
  <c r="AE6" i="1"/>
  <c r="F22" i="11" l="1"/>
  <c r="C24" i="11" s="1"/>
  <c r="F24" i="67"/>
  <c r="C24" i="67" s="1"/>
  <c r="F22" i="69"/>
  <c r="C43" i="69" s="1"/>
  <c r="F22" i="68"/>
  <c r="C26" i="68" s="1"/>
  <c r="D22" i="68" s="1"/>
  <c r="E49" i="34"/>
  <c r="R50" i="34"/>
  <c r="C53" i="15"/>
  <c r="C48" i="15" s="1"/>
  <c r="C60" i="15" s="1"/>
  <c r="C19" i="67"/>
  <c r="C33" i="68"/>
  <c r="AG6" i="1"/>
  <c r="C32" i="15"/>
  <c r="C38" i="15"/>
  <c r="C33" i="15"/>
  <c r="J19" i="15"/>
  <c r="J24" i="15"/>
  <c r="J18" i="15"/>
  <c r="C26" i="11"/>
  <c r="D22" i="11" s="1"/>
  <c r="C43" i="11"/>
  <c r="C44" i="11"/>
  <c r="D41" i="11" s="1"/>
  <c r="C42" i="11"/>
  <c r="J24" i="67"/>
  <c r="J18" i="67"/>
  <c r="J26" i="67"/>
  <c r="J29" i="67" s="1"/>
  <c r="C26" i="69"/>
  <c r="D22" i="69" s="1"/>
  <c r="C24" i="69"/>
  <c r="C23" i="68"/>
  <c r="C53" i="67"/>
  <c r="C48" i="67" s="1"/>
  <c r="C10" i="67"/>
  <c r="C5" i="67" s="1"/>
  <c r="C27" i="12"/>
  <c r="C25" i="12" s="1"/>
  <c r="C32" i="12" s="1"/>
  <c r="B2" i="12" s="1"/>
  <c r="B3" i="12" s="1"/>
  <c r="C20" i="15"/>
  <c r="C23" i="15" s="1"/>
  <c r="F41" i="15"/>
  <c r="M27" i="15"/>
  <c r="C24" i="68" l="1"/>
  <c r="C42" i="69"/>
  <c r="C41" i="69" s="1"/>
  <c r="C23" i="11"/>
  <c r="C25" i="11"/>
  <c r="C44" i="68"/>
  <c r="D41" i="68" s="1"/>
  <c r="C25" i="68"/>
  <c r="C42" i="68"/>
  <c r="C41" i="11"/>
  <c r="C25" i="69"/>
  <c r="C23" i="69"/>
  <c r="C44" i="69"/>
  <c r="D41" i="69" s="1"/>
  <c r="F69" i="15"/>
  <c r="C50" i="34"/>
  <c r="C49" i="34"/>
  <c r="E53" i="34"/>
  <c r="F53" i="34" s="1"/>
  <c r="E54" i="34"/>
  <c r="F54" i="34" s="1"/>
  <c r="I54" i="34"/>
  <c r="J54" i="34" s="1"/>
  <c r="J17" i="15"/>
  <c r="C49" i="11"/>
  <c r="C51" i="11" s="1"/>
  <c r="C66" i="15"/>
  <c r="C20" i="67"/>
  <c r="C26" i="67" s="1"/>
  <c r="C39" i="68"/>
  <c r="C43" i="68" s="1"/>
  <c r="C60" i="67"/>
  <c r="C66" i="67"/>
  <c r="C31" i="15"/>
  <c r="C26" i="15"/>
  <c r="C29" i="15" s="1"/>
  <c r="C32" i="67"/>
  <c r="C38" i="67"/>
  <c r="C41" i="68" l="1"/>
  <c r="C22" i="68"/>
  <c r="C31" i="68" s="1"/>
  <c r="C22" i="11"/>
  <c r="C31" i="11" s="1"/>
  <c r="C52" i="11" s="1"/>
  <c r="C49" i="69"/>
  <c r="C51" i="69" s="1"/>
  <c r="C22" i="69"/>
  <c r="C31" i="69" s="1"/>
  <c r="B2" i="34"/>
  <c r="B3" i="34"/>
  <c r="C46" i="68"/>
  <c r="C45" i="68" s="1"/>
  <c r="C23" i="67"/>
  <c r="C29" i="67" s="1"/>
  <c r="C49" i="68"/>
  <c r="C51" i="68" s="1"/>
  <c r="C52" i="68" s="1"/>
  <c r="B2" i="68" s="1"/>
  <c r="B3" i="68" s="1"/>
  <c r="C36" i="15"/>
  <c r="C13" i="15"/>
  <c r="J14" i="15"/>
  <c r="Q49" i="15"/>
  <c r="C57" i="15"/>
  <c r="J59" i="15"/>
  <c r="J60" i="15" s="1"/>
  <c r="C52" i="69"/>
  <c r="B2" i="69" s="1"/>
  <c r="B3" i="69" s="1"/>
  <c r="C19" i="9"/>
  <c r="C20" i="9"/>
  <c r="B2" i="11" l="1"/>
  <c r="B3" i="11" s="1"/>
  <c r="C56" i="11"/>
  <c r="C57" i="11" s="1"/>
  <c r="C21" i="9"/>
  <c r="C102" i="9"/>
  <c r="C103" i="9"/>
  <c r="J14" i="67"/>
  <c r="J13" i="67" s="1"/>
  <c r="J23" i="67" s="1"/>
  <c r="C36" i="67"/>
  <c r="C57" i="67"/>
  <c r="C64" i="67" s="1"/>
  <c r="J59" i="67"/>
  <c r="J60" i="67" s="1"/>
  <c r="L46" i="67" s="1"/>
  <c r="Q49" i="67"/>
  <c r="C13" i="67"/>
  <c r="C75" i="67" s="1"/>
  <c r="C33" i="67"/>
  <c r="C31" i="67" s="1"/>
  <c r="J19" i="67"/>
  <c r="J17" i="67" s="1"/>
  <c r="C57" i="68"/>
  <c r="C56" i="68" s="1"/>
  <c r="Q48" i="15"/>
  <c r="L46" i="15"/>
  <c r="C37" i="15"/>
  <c r="C30" i="15" s="1"/>
  <c r="C39" i="15" s="1"/>
  <c r="C56" i="15"/>
  <c r="C65" i="15" s="1"/>
  <c r="C75" i="15"/>
  <c r="Q70" i="15"/>
  <c r="C57" i="69"/>
  <c r="C56" i="69" s="1"/>
  <c r="C61" i="15"/>
  <c r="C59" i="15" s="1"/>
  <c r="C64" i="15"/>
  <c r="J22" i="15"/>
  <c r="J13" i="15"/>
  <c r="J23" i="15" s="1"/>
  <c r="C80" i="15" l="1"/>
  <c r="C79" i="15" s="1"/>
  <c r="C56" i="67"/>
  <c r="C65" i="67" s="1"/>
  <c r="J22" i="67"/>
  <c r="J16" i="67" s="1"/>
  <c r="J25" i="67" s="1"/>
  <c r="C61" i="67"/>
  <c r="C59" i="67" s="1"/>
  <c r="C58" i="67" s="1"/>
  <c r="C67" i="67" s="1"/>
  <c r="C68" i="67" s="1"/>
  <c r="C71" i="67" s="1"/>
  <c r="Q48" i="67"/>
  <c r="Q70" i="67"/>
  <c r="C37" i="67"/>
  <c r="C30" i="67" s="1"/>
  <c r="C39" i="67" s="1"/>
  <c r="C40" i="67" s="1"/>
  <c r="J16" i="15"/>
  <c r="J25" i="15" s="1"/>
  <c r="J26" i="15" s="1"/>
  <c r="J29" i="15" s="1"/>
  <c r="C58" i="15"/>
  <c r="C67" i="15" s="1"/>
  <c r="C68" i="15" s="1"/>
  <c r="C40" i="15"/>
  <c r="Q69" i="15"/>
  <c r="Q68" i="15" s="1"/>
  <c r="L51" i="15"/>
  <c r="Q69" i="67" l="1"/>
  <c r="Q68" i="67" s="1"/>
  <c r="C45" i="67"/>
  <c r="C46" i="67" s="1"/>
  <c r="C80" i="67"/>
  <c r="C79" i="67" s="1"/>
  <c r="Q67" i="15"/>
  <c r="B2" i="15"/>
  <c r="C43" i="15"/>
  <c r="Q65" i="15"/>
  <c r="Q75" i="15" s="1"/>
  <c r="Q47" i="15"/>
  <c r="Q53" i="15" s="1"/>
  <c r="Q56" i="15"/>
  <c r="Q62" i="15" s="1"/>
  <c r="C83" i="15"/>
  <c r="C82" i="15" s="1"/>
  <c r="C71" i="15"/>
  <c r="C46" i="15"/>
  <c r="C43" i="67"/>
  <c r="Q65" i="67"/>
  <c r="Q56" i="67"/>
  <c r="Q47" i="67"/>
  <c r="Q53" i="67" s="1"/>
  <c r="D2" i="67"/>
  <c r="C83" i="67"/>
  <c r="C82" i="67" s="1"/>
  <c r="AO6" i="1"/>
  <c r="L51" i="67"/>
  <c r="D19" i="9"/>
  <c r="Q67" i="67" l="1"/>
  <c r="L57" i="67"/>
  <c r="L60" i="67" s="1"/>
  <c r="D102" i="9"/>
  <c r="D21" i="9"/>
  <c r="D22" i="9"/>
  <c r="G19" i="9"/>
  <c r="G24" i="9" s="1"/>
  <c r="B6" i="70"/>
  <c r="B2" i="70" s="1"/>
  <c r="B3" i="70" s="1"/>
  <c r="Q57" i="67"/>
  <c r="Q66" i="67"/>
  <c r="Q75" i="67" s="1"/>
  <c r="B2" i="67"/>
  <c r="B3" i="67"/>
  <c r="Q62" i="67"/>
  <c r="B3" i="15"/>
  <c r="D20" i="9"/>
  <c r="D103" i="9" l="1"/>
  <c r="G20" i="9"/>
  <c r="C32" i="9"/>
  <c r="G21" i="9"/>
  <c r="C35" i="9" l="1"/>
  <c r="F118" i="9" s="1"/>
  <c r="H118" i="9"/>
  <c r="C34" i="9" l="1"/>
  <c r="D118" i="9" s="1"/>
  <c r="D4" i="52" s="1"/>
  <c r="B47" i="72" s="1"/>
  <c r="F4" i="52"/>
  <c r="B51" i="72" s="1"/>
  <c r="F119" i="9"/>
  <c r="F5" i="52" s="1"/>
  <c r="B53" i="72" s="1"/>
  <c r="G118" i="9"/>
  <c r="G4" i="52" s="1"/>
  <c r="B52" i="72" s="1"/>
  <c r="H101" i="9"/>
  <c r="C104" i="9"/>
  <c r="I118" i="9"/>
  <c r="H119" i="9"/>
  <c r="H5" i="52" s="1"/>
  <c r="H4" i="52"/>
  <c r="D14" i="74"/>
  <c r="D119" i="9"/>
  <c r="D5" i="52" s="1"/>
  <c r="B49" i="72" s="1"/>
  <c r="E14" i="74" l="1"/>
  <c r="F14" i="74"/>
  <c r="B5" i="74"/>
  <c r="C105" i="9"/>
  <c r="I4" i="52"/>
  <c r="E118" i="9"/>
  <c r="E4" i="52" s="1"/>
  <c r="B48" i="72" s="1"/>
  <c r="H102" i="9"/>
  <c r="D7" i="53" s="1"/>
  <c r="B21" i="72" s="1"/>
  <c r="H109" i="9"/>
  <c r="D45" i="9"/>
  <c r="M48" i="9"/>
  <c r="D5" i="53"/>
  <c r="B20" i="72" l="1"/>
  <c r="D6" i="53"/>
  <c r="B22" i="72" s="1"/>
  <c r="C78" i="9"/>
  <c r="C73" i="9" s="1"/>
  <c r="C85" i="9"/>
  <c r="D55" i="9"/>
  <c r="M53" i="9" s="1"/>
  <c r="C64" i="9"/>
  <c r="C63" i="9" s="1"/>
  <c r="C67" i="9" s="1"/>
  <c r="C68" i="9" s="1"/>
  <c r="D54" i="9" s="1"/>
  <c r="C93" i="9"/>
  <c r="C86" i="9" s="1"/>
  <c r="D53" i="9"/>
  <c r="D52" i="9"/>
  <c r="C72" i="9"/>
  <c r="D5" i="74"/>
  <c r="C5" i="74"/>
  <c r="M49" i="9"/>
  <c r="D124" i="9"/>
  <c r="H110" i="9"/>
  <c r="D18" i="53" s="1"/>
  <c r="B35" i="72" s="1"/>
  <c r="D16" i="53"/>
  <c r="C79" i="9" l="1"/>
  <c r="C80" i="9" s="1"/>
  <c r="E80" i="9" s="1"/>
  <c r="E81" i="9" s="1"/>
  <c r="C95" i="9"/>
  <c r="D10" i="52"/>
  <c r="D125" i="9"/>
  <c r="D11" i="52" s="1"/>
  <c r="H14" i="74"/>
  <c r="B7" i="74" s="1"/>
  <c r="C96" i="9"/>
  <c r="E96" i="9" s="1"/>
  <c r="E97" i="9" s="1"/>
  <c r="B34" i="72"/>
  <c r="D17" i="53"/>
  <c r="B36" i="72" s="1"/>
  <c r="L66" i="9"/>
  <c r="M66" i="9" s="1"/>
  <c r="L67" i="9"/>
  <c r="M67" i="9" s="1"/>
  <c r="L68" i="9"/>
  <c r="M68" i="9" s="1"/>
  <c r="L65" i="9"/>
  <c r="M65" i="9" s="1"/>
  <c r="L64" i="9"/>
  <c r="M64" i="9" s="1"/>
  <c r="L63" i="9"/>
  <c r="M63" i="9" s="1"/>
  <c r="C81" i="9" l="1"/>
  <c r="C97" i="9"/>
  <c r="D58" i="9" s="1"/>
  <c r="D56" i="9" s="1"/>
  <c r="M54" i="9" s="1"/>
  <c r="N57" i="9" s="1"/>
  <c r="N59" i="9" s="1"/>
  <c r="N60" i="9" s="1"/>
  <c r="M69" i="9"/>
  <c r="N69" i="9" s="1"/>
  <c r="D7" i="74"/>
  <c r="C7" i="74"/>
  <c r="N58" i="9" l="1"/>
  <c r="N6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<sst xmlns="http://schemas.openxmlformats.org/spreadsheetml/2006/main" count="7651" uniqueCount="3281">
  <si>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</si>
  <si>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</si>
  <si>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</si>
  <si>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</si>
  <si>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</si>
  <si>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</si>
  <si>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</si>
  <si>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</si>
  <si>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</si>
  <si>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</si>
  <si>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</si>
  <si>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</si>
  <si>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</si>
  <si>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</si>
  <si>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</si>
  <si>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</si>
  <si>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</si>
  <si>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</si>
  <si>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</si>
  <si>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</si>
  <si>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</si>
  <si>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</si>
  <si>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</si>
  <si>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</si>
  <si>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</si>
  <si>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</si>
  <si>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</si>
  <si>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</si>
  <si>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</si>
  <si>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</si>
  <si>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</si>
  <si>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</si>
  <si>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</si>
  <si>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</si>
  <si>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</si>
  <si>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</si>
  <si>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</si>
  <si>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</si>
  <si>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</si>
  <si>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</si>
  <si>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</si>
  <si>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</si>
  <si>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</si>
  <si>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</si>
  <si>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</si>
  <si>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</si>
  <si>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</si>
  <si>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</si>
  <si>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</si>
  <si>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</si>
  <si>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</si>
  <si>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</si>
  <si>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</si>
  <si>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</si>
  <si>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</si>
  <si>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</si>
  <si>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</si>
  <si>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</si>
  <si>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</si>
  <si>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</si>
  <si>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</si>
  <si>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</si>
  <si>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</si>
  <si>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</si>
  <si>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</si>
  <si>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</si>
  <si>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</si>
  <si>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</si>
  <si>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</si>
  <si>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</si>
  <si>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</si>
  <si>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</si>
  <si>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</si>
  <si>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</si>
  <si>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</si>
  <si>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</si>
  <si>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</si>
  <si>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</si>
  <si>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</si>
  <si>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</si>
  <si>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</si>
  <si>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</si>
  <si>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</si>
  <si>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</si>
  <si>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</si>
  <si>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</si>
  <si>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</si>
  <si>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</si>
  <si>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</si>
  <si>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</si>
  <si>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</si>
  <si>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</si>
  <si>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</si>
  <si>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</si>
  <si>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</si>
  <si>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</si>
  <si>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</si>
  <si>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</si>
  <si>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</si>
  <si>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</si>
  <si>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</si>
  <si>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</si>
  <si>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</si>
  <si>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</si>
  <si>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</si>
  <si>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</si>
  <si>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</si>
  <si>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</si>
  <si>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</si>
  <si>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</si>
  <si>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</si>
  <si>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</si>
  <si>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</si>
  <si>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</si>
  <si>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</si>
  <si>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</si>
  <si>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</si>
  <si>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</si>
  <si>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</si>
  <si>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</si>
  <si>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</si>
  <si>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</si>
  <si>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</si>
  <si>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</si>
  <si>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</si>
  <si>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</si>
  <si>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</si>
  <si>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</si>
  <si>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</si>
  <si>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</si>
  <si>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</si>
  <si>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</si>
  <si>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</si>
  <si>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</si>
  <si>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</si>
  <si>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</si>
  <si>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</si>
  <si>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</si>
  <si>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</si>
  <si>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</si>
  <si>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</si>
  <si>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</si>
  <si>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</si>
  <si>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</si>
  <si>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</si>
  <si>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</si>
  <si>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</si>
  <si>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</si>
  <si>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</si>
  <si>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</si>
  <si>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</si>
  <si>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</si>
  <si>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</si>
  <si>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</si>
  <si>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</si>
  <si>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</si>
  <si>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</si>
  <si>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</si>
  <si>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</si>
  <si>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</si>
  <si>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</si>
  <si>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</si>
  <si>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</si>
  <si>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</si>
  <si>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</si>
  <si>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</si>
  <si>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</si>
  <si>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</si>
  <si>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</si>
  <si>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</si>
  <si>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</si>
  <si>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</si>
  <si>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</si>
  <si>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</si>
  <si>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</si>
  <si>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</si>
  <si>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</si>
  <si>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</si>
  <si>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</si>
  <si>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</si>
  <si>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</si>
  <si>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</si>
  <si>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</si>
  <si>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</si>
  <si>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</si>
  <si>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</si>
  <si>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</si>
  <si>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</si>
  <si>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</si>
  <si>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</si>
  <si>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</si>
  <si>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</si>
  <si>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</si>
  <si>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</si>
  <si>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</si>
  <si>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</si>
  <si>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</si>
  <si>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</si>
  <si>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</si>
  <si>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</si>
  <si>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</si>
  <si>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</si>
  <si>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</si>
  <si>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</si>
  <si>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</si>
  <si>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</si>
  <si>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</si>
  <si>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</si>
  <si>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</si>
  <si>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</si>
  <si>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</si>
  <si>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</si>
  <si>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</si>
  <si>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</si>
  <si>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</si>
  <si>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</si>
  <si>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</si>
  <si>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</si>
  <si>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</si>
  <si>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</si>
  <si>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</si>
  <si>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</si>
  <si>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</si>
  <si>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</si>
  <si>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</si>
  <si>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</si>
  <si>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</si>
  <si>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</si>
  <si>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</si>
  <si>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</si>
  <si>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</si>
  <si>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</si>
  <si>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</si>
  <si>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</si>
  <si>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</si>
  <si>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</si>
  <si>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</si>
  <si>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</si>
  <si>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</si>
  <si>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</si>
  <si>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</si>
  <si>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</si>
  <si>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</si>
  <si>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</si>
  <si>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</si>
  <si>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</si>
  <si>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</si>
  <si>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</si>
  <si>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</si>
  <si>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</si>
  <si>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</si>
  <si>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</si>
  <si>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</si>
  <si>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</si>
  <si>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</si>
  <si>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</si>
  <si>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</si>
  <si>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</si>
  <si>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</si>
  <si>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</si>
  <si>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</si>
  <si>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</si>
  <si>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</si>
  <si>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</si>
  <si>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</si>
  <si>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</si>
  <si>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</si>
  <si>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</si>
  <si>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</si>
  <si>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</si>
  <si>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</si>
  <si>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</si>
  <si>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</si>
  <si>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</si>
  <si>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</si>
  <si>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</si>
  <si>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</si>
  <si>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</si>
  <si>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</si>
  <si>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</si>
  <si>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</si>
  <si>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</si>
  <si>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</si>
  <si>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</si>
  <si>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</si>
  <si>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</si>
  <si>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</si>
  <si>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</si>
  <si>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</si>
  <si>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</si>
  <si>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</si>
  <si>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</si>
  <si>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</si>
  <si>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</si>
  <si>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</si>
  <si>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</si>
  <si>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</si>
  <si>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</si>
  <si>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</si>
  <si>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</si>
  <si>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</si>
  <si>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</si>
  <si>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</si>
  <si>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</si>
  <si>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</si>
  <si>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</si>
  <si>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</si>
  <si>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</si>
  <si>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</si>
  <si>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</si>
  <si>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</si>
  <si>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</si>
  <si>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</si>
  <si>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</si>
  <si>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</si>
  <si>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</si>
  <si>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</si>
  <si>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</si>
  <si>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</si>
  <si>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</si>
  <si>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</si>
  <si>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</si>
  <si>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</si>
  <si>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</si>
  <si>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</si>
  <si>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</si>
  <si>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</si>
  <si>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</si>
  <si>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</si>
  <si>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</si>
  <si>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</si>
  <si>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</si>
  <si>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</si>
  <si>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</si>
  <si>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</si>
  <si>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</si>
  <si>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</si>
  <si>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</si>
  <si>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</si>
  <si>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</si>
  <si>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</si>
  <si>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</si>
  <si>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</si>
  <si>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</si>
  <si>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</si>
  <si>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</si>
  <si>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</si>
  <si>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</si>
  <si>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</si>
  <si>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</si>
  <si>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</si>
  <si>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</si>
  <si>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</si>
  <si>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</si>
  <si>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</si>
  <si>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</si>
  <si>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</si>
  <si>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</si>
  <si>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</si>
  <si>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</si>
  <si>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</si>
  <si>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</si>
  <si>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</si>
  <si>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</si>
  <si>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</si>
  <si>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</si>
  <si>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</si>
  <si>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</si>
  <si>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</si>
  <si>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</si>
  <si>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</si>
  <si>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</si>
  <si>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</si>
  <si>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</si>
  <si>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</si>
  <si>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</si>
  <si>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</si>
  <si>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</si>
  <si>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</si>
  <si>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</si>
  <si>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</si>
  <si>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</si>
  <si>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</si>
  <si>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</si>
  <si>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</si>
  <si>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</si>
  <si>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</si>
  <si>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</si>
  <si>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</si>
  <si>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</si>
  <si>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</si>
  <si>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</si>
  <si>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</si>
  <si>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</si>
  <si>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</si>
  <si>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</si>
  <si>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</si>
  <si>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</si>
  <si>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</si>
  <si>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</si>
  <si>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</si>
  <si>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</si>
  <si>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</si>
  <si>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</si>
  <si>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</si>
  <si>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</si>
  <si>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</si>
  <si>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</si>
  <si>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</si>
  <si>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</si>
  <si>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</si>
  <si>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</si>
  <si>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</si>
  <si>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</si>
  <si>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</si>
  <si>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</si>
  <si>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</si>
  <si>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</si>
  <si>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</si>
  <si>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</si>
  <si>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</si>
  <si>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</si>
  <si>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</si>
  <si>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</si>
  <si>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</si>
  <si>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</si>
  <si>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</si>
  <si>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</si>
  <si>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</si>
  <si>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</si>
  <si>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</si>
  <si>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</si>
  <si>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</si>
  <si>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</si>
  <si>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</si>
  <si>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</si>
  <si>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</si>
  <si>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</si>
  <si>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</si>
  <si>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</si>
  <si>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</si>
  <si>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</si>
  <si>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</si>
  <si>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</si>
  <si>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</si>
  <si>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</si>
  <si>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</si>
  <si>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</si>
  <si>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</si>
  <si>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</si>
  <si>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</si>
  <si>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</si>
  <si>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</si>
  <si>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</si>
  <si>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</si>
  <si>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</si>
  <si>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</si>
  <si>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</si>
  <si>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</si>
  <si>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</si>
  <si>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</si>
  <si>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</si>
  <si>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</si>
  <si>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</si>
  <si>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</si>
  <si>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</si>
  <si>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</si>
  <si>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</si>
  <si>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</si>
  <si>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</si>
  <si>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</si>
  <si>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</si>
  <si>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</si>
  <si>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</si>
  <si>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</si>
  <si>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</si>
  <si>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</si>
  <si>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</si>
  <si>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</si>
  <si>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</si>
  <si>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</si>
  <si>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</si>
  <si>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</si>
  <si>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</si>
  <si>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</si>
  <si>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</si>
  <si>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</si>
  <si>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</si>
  <si>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</si>
  <si>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</si>
  <si>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</si>
  <si>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</si>
  <si>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</si>
  <si>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</si>
  <si>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</si>
  <si>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</si>
  <si>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</si>
  <si>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</si>
  <si>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</si>
  <si>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</si>
  <si>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</si>
  <si>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</si>
  <si>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</si>
  <si>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</si>
  <si>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</si>
  <si>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</si>
  <si>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</si>
  <si>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</si>
  <si>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</si>
  <si>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</si>
  <si>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</si>
  <si>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</si>
  <si>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</si>
  <si>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</si>
  <si>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</si>
  <si>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</si>
  <si>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</si>
  <si>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</si>
  <si>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</si>
  <si>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</si>
  <si>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</si>
  <si>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</si>
  <si>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</si>
  <si>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</si>
  <si>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</si>
  <si>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</si>
  <si>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</si>
  <si>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</si>
  <si>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</si>
  <si>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</si>
  <si>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</si>
  <si>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</si>
  <si>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</si>
  <si>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</si>
  <si>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</si>
  <si>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</si>
  <si>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</si>
  <si>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</si>
  <si>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</si>
  <si>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</si>
  <si>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</si>
  <si>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</si>
  <si>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</si>
  <si>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</si>
  <si>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</si>
  <si>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</si>
  <si>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</si>
  <si>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</si>
  <si>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</si>
  <si>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</si>
  <si>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</si>
  <si>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</si>
  <si>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</si>
  <si>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</si>
  <si>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</si>
  <si>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</si>
  <si>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</si>
  <si>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</si>
  <si>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</si>
  <si>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</si>
  <si>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</si>
  <si>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</si>
  <si>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</si>
  <si>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</si>
  <si>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</si>
  <si>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</si>
  <si>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</si>
  <si>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</si>
  <si>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</si>
  <si>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</si>
  <si>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</si>
  <si>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</si>
  <si>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</si>
  <si>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</si>
  <si>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</si>
  <si>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</si>
  <si>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</si>
  <si>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</si>
  <si>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</si>
  <si>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</si>
  <si>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</si>
  <si>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</si>
  <si>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</si>
  <si>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</si>
  <si>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</si>
  <si>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</si>
  <si>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</si>
  <si>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</si>
  <si>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</si>
  <si>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</si>
  <si>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</si>
  <si>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</si>
  <si>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</si>
  <si>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</si>
  <si>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</si>
  <si>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</si>
  <si>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</si>
  <si>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</si>
  <si>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</si>
  <si>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</si>
  <si>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</si>
  <si>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</si>
  <si>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</si>
  <si>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</si>
  <si>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</si>
  <si>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</si>
  <si>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</si>
  <si>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</si>
  <si>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</si>
  <si>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</si>
  <si>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</si>
  <si>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</si>
  <si>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</si>
  <si>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</si>
  <si>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</si>
  <si>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</si>
  <si>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</si>
  <si>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</si>
  <si>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</si>
  <si>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</si>
  <si>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</si>
  <si>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</si>
  <si>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</si>
  <si>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</si>
  <si>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</si>
  <si>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</si>
  <si>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</si>
  <si>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</si>
  <si>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</si>
  <si>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</si>
  <si>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</si>
  <si>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</si>
  <si>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</si>
  <si>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</si>
  <si>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</si>
  <si>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</si>
  <si>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</si>
  <si>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</si>
  <si>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</si>
  <si>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</si>
  <si>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</si>
  <si>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</si>
  <si>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</si>
  <si>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</si>
  <si>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</si>
  <si>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</si>
  <si>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</si>
  <si>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</si>
  <si>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</si>
  <si>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</si>
  <si>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</si>
  <si>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</si>
  <si>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</si>
  <si>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</si>
  <si>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</si>
  <si>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</si>
  <si>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</si>
  <si>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</si>
  <si>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</si>
  <si>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</si>
  <si>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</si>
  <si>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</si>
  <si>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</si>
  <si>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</si>
  <si>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</si>
  <si>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</si>
  <si>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</si>
  <si>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</si>
  <si>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</si>
  <si>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</si>
  <si>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</si>
  <si>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</si>
  <si>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</si>
  <si>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</si>
  <si>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</si>
  <si>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</si>
  <si>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</si>
  <si>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</si>
  <si>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</si>
  <si>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</si>
  <si>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</si>
  <si>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</si>
  <si>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</si>
  <si>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</si>
  <si>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</si>
  <si>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</si>
  <si>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</si>
  <si>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</si>
  <si>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</si>
  <si>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</si>
  <si>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</si>
  <si>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</si>
  <si>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</si>
  <si>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</si>
  <si>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</si>
  <si>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</si>
  <si>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</si>
  <si>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</si>
  <si>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</si>
  <si>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</si>
  <si>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</si>
  <si>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</si>
  <si>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</si>
  <si>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</si>
  <si>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</si>
  <si>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</si>
  <si>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</si>
  <si>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</si>
  <si>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</si>
  <si>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</si>
  <si>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</si>
  <si>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</si>
  <si>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</si>
  <si>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</si>
  <si>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</si>
  <si>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</si>
  <si>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</si>
  <si>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</si>
  <si>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</si>
  <si>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</si>
  <si>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</si>
  <si>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</si>
  <si>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</si>
  <si>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</si>
  <si>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</si>
  <si>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</si>
  <si>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</si>
  <si>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</si>
  <si>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</si>
  <si>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</si>
  <si>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</si>
  <si>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</si>
  <si>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</si>
  <si>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</si>
  <si>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</si>
  <si>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</si>
  <si>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</si>
  <si>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</si>
  <si>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</si>
  <si>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</si>
  <si>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</si>
  <si>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</si>
  <si>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</si>
  <si>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</si>
  <si>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</si>
  <si>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</si>
  <si>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</si>
  <si>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</si>
  <si>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</si>
  <si>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</si>
  <si>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</si>
  <si>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</si>
  <si>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</si>
  <si>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</si>
  <si>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</si>
  <si>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</si>
  <si>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</si>
  <si>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</si>
  <si>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</si>
  <si>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</si>
  <si>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</si>
  <si>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</si>
  <si>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</si>
  <si>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</si>
  <si>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</si>
  <si>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</si>
  <si>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</si>
  <si>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</si>
  <si>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</si>
  <si>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</si>
  <si>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</si>
  <si>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</si>
  <si>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</si>
  <si>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</si>
  <si>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</si>
  <si>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</si>
  <si>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</si>
  <si>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</si>
  <si>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</si>
  <si>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</si>
  <si>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</si>
  <si>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</si>
  <si>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</si>
  <si>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</si>
  <si>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</si>
  <si>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</si>
  <si>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</si>
  <si>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</si>
  <si>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</si>
  <si>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</si>
  <si>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</si>
  <si>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</si>
  <si>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</si>
  <si>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</si>
  <si>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</si>
  <si>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</si>
  <si>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</si>
  <si>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</si>
  <si>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</si>
  <si>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</si>
  <si>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</si>
  <si>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</si>
  <si>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</si>
  <si>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</si>
  <si>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</si>
  <si>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</si>
  <si>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</si>
  <si>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</si>
  <si>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</si>
  <si>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</si>
  <si>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</si>
  <si>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</si>
  <si>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</si>
  <si>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</si>
  <si>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</si>
  <si>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</si>
  <si>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</si>
  <si>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</si>
  <si>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</si>
  <si>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</si>
  <si>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</si>
  <si>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</si>
  <si>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</si>
  <si>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</si>
  <si>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</si>
  <si>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</si>
  <si>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</si>
  <si>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</si>
  <si>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</si>
  <si>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</si>
  <si>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</si>
  <si>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</si>
  <si>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</si>
  <si>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</si>
  <si>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</si>
  <si>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</si>
  <si>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</si>
  <si>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</si>
  <si>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</si>
  <si>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</si>
  <si>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</si>
  <si>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</si>
  <si>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</si>
  <si>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</si>
  <si>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</si>
  <si>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</si>
  <si>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</si>
  <si>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</si>
  <si>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</si>
  <si>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</si>
  <si>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</si>
  <si>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</si>
  <si>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</si>
  <si>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</si>
  <si>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</si>
  <si>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</si>
  <si>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</si>
  <si>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</si>
  <si>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</si>
  <si>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</si>
  <si>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</si>
  <si>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</si>
  <si>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</si>
  <si>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</si>
  <si>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</si>
  <si>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</si>
  <si>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</si>
  <si>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</si>
  <si>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</si>
  <si>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</si>
  <si>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</si>
  <si>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</si>
  <si>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</si>
  <si>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</si>
  <si>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</si>
  <si>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</si>
  <si>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</si>
  <si>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</si>
  <si>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</si>
  <si>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</si>
  <si>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</si>
  <si>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</si>
  <si>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</si>
  <si>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</si>
  <si>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</si>
  <si>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</si>
  <si>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</si>
  <si>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</si>
  <si>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</si>
  <si>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</si>
  <si>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</si>
  <si>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</si>
  <si>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</si>
  <si>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</si>
  <si>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</si>
  <si>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</si>
  <si>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</si>
  <si>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</si>
  <si>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</si>
  <si>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</si>
  <si>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</si>
  <si>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</si>
  <si>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</si>
  <si>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</si>
  <si>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</si>
  <si>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</si>
  <si>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</si>
  <si>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</si>
  <si>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</si>
  <si>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</si>
  <si>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</si>
  <si>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</si>
  <si>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</si>
  <si>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</si>
  <si>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</si>
  <si>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</si>
  <si>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</si>
  <si>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</si>
  <si>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</si>
  <si>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</si>
  <si>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</si>
  <si>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</si>
  <si>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</si>
  <si>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</si>
  <si>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</si>
  <si>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</si>
  <si>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</si>
  <si>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</si>
  <si>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</si>
  <si>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</si>
  <si>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</si>
  <si>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</si>
  <si>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</si>
  <si>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</si>
  <si>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</si>
  <si>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</si>
  <si>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</si>
  <si>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</si>
  <si>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</si>
  <si>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</si>
  <si>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</si>
  <si>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</si>
  <si>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</si>
  <si>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</si>
  <si>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</si>
  <si>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</si>
  <si>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</si>
  <si>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</si>
  <si>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</si>
  <si>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</si>
  <si>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</si>
  <si>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</si>
  <si>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</si>
  <si>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</si>
  <si>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</si>
  <si>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</si>
  <si>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</si>
  <si>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</si>
  <si>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</si>
  <si>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</si>
  <si>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</si>
  <si>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</si>
  <si>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</si>
  <si>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</si>
  <si>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</si>
  <si>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</si>
  <si>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</si>
  <si>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</si>
  <si>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</si>
  <si>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</si>
  <si>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</si>
  <si>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</si>
  <si>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</si>
  <si>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</si>
  <si>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</si>
  <si>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</si>
  <si>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</si>
  <si>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</si>
  <si>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</si>
  <si>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</si>
  <si>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</si>
  <si>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</si>
  <si>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</si>
  <si>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</si>
  <si>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</si>
  <si>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</si>
  <si>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</si>
  <si>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</si>
  <si>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</si>
  <si>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</si>
  <si>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</si>
  <si>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</si>
  <si>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</si>
  <si>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</si>
  <si>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</si>
  <si>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</si>
  <si>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</si>
  <si>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</si>
  <si>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</si>
  <si>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</si>
  <si>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</si>
  <si>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</si>
  <si>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</si>
  <si>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</si>
  <si>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</si>
  <si>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</si>
  <si>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</si>
  <si>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</si>
  <si>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</si>
  <si>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</si>
  <si>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</si>
  <si>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</si>
  <si>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</si>
  <si>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</si>
  <si>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</si>
  <si>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</si>
  <si>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</si>
  <si>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</si>
  <si>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</si>
  <si>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</si>
  <si>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</si>
  <si>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</si>
  <si>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</si>
  <si>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</si>
  <si>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</si>
  <si>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</si>
  <si>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</si>
  <si>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</si>
  <si>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</si>
  <si>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</si>
  <si>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</si>
  <si>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</si>
  <si>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</si>
  <si>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</si>
  <si>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</si>
  <si>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</si>
  <si>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</si>
  <si>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</si>
  <si>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</si>
  <si>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</si>
  <si>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</si>
  <si>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</si>
  <si>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</si>
  <si>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</si>
  <si>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</si>
  <si>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</si>
  <si>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</si>
  <si>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</si>
  <si>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</si>
  <si>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</si>
  <si>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</si>
  <si>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</si>
  <si>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</si>
  <si>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</si>
  <si>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</si>
  <si>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</si>
  <si>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</si>
  <si>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</si>
  <si>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</si>
  <si>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</si>
  <si>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</si>
  <si>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</si>
  <si>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</si>
  <si>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</si>
  <si>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</si>
  <si>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</si>
  <si>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</si>
  <si>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</si>
  <si>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</si>
  <si>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</si>
  <si>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</si>
  <si>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</si>
  <si>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</si>
  <si>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</si>
  <si>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</si>
  <si>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</si>
  <si>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</si>
  <si>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</si>
  <si>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</si>
  <si>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</si>
  <si>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</si>
  <si>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</si>
  <si>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</si>
  <si>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</si>
  <si>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</si>
  <si>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</si>
  <si>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</si>
  <si>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</si>
  <si>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</si>
  <si>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</si>
  <si>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</si>
  <si>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</si>
  <si>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</si>
  <si>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</si>
  <si>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</si>
  <si>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</si>
  <si>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</si>
  <si>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</si>
  <si>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</si>
  <si>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</si>
  <si>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</si>
  <si>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</si>
  <si>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</si>
  <si>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</si>
  <si>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</si>
  <si>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</si>
  <si>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</si>
  <si>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</si>
  <si>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</si>
  <si>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</si>
  <si>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</si>
  <si>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</si>
  <si>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</si>
  <si>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</si>
  <si>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</si>
  <si>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</si>
  <si>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</si>
  <si>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</si>
  <si>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</si>
  <si>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</si>
  <si>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</si>
  <si>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</si>
  <si>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</si>
  <si>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</si>
  <si>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</si>
  <si>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</si>
  <si>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</si>
  <si>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</si>
  <si>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</si>
  <si>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</si>
  <si>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</si>
  <si>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</si>
  <si>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</si>
  <si>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</si>
  <si>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</si>
  <si>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</si>
  <si>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</si>
  <si>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</si>
  <si>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</si>
  <si>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</si>
  <si>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</si>
  <si>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</si>
  <si>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</si>
  <si>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</si>
  <si>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</si>
  <si>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</si>
  <si>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</si>
  <si>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</si>
  <si>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</si>
  <si>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</si>
  <si>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</si>
  <si>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</si>
  <si>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</si>
  <si>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</si>
  <si>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</si>
  <si>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</si>
  <si>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</si>
  <si>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</si>
  <si>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</si>
  <si>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</si>
  <si>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</si>
  <si>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</si>
  <si>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</si>
  <si>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</si>
  <si>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</si>
  <si>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</si>
  <si>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</si>
  <si>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</si>
  <si>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</si>
  <si>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</si>
  <si>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</si>
  <si>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</si>
  <si>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</si>
  <si>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</si>
  <si>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</si>
  <si>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</si>
  <si>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</si>
  <si>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</si>
  <si>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</si>
  <si>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</si>
  <si>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</si>
  <si>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</si>
  <si>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</si>
  <si>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</si>
  <si>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</si>
  <si>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</si>
  <si>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</si>
  <si>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</si>
  <si>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</si>
  <si>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</si>
  <si>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</si>
  <si>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</si>
  <si>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</si>
  <si>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</si>
  <si>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</si>
  <si>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</si>
  <si>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</si>
  <si>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</si>
  <si>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</si>
  <si>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</si>
  <si>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</si>
  <si>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</si>
  <si>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</si>
  <si>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</si>
  <si>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</si>
  <si>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</si>
  <si>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</si>
  <si>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</si>
  <si>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</si>
  <si>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</si>
  <si>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</si>
  <si>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</si>
  <si>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</si>
  <si>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</si>
  <si>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</si>
  <si>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</si>
  <si>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</si>
  <si>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</si>
  <si>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</si>
  <si>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</si>
  <si>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</si>
  <si>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</si>
  <si>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</si>
  <si>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</si>
  <si>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</si>
  <si>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</si>
  <si>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</si>
  <si>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</si>
  <si>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</si>
  <si>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</si>
  <si>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</si>
  <si>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</si>
  <si>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</si>
  <si>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</si>
  <si>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</si>
  <si>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</si>
  <si>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</si>
  <si>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</si>
  <si>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</si>
  <si>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</si>
  <si>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</si>
  <si>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</si>
  <si>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</si>
  <si>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</si>
  <si>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</si>
  <si>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</si>
  <si>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</si>
  <si>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</si>
  <si>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</si>
  <si>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</si>
  <si>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</si>
  <si>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</si>
  <si>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</si>
  <si>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</si>
  <si>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</si>
  <si>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</si>
  <si>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</si>
  <si>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</si>
  <si>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</si>
  <si>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</si>
  <si>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</si>
  <si>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</si>
  <si>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</si>
  <si>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</si>
  <si>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</si>
  <si>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</si>
  <si>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</si>
  <si>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</si>
  <si>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</si>
  <si>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</si>
  <si>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</si>
  <si>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</si>
  <si>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</si>
  <si>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</si>
  <si>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</si>
  <si>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</si>
  <si>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</si>
  <si>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</si>
  <si>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</si>
  <si>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</si>
  <si>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</si>
  <si>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</si>
  <si>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</si>
  <si>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</si>
  <si>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</si>
  <si>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</si>
  <si>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</si>
  <si>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</si>
  <si>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</si>
  <si>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</si>
  <si>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</si>
  <si>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</si>
  <si>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</si>
  <si>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</si>
  <si>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</si>
  <si>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</si>
  <si>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</si>
  <si>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</si>
  <si>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</si>
  <si>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</si>
  <si>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</si>
  <si>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</si>
  <si>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</si>
  <si>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</si>
  <si>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</si>
  <si>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</si>
  <si>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</si>
  <si>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</si>
  <si>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</si>
  <si>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</si>
  <si>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</si>
  <si>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</si>
  <si>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</si>
  <si>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</si>
  <si>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</si>
  <si>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</si>
  <si>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</si>
  <si>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</si>
  <si>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</si>
  <si>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</si>
  <si>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</si>
  <si>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</si>
  <si>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</si>
  <si>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</si>
  <si>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</si>
  <si>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</si>
  <si>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</si>
  <si>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</si>
  <si>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</si>
  <si>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</si>
  <si>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</si>
  <si>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</si>
  <si>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</si>
  <si>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</si>
  <si>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</si>
  <si>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</si>
  <si>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</si>
  <si>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</si>
  <si>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</si>
  <si>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</si>
  <si>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</si>
  <si>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</si>
  <si>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</si>
  <si>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</si>
  <si>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</si>
  <si>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</si>
  <si>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</si>
  <si>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</si>
  <si>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</si>
  <si>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</si>
  <si>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</si>
  <si>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</si>
  <si>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</si>
  <si>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</si>
  <si>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</si>
  <si>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</si>
  <si>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</si>
  <si>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</si>
  <si>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</si>
  <si>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</si>
  <si>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</si>
  <si>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</si>
  <si>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</si>
  <si>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</si>
  <si>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</si>
  <si>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</si>
  <si>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</si>
  <si>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</si>
  <si>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</si>
  <si>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</si>
  <si>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</si>
  <si>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</si>
  <si>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</si>
  <si>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</si>
  <si>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</si>
  <si>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</si>
  <si>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</si>
  <si>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</si>
  <si>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</si>
  <si>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</si>
  <si>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</si>
  <si>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</si>
  <si>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</si>
  <si>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</si>
  <si>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</si>
  <si>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</si>
  <si>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</si>
  <si>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</si>
  <si>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</si>
  <si>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</si>
  <si>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</si>
  <si>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</si>
  <si>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</si>
  <si>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</si>
  <si>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</si>
  <si>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</si>
  <si>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</si>
  <si>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</si>
  <si>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</si>
  <si>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</si>
  <si>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</si>
  <si>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</si>
  <si>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</si>
  <si>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</si>
  <si>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</si>
  <si>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</si>
  <si>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</si>
  <si>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</si>
  <si>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</si>
  <si>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</si>
  <si>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</si>
  <si>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</si>
  <si>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</si>
  <si>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</si>
  <si>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</si>
  <si>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</si>
  <si>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</si>
  <si>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</si>
  <si>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</si>
  <si>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</si>
  <si>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</si>
  <si>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</si>
  <si>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</si>
  <si>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</si>
  <si>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</si>
  <si>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</si>
  <si>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</si>
  <si>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</si>
  <si>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</si>
  <si>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</si>
  <si>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</si>
  <si>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</si>
  <si>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</si>
  <si>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</si>
  <si>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</si>
  <si>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</si>
  <si>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</si>
  <si>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</si>
  <si>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</si>
  <si>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</si>
  <si>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</si>
  <si>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</si>
  <si>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</si>
  <si>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</si>
  <si>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</si>
  <si>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</si>
  <si>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</si>
  <si>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</si>
  <si>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</si>
  <si>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</si>
  <si>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</si>
  <si>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</si>
  <si>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</si>
  <si>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</si>
  <si>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</si>
  <si>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</si>
  <si>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</si>
  <si>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</si>
  <si>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</si>
  <si>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</si>
  <si>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</si>
  <si>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</si>
  <si>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</si>
  <si>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</si>
  <si>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</si>
  <si>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</si>
  <si>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</si>
  <si>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</si>
  <si>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</si>
  <si>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</si>
  <si>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</si>
  <si>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</si>
  <si>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</si>
  <si>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</si>
  <si>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</si>
  <si>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</si>
  <si>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</si>
  <si>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</si>
  <si>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</si>
  <si>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</si>
  <si>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</si>
  <si>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</si>
  <si>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</si>
  <si>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</si>
  <si>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</si>
  <si>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</si>
  <si>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</si>
  <si>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</si>
  <si>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</si>
  <si>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</si>
  <si>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</si>
  <si>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</si>
  <si>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</si>
  <si>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</si>
  <si>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</si>
  <si>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</si>
  <si>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</si>
  <si>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</si>
  <si>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</si>
  <si>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</si>
  <si>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</si>
  <si>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</si>
  <si>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</si>
  <si>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</si>
  <si>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</si>
  <si>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</si>
  <si>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</si>
  <si>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</si>
  <si>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</si>
  <si>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</si>
  <si>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</si>
  <si>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</si>
  <si>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</si>
  <si>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</si>
  <si>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</si>
  <si>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</si>
  <si>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</si>
  <si>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</si>
  <si>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</si>
  <si>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</si>
  <si>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</si>
  <si>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</si>
  <si>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</si>
  <si>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</si>
  <si>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</si>
  <si>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</si>
  <si>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</si>
  <si>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</si>
  <si>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</si>
  <si>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</si>
  <si>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</si>
  <si>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</si>
  <si>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</si>
  <si>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</si>
  <si>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</si>
  <si>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</si>
  <si>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</si>
  <si>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</si>
  <si>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</si>
  <si>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</si>
  <si>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</si>
  <si>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</si>
  <si>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</si>
  <si>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</si>
  <si>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</si>
  <si>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</si>
  <si>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</si>
  <si>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</si>
  <si>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</si>
  <si>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</si>
  <si>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</si>
  <si>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</si>
  <si>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</si>
  <si>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</si>
  <si>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</si>
  <si>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</si>
  <si>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</si>
  <si>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</si>
  <si>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</si>
  <si>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</si>
  <si>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</si>
  <si>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</si>
  <si>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</si>
  <si>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</si>
  <si>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</si>
  <si>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</si>
  <si>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</si>
  <si>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</si>
  <si>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</si>
  <si>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</si>
  <si>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</si>
  <si>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</si>
  <si>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</si>
  <si>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</si>
  <si>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</si>
  <si>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</si>
  <si>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</si>
  <si>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</si>
  <si>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</si>
  <si>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</si>
  <si>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</si>
  <si>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</si>
  <si>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</si>
  <si>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</si>
  <si>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</si>
  <si>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</si>
  <si>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</si>
  <si>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</si>
  <si>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</si>
  <si>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</si>
  <si>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</si>
  <si>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</si>
  <si>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</si>
  <si>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</si>
  <si>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</si>
  <si>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</si>
  <si>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</si>
  <si>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</si>
  <si>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</si>
  <si>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</si>
  <si>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</si>
  <si>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</si>
  <si>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</si>
  <si>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</si>
  <si>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</si>
  <si>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</si>
  <si>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</si>
  <si>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</si>
  <si>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</si>
  <si>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</si>
  <si>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</si>
  <si>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</si>
  <si>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</si>
  <si>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</si>
  <si>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</si>
  <si>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</si>
  <si>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</si>
  <si>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</si>
  <si>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</si>
  <si>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</si>
  <si>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</si>
  <si>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</si>
  <si>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</si>
  <si>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</si>
  <si>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</si>
  <si>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</si>
  <si>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</si>
  <si>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</si>
  <si>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</si>
  <si>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</si>
  <si>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</si>
  <si>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</si>
  <si>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</si>
  <si>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</si>
  <si>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</si>
  <si>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</si>
  <si>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</si>
  <si>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</si>
  <si>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</si>
  <si>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</si>
  <si>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</si>
  <si>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</si>
  <si>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</si>
  <si>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</si>
  <si>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</si>
  <si>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</si>
  <si>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</si>
  <si>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</si>
  <si>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</si>
  <si>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</si>
  <si>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</si>
  <si>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</si>
  <si>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</si>
  <si>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</si>
  <si>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</si>
  <si>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</si>
  <si>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</si>
  <si>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</si>
  <si>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</si>
  <si>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</si>
  <si>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</si>
  <si>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</si>
  <si>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</si>
  <si>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</si>
  <si>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</si>
  <si>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</si>
  <si>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</si>
  <si>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</si>
  <si>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</si>
  <si>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</si>
  <si>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</si>
  <si>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</si>
  <si>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</si>
  <si>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</si>
  <si>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</si>
  <si>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</si>
  <si>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</si>
  <si>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</si>
  <si>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</si>
  <si>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</si>
  <si>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</si>
  <si>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</si>
  <si>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</si>
  <si>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</si>
  <si>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</si>
  <si>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</si>
  <si>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</si>
  <si>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</si>
  <si>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</si>
  <si>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</si>
  <si>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</si>
  <si>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</si>
  <si>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</si>
  <si>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</si>
  <si>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</si>
  <si>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</si>
  <si>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</si>
  <si>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</si>
  <si>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</si>
  <si>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</si>
  <si>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</si>
  <si>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</si>
  <si>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</si>
  <si>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</si>
  <si>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</si>
  <si>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</si>
  <si>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</si>
  <si>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</si>
  <si>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</si>
  <si>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</si>
  <si>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</si>
  <si>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</si>
  <si>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</si>
  <si>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</si>
  <si>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</si>
  <si>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</si>
  <si>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</si>
  <si>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</si>
  <si>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</si>
  <si>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</si>
  <si>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</si>
  <si>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</si>
  <si>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</si>
  <si>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</si>
  <si>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</si>
  <si>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</si>
  <si>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</si>
  <si>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</si>
  <si>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</si>
  <si>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</si>
  <si>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</si>
  <si>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</si>
  <si>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</si>
  <si>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</si>
  <si>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</si>
  <si>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</si>
  <si>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</si>
  <si>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</si>
  <si>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</si>
  <si>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</si>
  <si>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</si>
  <si>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</si>
  <si>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</si>
  <si>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</si>
  <si>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</si>
  <si>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</si>
  <si>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</si>
  <si>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</si>
  <si>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</si>
  <si>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</si>
  <si>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</si>
  <si>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</si>
  <si>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</si>
  <si>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</si>
  <si>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</si>
  <si>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</si>
  <si>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</si>
  <si>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</si>
  <si>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</si>
  <si>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</si>
  <si>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</si>
  <si>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</si>
  <si>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</si>
  <si>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</si>
  <si>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</si>
  <si>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</si>
  <si>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</si>
  <si>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</si>
  <si>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</si>
  <si>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</si>
  <si>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</si>
  <si>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</si>
  <si>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</si>
  <si>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</si>
  <si>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</si>
  <si>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</si>
  <si>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</si>
  <si>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</si>
  <si>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</si>
  <si>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</si>
  <si>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</si>
  <si>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</si>
  <si>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</si>
  <si>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</si>
  <si>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</si>
  <si>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</si>
  <si>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</si>
  <si>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</si>
  <si>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</si>
  <si>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</si>
  <si>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</si>
  <si>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</si>
  <si>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</si>
  <si>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</si>
  <si>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</si>
  <si>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</si>
  <si>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</si>
  <si>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</si>
  <si>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</si>
  <si>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</si>
  <si>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</si>
  <si>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</si>
  <si>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</si>
  <si>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</si>
  <si>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</si>
  <si>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</si>
  <si>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</si>
  <si>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</si>
  <si>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</si>
  <si>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</si>
  <si>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</si>
  <si>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</si>
  <si>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</si>
  <si>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</si>
  <si>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</si>
  <si>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</si>
  <si>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</si>
  <si>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</si>
  <si>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</si>
  <si>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</si>
  <si>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</si>
  <si>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</si>
  <si>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</si>
  <si>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</si>
  <si>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</si>
  <si>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</si>
  <si>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</si>
  <si>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</si>
  <si>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</si>
  <si>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</si>
  <si>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</si>
  <si>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</si>
  <si>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</si>
  <si>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</si>
  <si>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</si>
  <si>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</si>
  <si>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</si>
  <si>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</si>
  <si>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</si>
  <si>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</si>
  <si>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</si>
  <si>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</si>
  <si>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</si>
  <si>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</si>
  <si>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</si>
  <si>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</si>
  <si>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</si>
  <si>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</si>
  <si>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</si>
  <si>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</si>
  <si>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</si>
  <si>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</si>
  <si>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</si>
  <si>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</si>
  <si>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</si>
  <si>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</si>
  <si>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</si>
  <si>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</si>
  <si>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</si>
  <si>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</si>
  <si>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</si>
  <si>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</si>
  <si>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</si>
  <si>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</si>
  <si>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</si>
  <si>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</si>
  <si>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</si>
  <si>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</si>
  <si>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</si>
  <si>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</si>
  <si>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</si>
  <si>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</si>
  <si>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</si>
  <si>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</si>
  <si>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</si>
  <si>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</si>
  <si>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</si>
  <si>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</si>
  <si>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</si>
  <si>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</si>
  <si>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</si>
  <si>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</si>
  <si>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</si>
  <si>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</si>
  <si>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</si>
  <si>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</si>
  <si>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</si>
  <si>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</si>
  <si>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</si>
  <si>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</si>
  <si>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</si>
  <si>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</si>
  <si>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</si>
  <si>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</si>
  <si>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</si>
  <si>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</si>
  <si>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</si>
  <si>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</si>
  <si>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</si>
  <si>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</si>
  <si>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</si>
  <si>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</si>
  <si>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</si>
  <si>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</si>
  <si>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</si>
  <si>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</si>
  <si>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</si>
  <si>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</si>
  <si>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</si>
  <si>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</si>
  <si>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</si>
  <si>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</si>
  <si>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</si>
  <si>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</si>
  <si>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</si>
  <si>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</si>
  <si>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</si>
  <si>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</si>
  <si>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</si>
  <si>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</si>
  <si>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</si>
  <si>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</si>
  <si>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</si>
  <si>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</si>
  <si>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</si>
  <si>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</si>
  <si>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</si>
  <si>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</si>
  <si>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</si>
  <si>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</si>
  <si>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</si>
  <si>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</si>
  <si>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</si>
  <si>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</si>
  <si>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</si>
  <si>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</si>
  <si>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</si>
  <si>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</si>
  <si>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</si>
  <si>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</si>
  <si>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</si>
  <si>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</si>
  <si>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</si>
  <si>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</si>
  <si>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</si>
  <si>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</si>
  <si>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</si>
  <si>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</si>
  <si>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</si>
  <si>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</si>
  <si>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</si>
  <si>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</si>
  <si>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</si>
  <si>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</si>
  <si>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</si>
  <si>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</si>
  <si>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</si>
  <si>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</si>
  <si>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</si>
  <si>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</si>
  <si>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</si>
  <si>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</si>
  <si>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</si>
  <si>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</si>
  <si>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</si>
  <si>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</si>
  <si>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</si>
  <si>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</si>
  <si>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</si>
  <si>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</si>
  <si>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</si>
  <si>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</si>
  <si>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</si>
  <si>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</si>
  <si>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</si>
  <si>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</si>
  <si>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</si>
  <si>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</si>
  <si>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</si>
  <si>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</si>
  <si>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</si>
  <si>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</si>
  <si>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</si>
  <si>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</si>
  <si>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</si>
  <si>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</si>
  <si>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</si>
  <si>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</si>
  <si>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</si>
  <si>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</si>
  <si>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</si>
  <si>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</si>
  <si>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</si>
  <si>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</si>
  <si>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</si>
  <si>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</si>
  <si>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</si>
  <si>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</si>
  <si>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</si>
  <si>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</si>
  <si>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</si>
  <si>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</si>
  <si>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</si>
  <si>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</si>
  <si>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</si>
  <si>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</si>
  <si>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</si>
  <si>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</si>
  <si>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</si>
  <si>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</si>
  <si>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</si>
  <si>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</si>
  <si>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</si>
  <si>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</si>
  <si>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</si>
  <si>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</si>
  <si>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</si>
  <si>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</si>
  <si>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</si>
  <si>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</si>
  <si>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</si>
  <si>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</si>
  <si>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</si>
  <si>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</si>
  <si>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</si>
  <si>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</si>
  <si>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</si>
  <si>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</si>
  <si>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</si>
  <si>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</si>
  <si>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</si>
  <si>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</si>
  <si>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</si>
  <si>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</si>
  <si>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</si>
  <si>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</si>
  <si>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</si>
  <si>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</si>
  <si>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</si>
  <si>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</si>
  <si>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</si>
  <si>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</si>
  <si>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</si>
  <si>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</si>
  <si>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</si>
  <si>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</si>
  <si>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</si>
  <si>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</si>
  <si>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</si>
  <si>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</si>
  <si>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</si>
  <si>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</si>
  <si>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</si>
  <si>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</si>
  <si>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</si>
  <si>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</si>
  <si>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</si>
  <si>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</si>
  <si>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</si>
  <si>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</si>
  <si>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</si>
  <si>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</si>
  <si>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</si>
  <si>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</si>
  <si>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</si>
  <si>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</si>
  <si>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</si>
  <si>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</si>
  <si>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</si>
  <si>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</si>
  <si>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</si>
  <si>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</si>
  <si>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</si>
  <si>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</si>
  <si>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</si>
  <si>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</si>
  <si>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</si>
  <si>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</si>
  <si>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</si>
  <si>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</si>
  <si>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</si>
  <si>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</si>
  <si>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</si>
  <si>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</si>
  <si>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</si>
  <si>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</si>
  <si>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</si>
  <si>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</si>
  <si>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</si>
  <si>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</si>
  <si>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</si>
  <si>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</si>
  <si>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</si>
  <si>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</si>
  <si>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</si>
  <si>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</si>
  <si>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</si>
  <si>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</si>
  <si>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</si>
  <si>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</si>
  <si>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</si>
  <si>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</si>
  <si>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</si>
  <si>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</si>
  <si>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</si>
  <si>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</si>
  <si>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</si>
  <si>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</si>
  <si>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</si>
  <si>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</si>
  <si>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</si>
  <si>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</si>
  <si>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</si>
  <si>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</si>
  <si>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</si>
  <si>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</si>
  <si>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</si>
  <si>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</si>
  <si>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</si>
  <si>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</si>
  <si>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</si>
  <si>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</si>
  <si>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</si>
  <si>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</si>
  <si>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</si>
  <si>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</si>
  <si>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</si>
  <si>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</si>
  <si>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</si>
  <si>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</si>
  <si>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</si>
  <si>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</si>
  <si>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</si>
  <si>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</si>
  <si>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</si>
  <si>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</si>
  <si>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</si>
  <si>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</si>
  <si>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</si>
  <si>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</si>
  <si>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</si>
  <si>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</si>
  <si>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</si>
  <si>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</si>
  <si>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</si>
  <si>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</si>
  <si>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</si>
  <si>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</si>
  <si>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</si>
  <si>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</si>
  <si>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</si>
  <si>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</si>
  <si>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</si>
  <si>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</si>
  <si>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</si>
  <si>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</si>
  <si>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</si>
  <si>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</si>
  <si>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</si>
  <si>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</si>
  <si>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</si>
  <si>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</si>
  <si>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</si>
  <si>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</si>
  <si>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</si>
  <si>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</si>
  <si>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</si>
  <si>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</si>
  <si>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</si>
  <si>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</si>
  <si>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</si>
  <si>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</si>
  <si>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</si>
  <si>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</si>
  <si>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</si>
  <si>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</si>
  <si>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</si>
  <si>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</si>
  <si>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</si>
  <si>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</si>
  <si>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</si>
  <si>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</si>
  <si>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</si>
  <si>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</si>
  <si>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</si>
  <si>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</si>
  <si>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</si>
  <si>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</si>
  <si>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</si>
  <si>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</si>
  <si>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</si>
  <si>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</si>
  <si>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</si>
  <si>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</si>
  <si>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</si>
  <si>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</si>
  <si>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</si>
  <si>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</si>
  <si>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</si>
  <si>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</si>
  <si>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</si>
  <si>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</si>
  <si>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</si>
  <si>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</si>
  <si>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</si>
  <si>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</si>
  <si>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</si>
  <si>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</si>
  <si>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</si>
  <si>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</si>
  <si>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</si>
  <si>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</si>
  <si>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</si>
  <si>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</si>
  <si>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</si>
  <si>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</si>
  <si>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</si>
  <si>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</si>
  <si>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</si>
  <si>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</si>
  <si>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</si>
  <si>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</si>
  <si>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</si>
  <si>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</si>
  <si>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</si>
  <si>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</si>
  <si>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</si>
  <si>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</si>
  <si>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</si>
  <si>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</si>
  <si>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</si>
  <si>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</si>
  <si>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</si>
  <si>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</si>
  <si>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</si>
  <si>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</si>
  <si>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</si>
  <si>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</si>
  <si>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</si>
  <si>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</si>
  <si>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</si>
  <si>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</si>
  <si>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</si>
  <si>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</si>
  <si>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</si>
  <si>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</si>
  <si>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</si>
  <si>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</si>
  <si>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</si>
  <si>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</si>
  <si>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</si>
  <si>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</si>
  <si>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</si>
  <si>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</si>
  <si>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</si>
  <si>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</si>
  <si>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</si>
  <si>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</si>
  <si>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</si>
  <si>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</si>
  <si>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</si>
  <si>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</si>
  <si>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</si>
  <si>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</si>
  <si>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</si>
  <si>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</si>
  <si>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</si>
  <si>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</si>
  <si>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</si>
  <si>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</si>
  <si>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</si>
  <si>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</si>
  <si>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</si>
  <si>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</si>
  <si>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</si>
  <si>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</si>
  <si>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</si>
  <si>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</si>
  <si>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</si>
  <si>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</si>
  <si>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</si>
  <si>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</si>
  <si>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</si>
  <si>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</si>
  <si>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</si>
  <si>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</si>
  <si>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</si>
  <si>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</si>
  <si>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</si>
  <si>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</si>
  <si>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</si>
  <si>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</si>
  <si>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</si>
  <si>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</si>
  <si>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</si>
  <si>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</si>
  <si>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</si>
  <si>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</si>
  <si>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</si>
  <si>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</si>
  <si>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</si>
  <si>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</si>
  <si>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</si>
  <si>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</si>
  <si>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</si>
  <si>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</si>
  <si>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</si>
  <si>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</si>
  <si>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</si>
  <si>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</si>
  <si>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</si>
  <si>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</si>
  <si>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</si>
  <si>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</si>
  <si>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</si>
  <si>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</si>
  <si>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</si>
  <si>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</si>
  <si>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</si>
  <si>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</si>
  <si>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</si>
  <si>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</si>
  <si>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</si>
  <si>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</si>
  <si>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</si>
  <si>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</si>
  <si>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</si>
  <si>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</si>
  <si>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</si>
  <si>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</si>
  <si>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</si>
  <si>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</si>
  <si>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</si>
  <si>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</si>
  <si>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</si>
  <si>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</si>
  <si>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</si>
  <si>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</si>
  <si>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</si>
  <si>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</si>
  <si>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</si>
  <si>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</si>
  <si>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</si>
  <si>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</si>
  <si>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</si>
  <si>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</si>
  <si>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</si>
  <si>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</si>
  <si>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</si>
  <si>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</si>
  <si>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</si>
  <si>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</si>
  <si>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</si>
  <si>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</si>
  <si>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</si>
  <si>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</si>
  <si>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</si>
  <si>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</si>
  <si>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</si>
  <si>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</si>
  <si>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</si>
  <si>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</si>
  <si>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</si>
  <si>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</si>
  <si>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</si>
  <si>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</si>
  <si>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</si>
  <si>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</si>
  <si>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</si>
  <si>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</si>
  <si>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</si>
  <si>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</si>
  <si>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</si>
  <si>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</si>
  <si>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</si>
  <si>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</si>
  <si>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</si>
  <si>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</si>
  <si>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</si>
  <si>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</si>
  <si>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</si>
  <si>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</si>
  <si>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</si>
  <si>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</si>
  <si>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</si>
  <si>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</si>
  <si>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</si>
  <si>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</si>
  <si>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</si>
  <si>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</si>
  <si>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</si>
  <si>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</si>
  <si>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</si>
  <si>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</si>
  <si>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</si>
  <si>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</si>
  <si>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</si>
  <si>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</si>
  <si>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</si>
  <si>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</si>
  <si>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</si>
  <si>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</si>
  <si>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</si>
  <si>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</si>
  <si>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</si>
  <si>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</si>
  <si>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</si>
  <si>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</si>
  <si>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</si>
  <si>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</si>
  <si>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</si>
  <si>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</si>
  <si>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</si>
  <si>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</si>
  <si>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</si>
  <si>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</si>
  <si>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</si>
  <si>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</si>
  <si>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</si>
  <si>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</si>
  <si>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</si>
  <si>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</si>
  <si>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</si>
  <si>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</si>
  <si>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</si>
  <si>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</si>
  <si>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</si>
  <si>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</si>
  <si>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</si>
  <si>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</si>
  <si>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</si>
  <si>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</si>
  <si>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</si>
  <si>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</si>
  <si>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</si>
  <si>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</si>
  <si>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</si>
  <si>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</si>
  <si>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</si>
  <si>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</si>
  <si>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</si>
  <si>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</si>
  <si>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</si>
  <si>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</si>
  <si>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</si>
  <si>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</si>
  <si>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</si>
  <si>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</si>
  <si>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</si>
  <si>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</si>
  <si>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</si>
  <si>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</si>
  <si>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</si>
  <si>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</si>
  <si>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</si>
  <si>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</si>
  <si>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</si>
  <si>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</si>
  <si>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</si>
  <si>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</si>
  <si>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</si>
  <si>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</si>
  <si>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</si>
  <si>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</si>
  <si>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</si>
  <si>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</si>
  <si>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</si>
  <si>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</si>
  <si>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</si>
  <si>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</si>
  <si>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</si>
  <si>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</si>
  <si>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</si>
  <si>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</si>
  <si>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</si>
  <si>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</si>
  <si>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</si>
  <si>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</si>
  <si>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</si>
  <si>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</si>
  <si>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</si>
  <si>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</si>
  <si>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</si>
  <si>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</si>
  <si>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</si>
  <si>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</si>
  <si>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</si>
  <si>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</si>
  <si>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</si>
  <si>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</si>
  <si>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</si>
  <si>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</si>
  <si>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</si>
  <si>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</si>
  <si>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</si>
  <si>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</si>
  <si>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</si>
  <si>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</si>
  <si>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</si>
  <si>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</si>
  <si>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</si>
  <si>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</si>
  <si>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</si>
  <si>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</si>
  <si>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</si>
  <si>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</si>
  <si>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</si>
  <si>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</si>
  <si>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</si>
  <si>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</si>
  <si>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</si>
  <si>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</si>
  <si>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</si>
  <si>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</si>
  <si>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</si>
  <si>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</si>
  <si>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</si>
  <si>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</si>
  <si>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</si>
  <si>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</si>
  <si>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</si>
  <si>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</si>
  <si>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</si>
  <si>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</si>
  <si>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</si>
  <si>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</si>
  <si>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</si>
  <si>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</si>
  <si>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</si>
  <si>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</si>
  <si>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</si>
  <si>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</si>
  <si>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</si>
  <si>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</si>
  <si>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</si>
  <si>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</si>
  <si>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</si>
  <si>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</si>
  <si>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</si>
  <si>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</si>
  <si>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</si>
  <si>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</si>
  <si>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</si>
  <si>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</si>
  <si>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</si>
  <si>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</si>
  <si>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</si>
  <si>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</si>
  <si>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</si>
  <si>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</si>
  <si>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</si>
  <si>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</si>
  <si>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</si>
  <si>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</si>
  <si>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</si>
  <si>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</si>
  <si>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</si>
  <si>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</si>
  <si>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</si>
  <si>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</si>
  <si>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</si>
  <si>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</si>
  <si>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</si>
  <si>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</si>
  <si>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</si>
  <si>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</si>
  <si>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</si>
  <si>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</si>
  <si>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</si>
  <si>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</si>
  <si>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</si>
  <si>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</si>
  <si>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</si>
  <si>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</si>
  <si>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</si>
  <si>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</si>
  <si>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</si>
  <si>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</si>
  <si>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</si>
  <si>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</si>
  <si>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</si>
  <si>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</si>
  <si>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</si>
  <si>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</si>
  <si>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</si>
  <si>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</si>
  <si>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</si>
  <si>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</si>
  <si>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</si>
  <si>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</si>
  <si>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</si>
  <si>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</si>
  <si>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</si>
  <si>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</si>
  <si>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</si>
  <si>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</si>
  <si>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</si>
  <si>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</si>
  <si>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</si>
  <si>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</si>
  <si>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</si>
  <si>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</si>
  <si>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</si>
  <si>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</si>
  <si>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</si>
  <si>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</si>
  <si>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</si>
  <si>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</si>
  <si>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</si>
  <si>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</si>
  <si>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</si>
  <si>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</si>
  <si>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</si>
  <si>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</si>
  <si>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</si>
  <si>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</si>
  <si>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</si>
  <si>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</si>
  <si>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</si>
  <si>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</si>
  <si>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</si>
  <si>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</si>
  <si>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</si>
  <si>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</si>
  <si>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</si>
  <si>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</si>
  <si>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</si>
  <si>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</si>
  <si>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</si>
  <si>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</si>
  <si>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</si>
  <si>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</si>
  <si>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</si>
  <si>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</si>
  <si>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</si>
  <si>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</si>
  <si>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</si>
  <si>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</si>
  <si>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</si>
  <si>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</si>
  <si>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</si>
  <si>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</si>
  <si>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</si>
  <si>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</si>
  <si>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</si>
  <si>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</si>
  <si>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</si>
  <si>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</si>
  <si>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</si>
  <si>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</si>
  <si>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</si>
  <si>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</si>
  <si>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</si>
  <si>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</si>
  <si>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</si>
  <si>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</si>
  <si>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</si>
  <si>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</si>
  <si>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</si>
  <si>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</si>
  <si>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</si>
  <si>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</si>
  <si>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</si>
  <si>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</si>
  <si>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</si>
  <si>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</si>
  <si>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</si>
  <si>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</si>
  <si>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</si>
  <si>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</si>
  <si>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</si>
  <si>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</si>
  <si>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</si>
  <si>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</si>
  <si>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</si>
  <si>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</si>
  <si>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</si>
  <si>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</si>
  <si>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</si>
  <si>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</si>
  <si>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</si>
  <si>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</si>
  <si>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</si>
  <si>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</si>
  <si>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</si>
  <si>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</si>
  <si>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</si>
  <si>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</si>
  <si>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</si>
  <si>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</si>
  <si>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</si>
  <si>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</si>
  <si>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</si>
  <si>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</si>
  <si>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</si>
  <si>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</si>
  <si>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</si>
  <si>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</si>
  <si>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</si>
  <si>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</si>
  <si>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</si>
  <si>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</si>
  <si>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</si>
  <si>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</si>
  <si>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</si>
  <si>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</si>
  <si>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</si>
  <si>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</si>
  <si>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</si>
  <si>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</si>
  <si>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</si>
  <si>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</si>
  <si>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</si>
  <si>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</si>
  <si>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</si>
  <si>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</si>
  <si>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</si>
  <si>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</si>
  <si>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</si>
  <si>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</si>
  <si>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</si>
  <si>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</si>
  <si>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</si>
  <si>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</si>
  <si>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</si>
  <si>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</si>
  <si>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</si>
  <si>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</si>
  <si>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</si>
  <si>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</si>
  <si>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</si>
  <si>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</si>
  <si>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</si>
  <si>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</si>
  <si>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</si>
  <si>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</si>
  <si>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</si>
  <si>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</si>
  <si>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</si>
  <si>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</si>
  <si>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</si>
  <si>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</si>
  <si>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</si>
  <si>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</si>
  <si>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</si>
  <si>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</si>
  <si>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</si>
  <si>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</si>
  <si>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</si>
  <si>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</si>
  <si>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</si>
  <si>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</si>
  <si>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</si>
  <si>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</si>
  <si>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</si>
  <si>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</si>
  <si>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</si>
  <si>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</si>
  <si>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</si>
  <si>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</si>
  <si>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</si>
  <si>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</si>
  <si>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</si>
  <si>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</si>
  <si>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</si>
  <si>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</si>
  <si>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</si>
  <si>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</si>
  <si>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</si>
  <si>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</si>
  <si>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</si>
  <si>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</si>
  <si>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</si>
  <si>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</si>
  <si>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</si>
  <si>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</si>
  <si>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</si>
  <si>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</si>
  <si>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</si>
  <si>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</si>
  <si>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</si>
  <si>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</si>
  <si>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</si>
  <si>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</si>
  <si>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</si>
  <si>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</si>
  <si>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</si>
  <si>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</si>
  <si>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</si>
  <si>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</si>
  <si>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</si>
  <si>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</si>
  <si>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</si>
  <si>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</si>
  <si>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</si>
  <si>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</si>
  <si>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</si>
  <si>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</si>
  <si>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</si>
  <si>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</si>
  <si>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</si>
  <si>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</si>
  <si>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</si>
  <si>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</si>
  <si>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</si>
  <si>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</si>
  <si>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</si>
  <si>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</si>
  <si>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</si>
  <si>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</si>
  <si>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</si>
  <si>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</si>
  <si>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</si>
  <si>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</si>
  <si>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</si>
  <si>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</si>
  <si>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</si>
  <si>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</si>
  <si>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</si>
  <si>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</si>
  <si>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</si>
  <si>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</si>
  <si>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</si>
  <si>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</si>
  <si>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</si>
  <si>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</si>
  <si>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</si>
  <si>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</si>
  <si>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</si>
  <si>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</si>
  <si>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</si>
  <si>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</si>
  <si>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</si>
  <si>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</si>
  <si>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</si>
  <si>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</si>
  <si>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</si>
  <si>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</si>
  <si>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</si>
  <si>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</si>
  <si>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</si>
  <si>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</si>
  <si>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</si>
  <si>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</si>
  <si>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</si>
  <si>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</si>
  <si>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</si>
  <si>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</si>
  <si>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</si>
  <si>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</si>
  <si>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</si>
  <si>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</si>
  <si>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</si>
  <si>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</si>
  <si>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</si>
  <si>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</si>
  <si>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</si>
  <si>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</si>
  <si>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</si>
  <si>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</si>
  <si>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</si>
  <si>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</si>
  <si>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</si>
  <si>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</si>
  <si>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</si>
  <si>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</si>
  <si>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</si>
  <si>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</si>
  <si>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</si>
  <si>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</si>
  <si>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</si>
  <si>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</si>
  <si>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</si>
  <si>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</si>
  <si>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</si>
  <si>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</si>
  <si>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</si>
  <si>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</si>
  <si>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</si>
  <si>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</si>
  <si>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</si>
  <si>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</si>
  <si>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</si>
  <si>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</si>
  <si>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</si>
  <si>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</si>
  <si>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</si>
  <si>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</si>
  <si>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</si>
  <si>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</si>
  <si>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</si>
  <si>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</si>
  <si>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</si>
  <si>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</si>
  <si>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</si>
  <si>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</si>
  <si>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</si>
  <si>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</si>
  <si>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</si>
  <si>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</si>
  <si>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</si>
  <si>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</si>
  <si>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</si>
  <si>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</si>
  <si>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</si>
  <si>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</si>
  <si>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</si>
  <si>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</si>
  <si>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</si>
  <si>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</si>
  <si>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</si>
  <si>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</si>
  <si>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</si>
  <si>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</si>
  <si>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</si>
  <si>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</si>
  <si>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</si>
  <si>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</si>
  <si>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</si>
  <si>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</si>
  <si>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</si>
  <si>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</si>
  <si>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</si>
  <si>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</si>
  <si>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</si>
  <si>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</si>
  <si>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</si>
  <si>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</si>
  <si>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</si>
  <si>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</si>
  <si>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</si>
  <si>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</si>
  <si>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</si>
  <si>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</si>
  <si>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</si>
  <si>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</si>
  <si>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</si>
  <si>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</si>
  <si>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</si>
  <si>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</si>
  <si>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</si>
  <si>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</si>
  <si>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</si>
  <si>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</si>
  <si>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</si>
  <si>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</si>
  <si>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</si>
  <si>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</si>
  <si>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</si>
  <si>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</si>
  <si>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</si>
  <si>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</si>
  <si>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</si>
  <si>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</si>
  <si>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</si>
  <si>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</si>
  <si>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</si>
  <si>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</si>
  <si>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</si>
  <si>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</si>
  <si>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</si>
  <si>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</si>
  <si>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</si>
  <si>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</si>
  <si>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</si>
  <si>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</si>
  <si>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</si>
  <si>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</si>
  <si>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</si>
  <si>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</si>
  <si>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</si>
  <si>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</si>
  <si>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</si>
  <si>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</si>
  <si>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</si>
  <si>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</si>
  <si>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</si>
  <si>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</si>
  <si>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</si>
  <si>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</si>
  <si>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</si>
  <si>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</si>
  <si>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</si>
  <si>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</si>
  <si>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</si>
  <si>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</si>
  <si>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</si>
  <si>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</si>
  <si>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</si>
  <si>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</si>
  <si>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</si>
  <si>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</si>
  <si>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</si>
  <si>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</si>
  <si>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</si>
  <si>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</si>
  <si>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</si>
  <si>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</si>
  <si>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</si>
  <si>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</si>
  <si>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</si>
  <si>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</si>
  <si>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</si>
  <si>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</si>
  <si>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</si>
  <si>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</si>
  <si>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</si>
  <si>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</si>
  <si>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</si>
  <si>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</si>
  <si>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</si>
  <si>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</si>
  <si>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</si>
  <si>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</si>
  <si>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</si>
  <si>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</si>
  <si>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</si>
  <si>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</si>
  <si>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</si>
  <si>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</si>
  <si>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</si>
  <si>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</si>
  <si>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</si>
  <si>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</si>
  <si>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</si>
  <si>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</si>
  <si>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</si>
  <si>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</si>
  <si>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</si>
  <si>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</si>
  <si>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</si>
  <si>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</si>
  <si>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</si>
  <si>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</si>
  <si>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</si>
  <si>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</si>
  <si>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</si>
  <si>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</si>
  <si>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</si>
  <si>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</si>
  <si>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</si>
  <si>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</si>
  <si>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</si>
  <si>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</si>
  <si>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</si>
  <si>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</si>
  <si>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</si>
  <si>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</si>
  <si>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2018-1-0685</t>
    <phoneticPr fontId="6" type="noConversion"/>
  </si>
  <si>
    <t>欧红伟</t>
  </si>
  <si>
    <t>崔锴</t>
  </si>
  <si>
    <t>抵押</t>
  </si>
  <si>
    <t>已注销</t>
  </si>
  <si>
    <t>房地产抵押价值</t>
  </si>
  <si>
    <t>北京市</t>
  </si>
  <si>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号十六区</t>
    </r>
    <r>
      <rPr>
        <sz val="12"/>
        <color theme="9" tint="-0.249977111117893"/>
        <rFont val="Arial"/>
        <family val="2"/>
      </rPr>
      <t>18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15</t>
    </r>
    <r>
      <rPr>
        <sz val="12"/>
        <color theme="9" tint="-0.249977111117893"/>
        <rFont val="宋体"/>
        <family val="3"/>
        <charset val="134"/>
      </rPr>
      <t>层</t>
    </r>
    <r>
      <rPr>
        <sz val="12"/>
        <color theme="9" tint="-0.249977111117893"/>
        <rFont val="Arial"/>
        <family val="2"/>
      </rPr>
      <t>101</t>
    </r>
    <phoneticPr fontId="6" type="noConversion"/>
  </si>
  <si>
    <t>企业</t>
  </si>
  <si>
    <t>北京中关村丰台园道丰科技商务园建设发展有限公司</t>
    <phoneticPr fontId="6" type="noConversion"/>
  </si>
  <si>
    <t>出让</t>
  </si>
  <si>
    <t>工业</t>
    <phoneticPr fontId="6" type="noConversion"/>
  </si>
  <si>
    <t>《不动产权证书》[京（2016）丰台区不动产权第0015147号]</t>
    <phoneticPr fontId="6" type="noConversion"/>
  </si>
  <si>
    <t>是</t>
  </si>
  <si>
    <t>否</t>
  </si>
  <si>
    <t>复印件</t>
  </si>
  <si>
    <t>华夏银行</t>
    <phoneticPr fontId="6" type="noConversion"/>
  </si>
  <si>
    <t>工业项目</t>
  </si>
  <si>
    <t>无</t>
  </si>
  <si>
    <t>现房</t>
  </si>
  <si>
    <t>良好</t>
    <phoneticPr fontId="6" type="noConversion"/>
  </si>
  <si>
    <t>通路</t>
  </si>
  <si>
    <t>通电</t>
  </si>
  <si>
    <t>通讯</t>
  </si>
  <si>
    <t>通上水</t>
  </si>
  <si>
    <t>通下水</t>
  </si>
  <si>
    <t>地上</t>
  </si>
  <si>
    <t>办公楼</t>
  </si>
  <si>
    <t>办公楼</t>
    <phoneticPr fontId="7" type="noConversion"/>
  </si>
  <si>
    <t>成新度</t>
  </si>
  <si>
    <t>收益法</t>
  </si>
  <si>
    <t>较好</t>
  </si>
  <si>
    <t>估价对象位于总部基地产业区，园区建设成熟度较好，产业集聚程度较好</t>
    <phoneticPr fontId="3" type="noConversion"/>
  </si>
  <si>
    <t>估价对象周边道路状况、公共交通通达情况、停车便捷程度，综合评价交通便捷度较好</t>
    <phoneticPr fontId="3" type="noConversion"/>
  </si>
  <si>
    <t>估价对象所在区域公共配套设施齐备情况较齐备</t>
    <phoneticPr fontId="3" type="noConversion"/>
  </si>
  <si>
    <t>该园区内无污染型企业，绿化情况，卫生条件，整体环境状况较好</t>
    <phoneticPr fontId="3" type="noConversion"/>
  </si>
  <si>
    <t>估价对象所在区域基础设施水平好</t>
    <phoneticPr fontId="3" type="noConversion"/>
  </si>
  <si>
    <t>16区18号楼租赁明细表</t>
  </si>
  <si>
    <t>楼号</t>
  </si>
  <si>
    <t>房间号</t>
  </si>
  <si>
    <t>单位名称</t>
  </si>
  <si>
    <t>签约日期</t>
  </si>
  <si>
    <t>租期</t>
  </si>
  <si>
    <t>租赁期间</t>
  </si>
  <si>
    <t xml:space="preserve">付款方式 </t>
  </si>
  <si>
    <t>租赁面积㎡</t>
  </si>
  <si>
    <t>租赁单价</t>
  </si>
  <si>
    <t>物业费</t>
  </si>
  <si>
    <t>2017年租金</t>
  </si>
  <si>
    <t>2018年租金</t>
  </si>
  <si>
    <t>2019年租金</t>
  </si>
  <si>
    <t>2020年租金</t>
  </si>
  <si>
    <t>2021年租金</t>
  </si>
  <si>
    <t>2022年租金</t>
  </si>
  <si>
    <t>2023年租金</t>
  </si>
  <si>
    <t>2024年租金</t>
  </si>
  <si>
    <t>16区18号楼</t>
  </si>
  <si>
    <t>1层</t>
  </si>
  <si>
    <t>平安银行股份有限公司北京分行</t>
  </si>
  <si>
    <t>2014.1.28</t>
  </si>
  <si>
    <t>10年</t>
  </si>
  <si>
    <t>2014.8.1-2017.7.31</t>
  </si>
  <si>
    <t>半年一付</t>
  </si>
  <si>
    <t>357元/月/平米</t>
  </si>
  <si>
    <t>8元/平米/月</t>
  </si>
  <si>
    <t>2017.8.1-2020.7.31</t>
  </si>
  <si>
    <t>374.85元/月/平米</t>
  </si>
  <si>
    <t>2020.8.1-2024.7.31</t>
  </si>
  <si>
    <t>393.59元/月/平米</t>
    <phoneticPr fontId="3" type="noConversion"/>
  </si>
  <si>
    <t>203、205</t>
    <phoneticPr fontId="3" type="noConversion"/>
  </si>
  <si>
    <t>张贵峰</t>
    <phoneticPr fontId="3" type="noConversion"/>
  </si>
  <si>
    <t>2018.8.27</t>
    <phoneticPr fontId="3" type="noConversion"/>
  </si>
  <si>
    <t>3年</t>
    <phoneticPr fontId="3" type="noConversion"/>
  </si>
  <si>
    <r>
      <t>201</t>
    </r>
    <r>
      <rPr>
        <sz val="9"/>
        <color theme="1"/>
        <rFont val="宋体"/>
        <family val="3"/>
        <charset val="134"/>
      </rPr>
      <t>8</t>
    </r>
    <r>
      <rPr>
        <sz val="9"/>
        <color theme="1"/>
        <rFont val="宋体"/>
        <family val="3"/>
        <charset val="134"/>
      </rPr>
      <t>.09.01-2020.08.31</t>
    </r>
    <phoneticPr fontId="3" type="noConversion"/>
  </si>
  <si>
    <t>季付</t>
    <phoneticPr fontId="3" type="noConversion"/>
  </si>
  <si>
    <t>71932元/月</t>
    <phoneticPr fontId="3" type="noConversion"/>
  </si>
  <si>
    <t>14元/平米/月</t>
    <phoneticPr fontId="3" type="noConversion"/>
  </si>
  <si>
    <t>2020.09.01-2021.08.31</t>
    <phoneticPr fontId="3" type="noConversion"/>
  </si>
  <si>
    <t>79062元/月</t>
    <phoneticPr fontId="3" type="noConversion"/>
  </si>
  <si>
    <t>201、202</t>
  </si>
  <si>
    <t>北京九四翼八网络科技公司</t>
  </si>
  <si>
    <t>2017.4.1</t>
  </si>
  <si>
    <t>3年3个月</t>
  </si>
  <si>
    <t>2017.4.10-2017.10.9</t>
    <phoneticPr fontId="3" type="noConversion"/>
  </si>
  <si>
    <t>季付</t>
  </si>
  <si>
    <t>181047元</t>
    <phoneticPr fontId="3" type="noConversion"/>
  </si>
  <si>
    <t>14元/平米/月</t>
    <phoneticPr fontId="3" type="noConversion"/>
  </si>
  <si>
    <t>2017.7.10-2019.4.9</t>
  </si>
  <si>
    <t>4.04元/日/平米</t>
  </si>
  <si>
    <t>2019.4.10-2020.7.9</t>
    <phoneticPr fontId="3" type="noConversion"/>
  </si>
  <si>
    <t>4.44元/日/平米</t>
  </si>
  <si>
    <t>3层301</t>
  </si>
  <si>
    <t>北京友鸣网络科技有限公司</t>
  </si>
  <si>
    <t>2015.6.24</t>
  </si>
  <si>
    <t>6年</t>
  </si>
  <si>
    <t>2015.6.25-2017.6.24</t>
  </si>
  <si>
    <t>3.44元/日/平米</t>
  </si>
  <si>
    <t>14元/平米/月</t>
  </si>
  <si>
    <t>2017.6.25-2019.6.24</t>
  </si>
  <si>
    <t>3.78元/日/平米</t>
  </si>
  <si>
    <t>2019.6.25-2021.6.24</t>
  </si>
  <si>
    <t>4.16元/日/平米</t>
  </si>
  <si>
    <t>3层302</t>
  </si>
  <si>
    <t>北京慢点富投资管理有限公司</t>
  </si>
  <si>
    <t>4层</t>
  </si>
  <si>
    <t>北京华象国际贸易有限公司</t>
  </si>
  <si>
    <t>2018.4.4</t>
  </si>
  <si>
    <t>3年</t>
  </si>
  <si>
    <t>2018.4.13-2020.4.12</t>
  </si>
  <si>
    <t>124510元/月</t>
  </si>
  <si>
    <t>2020.4.13-2021.4.12</t>
  </si>
  <si>
    <t>136762元/月</t>
  </si>
  <si>
    <t>5层</t>
  </si>
  <si>
    <t>北京市时代美业科技有限公司</t>
  </si>
  <si>
    <t>2018.7.25</t>
  </si>
  <si>
    <t>2018.8.1-2020.7.31</t>
  </si>
  <si>
    <t>127844元/月</t>
  </si>
  <si>
    <t>2020.8.1-2021.8.31</t>
  </si>
  <si>
    <t>140502元/月</t>
  </si>
  <si>
    <t>6层</t>
  </si>
  <si>
    <t>中创智库（北京）有限公司</t>
  </si>
  <si>
    <t>2018.7.23</t>
  </si>
  <si>
    <t>124407元/月</t>
  </si>
  <si>
    <t>136725元/月</t>
  </si>
  <si>
    <t>7层</t>
  </si>
  <si>
    <t>漫富投资咨询（北京）有限公司</t>
  </si>
  <si>
    <t>2014.12.8</t>
  </si>
  <si>
    <t>8层</t>
  </si>
  <si>
    <t>北京慢点富基金管理有限公司</t>
  </si>
  <si>
    <t>18号楼901</t>
  </si>
  <si>
    <t>和隆祥</t>
  </si>
  <si>
    <t>2014.9.12</t>
  </si>
  <si>
    <t>2014.12.20-2016.12.19</t>
  </si>
  <si>
    <t>每季度前三日</t>
  </si>
  <si>
    <t>3.14元/日/平米</t>
  </si>
  <si>
    <t>2016.12.20-2018.12.19</t>
  </si>
  <si>
    <t>3.39元/日/平米</t>
  </si>
  <si>
    <t>2018.12.20-2020.12.19</t>
  </si>
  <si>
    <t>3.73元/日/平米</t>
  </si>
  <si>
    <t>18号楼905</t>
  </si>
  <si>
    <t>10层</t>
  </si>
  <si>
    <t>斑马（天津）汽车销售有限公司</t>
  </si>
  <si>
    <t>2018.3.8</t>
  </si>
  <si>
    <t>2018.3.9-2020.3.8</t>
  </si>
  <si>
    <t>124301元/月</t>
  </si>
  <si>
    <t>2020.3.9-2021.3.8</t>
  </si>
  <si>
    <t>136644元/月</t>
  </si>
  <si>
    <t>11层</t>
  </si>
  <si>
    <t>北京合众慧能科技股份有限公司</t>
  </si>
  <si>
    <t>2018.1.23</t>
  </si>
  <si>
    <t>2018.2.26-2020.2.25</t>
  </si>
  <si>
    <t>125565元/月</t>
  </si>
  <si>
    <t>2020.2.26-2021.2.25</t>
  </si>
  <si>
    <t>137925元/月</t>
  </si>
  <si>
    <t>1201、1205</t>
  </si>
  <si>
    <t>银泰松田（北京</t>
  </si>
  <si>
    <t>2017.9.14</t>
  </si>
  <si>
    <t>2017.9.16-2019.9.15</t>
  </si>
  <si>
    <t>67169元/月</t>
  </si>
  <si>
    <t>2019.9.16-2020.9.15</t>
  </si>
  <si>
    <t>73818元/月</t>
  </si>
  <si>
    <t>1201-3、1201-5</t>
  </si>
  <si>
    <t>北京居雅勤素文化发展有限公司</t>
  </si>
  <si>
    <t>2017.9.13</t>
  </si>
  <si>
    <t>53349元/月</t>
  </si>
  <si>
    <t>60829元/月</t>
  </si>
  <si>
    <t>14层</t>
  </si>
  <si>
    <t>蓝月亮（中国）有限公司</t>
  </si>
  <si>
    <t>2017.9.15</t>
  </si>
  <si>
    <t>125788元/月</t>
  </si>
  <si>
    <t>138148元/月</t>
  </si>
  <si>
    <t>13层</t>
  </si>
  <si>
    <t>北京鑫达泽通科技有限公司</t>
  </si>
  <si>
    <t>2017.11.28</t>
  </si>
  <si>
    <t>2017.12.1-2019.11.30</t>
  </si>
  <si>
    <t>120742元/月</t>
  </si>
  <si>
    <t>2019.12.1-2020.11.30</t>
  </si>
  <si>
    <t>15层</t>
  </si>
  <si>
    <t>广东博意建筑设计院</t>
  </si>
  <si>
    <t>128826元/月</t>
  </si>
  <si>
    <t>141488元/月</t>
  </si>
  <si>
    <t>出租面积合计</t>
  </si>
  <si>
    <t>租金合计</t>
    <phoneticPr fontId="143" type="noConversion"/>
  </si>
  <si>
    <t>整理后租金单价</t>
    <phoneticPr fontId="143" type="noConversion"/>
  </si>
  <si>
    <t>押一</t>
  </si>
  <si>
    <t>按租金收入计税</t>
  </si>
  <si>
    <t>钢混</t>
  </si>
  <si>
    <t>非生产用房</t>
  </si>
  <si>
    <t>售价</t>
  </si>
  <si>
    <t>七通</t>
  </si>
  <si>
    <t>总部基地</t>
    <phoneticPr fontId="3" type="noConversion"/>
  </si>
  <si>
    <t>金融港十七区2号楼</t>
    <phoneticPr fontId="3" type="noConversion"/>
  </si>
  <si>
    <t>工业</t>
    <phoneticPr fontId="32" type="noConversion"/>
  </si>
  <si>
    <t>30-40（含）</t>
  </si>
  <si>
    <t>正常</t>
  </si>
  <si>
    <t>总部基地金融港</t>
    <phoneticPr fontId="3" type="noConversion"/>
  </si>
  <si>
    <t>十六区18号楼</t>
    <phoneticPr fontId="3" type="noConversion"/>
  </si>
  <si>
    <t>总部基地金融港</t>
    <phoneticPr fontId="3" type="noConversion"/>
  </si>
  <si>
    <t>十七区2号楼</t>
    <phoneticPr fontId="3" type="noConversion"/>
  </si>
  <si>
    <t>次干道</t>
  </si>
  <si>
    <t>次干道</t>
    <phoneticPr fontId="32" type="noConversion"/>
  </si>
  <si>
    <t>支路</t>
    <phoneticPr fontId="32" type="noConversion"/>
  </si>
  <si>
    <t>科技大道</t>
    <phoneticPr fontId="32" type="noConversion"/>
  </si>
  <si>
    <r>
      <t>15</t>
    </r>
    <r>
      <rPr>
        <sz val="11"/>
        <color indexed="8"/>
        <rFont val="宋体"/>
        <family val="3"/>
        <charset val="134"/>
      </rPr>
      <t>层</t>
    </r>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</si>
  <si>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</si>
  <si>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</si>
  <si>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</si>
  <si>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</si>
  <si>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</si>
  <si>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</si>
  <si>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</si>
  <si>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专业物业管理</t>
  </si>
  <si>
    <t>专业物业管理</t>
    <phoneticPr fontId="32" type="noConversion"/>
  </si>
  <si>
    <t>七通</t>
    <phoneticPr fontId="32" type="noConversion"/>
  </si>
  <si>
    <t>六通</t>
    <phoneticPr fontId="32" type="noConversion"/>
  </si>
  <si>
    <t>五通</t>
  </si>
  <si>
    <t>五通</t>
    <phoneticPr fontId="32" type="noConversion"/>
  </si>
  <si>
    <t>标准</t>
  </si>
  <si>
    <t>标准</t>
    <phoneticPr fontId="32" type="noConversion"/>
  </si>
  <si>
    <t>毛坯</t>
    <phoneticPr fontId="32" type="noConversion"/>
  </si>
  <si>
    <t>广场南三路</t>
    <phoneticPr fontId="3" type="noConversion"/>
  </si>
  <si>
    <t>多层</t>
  </si>
  <si>
    <t>小高层</t>
  </si>
  <si>
    <t>小高层</t>
    <phoneticPr fontId="32" type="noConversion"/>
  </si>
  <si>
    <t>普通物业管理</t>
  </si>
  <si>
    <t>普通物业管理</t>
    <phoneticPr fontId="32" type="noConversion"/>
  </si>
  <si>
    <t>支路</t>
  </si>
  <si>
    <t>多层</t>
    <phoneticPr fontId="32" type="noConversion"/>
  </si>
  <si>
    <t>比较法-办公</t>
  </si>
  <si>
    <r>
      <t>15</t>
    </r>
    <r>
      <rPr>
        <sz val="11"/>
        <color indexed="8"/>
        <rFont val="宋体"/>
        <family val="3"/>
        <charset val="134"/>
      </rPr>
      <t>层</t>
    </r>
    <phoneticPr fontId="32" type="noConversion"/>
  </si>
  <si>
    <r>
      <t>6</t>
    </r>
    <r>
      <rPr>
        <sz val="11"/>
        <color indexed="8"/>
        <rFont val="宋体"/>
        <family val="3"/>
        <charset val="134"/>
      </rPr>
      <t>层</t>
    </r>
    <phoneticPr fontId="32" type="noConversion"/>
  </si>
  <si>
    <r>
      <t>17</t>
    </r>
    <r>
      <rPr>
        <sz val="11"/>
        <color indexed="8"/>
        <rFont val="宋体"/>
        <family val="3"/>
        <charset val="134"/>
      </rPr>
      <t>年</t>
    </r>
    <r>
      <rPr>
        <sz val="11"/>
        <color indexed="8"/>
        <rFont val="Arial"/>
        <family val="2"/>
      </rPr>
      <t>4</t>
    </r>
    <r>
      <rPr>
        <sz val="11"/>
        <color indexed="8"/>
        <rFont val="宋体"/>
        <family val="3"/>
        <charset val="134"/>
      </rPr>
      <t>月销售案例</t>
    </r>
    <phoneticPr fontId="32" type="noConversion"/>
  </si>
  <si>
    <r>
      <rPr>
        <sz val="11"/>
        <color indexed="62"/>
        <rFont val="宋体"/>
        <family val="3"/>
        <charset val="134"/>
      </rPr>
      <t>十七区</t>
    </r>
    <r>
      <rPr>
        <sz val="11"/>
        <color indexed="62"/>
        <rFont val="Arial"/>
        <family val="2"/>
      </rPr>
      <t>2</t>
    </r>
    <r>
      <rPr>
        <sz val="11"/>
        <color indexed="62"/>
        <rFont val="宋体"/>
        <family val="3"/>
        <charset val="134"/>
      </rPr>
      <t>号楼</t>
    </r>
    <r>
      <rPr>
        <sz val="11"/>
        <color indexed="62"/>
        <rFont val="Arial"/>
        <family val="2"/>
      </rPr>
      <t>4614.7</t>
    </r>
    <r>
      <rPr>
        <sz val="11"/>
        <color indexed="62"/>
        <rFont val="宋体"/>
        <family val="3"/>
        <charset val="134"/>
      </rPr>
      <t>平方米，</t>
    </r>
    <r>
      <rPr>
        <sz val="11"/>
        <color indexed="62"/>
        <rFont val="Arial"/>
        <family val="2"/>
      </rPr>
      <t>10</t>
    </r>
    <r>
      <rPr>
        <sz val="11"/>
        <color indexed="62"/>
        <rFont val="宋体"/>
        <family val="3"/>
        <charset val="134"/>
      </rPr>
      <t>层。</t>
    </r>
    <r>
      <rPr>
        <sz val="11"/>
        <color indexed="62"/>
        <rFont val="Arial"/>
        <family val="2"/>
      </rPr>
      <t>3.8</t>
    </r>
    <r>
      <rPr>
        <sz val="11"/>
        <color indexed="62"/>
        <rFont val="宋体"/>
        <family val="3"/>
        <charset val="134"/>
      </rPr>
      <t>万</t>
    </r>
    <r>
      <rPr>
        <sz val="11"/>
        <color indexed="62"/>
        <rFont val="Arial"/>
        <family val="2"/>
      </rPr>
      <t>+0.3</t>
    </r>
    <r>
      <rPr>
        <sz val="11"/>
        <color indexed="62"/>
        <rFont val="宋体"/>
        <family val="3"/>
        <charset val="134"/>
      </rPr>
      <t>万装修加固费</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</si>
</sst>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_);[Red]\(#,##0\)"/>
    <numFmt numFmtId="199"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u/>
      <sz val="12"/>
      <color indexed="12"/>
      <name val="宋体"/>
      <family val="3"/>
      <charset val="134"/>
    </font>
    <font>
      <u/>
      <sz val="9"/>
      <color theme="1"/>
      <name val="宋体"/>
      <family val="3"/>
      <charset val="134"/>
    </font>
    <font>
      <sz val="11"/>
      <color indexed="62"/>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xf numFmtId="0" fontId="257" fillId="0" borderId="0" applyNumberFormat="0" applyFill="0" applyBorder="0" applyAlignment="0" applyProtection="0">
      <alignment vertical="top"/>
      <protection locked="0"/>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55" fillId="0" borderId="0" xfId="0" applyFont="1" applyFill="1" applyBorder="1" applyAlignment="1"/>
    <xf numFmtId="43" fontId="255" fillId="0" borderId="1" xfId="13" applyFont="1" applyFill="1" applyBorder="1" applyAlignment="1" applyProtection="1">
      <alignment horizontal="center" vertical="center"/>
    </xf>
    <xf numFmtId="0" fontId="255" fillId="0" borderId="0" xfId="0" applyFont="1" applyFill="1" applyBorder="1" applyAlignment="1">
      <alignment vertical="center"/>
    </xf>
    <xf numFmtId="0" fontId="255" fillId="0" borderId="1" xfId="0" applyFont="1" applyFill="1" applyBorder="1" applyAlignment="1">
      <alignment horizontal="center" vertical="center"/>
    </xf>
    <xf numFmtId="43" fontId="255" fillId="0" borderId="1" xfId="13" applyFont="1" applyFill="1" applyBorder="1" applyAlignment="1">
      <alignment horizontal="center"/>
    </xf>
    <xf numFmtId="43" fontId="255" fillId="0" borderId="1" xfId="13" applyFont="1" applyFill="1" applyBorder="1" applyAlignment="1">
      <alignment horizontal="center" vertical="center"/>
    </xf>
    <xf numFmtId="43" fontId="256" fillId="0" borderId="1" xfId="13" applyFont="1" applyFill="1" applyBorder="1" applyAlignment="1"/>
    <xf numFmtId="43" fontId="255" fillId="0" borderId="1" xfId="13" applyFont="1" applyFill="1" applyBorder="1" applyAlignment="1"/>
    <xf numFmtId="0" fontId="256" fillId="0" borderId="1" xfId="0"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0" fontId="258" fillId="0" borderId="1" xfId="15" applyFont="1" applyFill="1" applyBorder="1" applyAlignment="1" applyProtection="1">
      <alignment horizontal="center" vertical="center"/>
    </xf>
    <xf numFmtId="43" fontId="255" fillId="0" borderId="1" xfId="13" applyFont="1" applyFill="1" applyBorder="1" applyAlignment="1">
      <alignment vertical="center"/>
    </xf>
    <xf numFmtId="43" fontId="256" fillId="0" borderId="1" xfId="13" applyFont="1" applyFill="1" applyBorder="1" applyAlignment="1">
      <alignment vertical="center"/>
    </xf>
    <xf numFmtId="0" fontId="255" fillId="7" borderId="0" xfId="0" applyFont="1" applyFill="1" applyBorder="1" applyAlignment="1">
      <alignment horizontal="right"/>
    </xf>
    <xf numFmtId="0" fontId="255" fillId="0" borderId="0" xfId="0" applyFont="1" applyFill="1" applyAlignment="1"/>
    <xf numFmtId="0" fontId="0" fillId="0" borderId="0" xfId="0" applyFill="1">
      <alignment vertical="center"/>
    </xf>
    <xf numFmtId="0" fontId="255" fillId="0" borderId="1" xfId="0" applyFont="1" applyFill="1" applyBorder="1" applyAlignment="1">
      <alignment vertical="center"/>
    </xf>
    <xf numFmtId="0" fontId="255" fillId="0" borderId="1" xfId="0" applyFont="1" applyFill="1" applyBorder="1" applyAlignment="1">
      <alignment vertical="center" wrapText="1"/>
    </xf>
    <xf numFmtId="0" fontId="255" fillId="7" borderId="1" xfId="0" applyFont="1" applyFill="1" applyBorder="1" applyAlignment="1">
      <alignment horizontal="center" vertical="center"/>
    </xf>
    <xf numFmtId="43" fontId="255" fillId="7" borderId="1" xfId="13" applyFont="1" applyFill="1" applyBorder="1" applyAlignment="1">
      <alignment horizontal="center" vertical="center"/>
    </xf>
    <xf numFmtId="43" fontId="256" fillId="7" borderId="1" xfId="13" applyFont="1" applyFill="1" applyBorder="1" applyAlignment="1">
      <alignment vertical="center"/>
    </xf>
    <xf numFmtId="43" fontId="256" fillId="7" borderId="1" xfId="13" applyFont="1" applyFill="1" applyBorder="1" applyAlignment="1"/>
    <xf numFmtId="43" fontId="255" fillId="7" borderId="1" xfId="13" applyFont="1" applyFill="1" applyBorder="1" applyAlignment="1">
      <alignment vertical="center"/>
    </xf>
    <xf numFmtId="0" fontId="255" fillId="7" borderId="0" xfId="0" applyFont="1" applyFill="1" applyBorder="1" applyAlignment="1">
      <alignment vertical="center"/>
    </xf>
    <xf numFmtId="0" fontId="255" fillId="7" borderId="0" xfId="0" applyFont="1" applyFill="1" applyBorder="1" applyAlignment="1"/>
    <xf numFmtId="0" fontId="255" fillId="0" borderId="1" xfId="0" applyFont="1" applyFill="1" applyBorder="1" applyAlignment="1"/>
    <xf numFmtId="0" fontId="0" fillId="0" borderId="1" xfId="0" applyFill="1" applyBorder="1">
      <alignment vertical="center"/>
    </xf>
    <xf numFmtId="43" fontId="255" fillId="0" borderId="1" xfId="0" applyNumberFormat="1" applyFont="1" applyFill="1" applyBorder="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horizontal="center" vertical="center" wrapText="1"/>
      <protection locked="0"/>
    </xf>
    <xf numFmtId="0" fontId="73" fillId="6" borderId="20" xfId="0" applyNumberFormat="1" applyFont="1" applyFill="1" applyBorder="1" applyAlignment="1" applyProtection="1">
      <alignment horizontal="center" vertical="center" wrapText="1"/>
    </xf>
    <xf numFmtId="0" fontId="73" fillId="6" borderId="21" xfId="0" applyNumberFormat="1" applyFont="1" applyFill="1" applyBorder="1" applyAlignment="1" applyProtection="1">
      <alignment horizontal="center" vertical="center" wrapText="1"/>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131" fillId="0" borderId="54" xfId="0" applyNumberFormat="1" applyFont="1" applyFill="1" applyBorder="1" applyAlignment="1" applyProtection="1">
      <alignment horizontal="center" vertical="center" wrapText="1"/>
      <protection locked="0"/>
    </xf>
    <xf numFmtId="0" fontId="106" fillId="2" borderId="5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3" fontId="255" fillId="0" borderId="1" xfId="0" applyNumberFormat="1" applyFont="1" applyFill="1" applyBorder="1" applyAlignment="1">
      <alignment horizontal="center"/>
    </xf>
    <xf numFmtId="0" fontId="255" fillId="0" borderId="1" xfId="0" applyFont="1" applyFill="1" applyBorder="1" applyAlignment="1">
      <alignment horizontal="center"/>
    </xf>
    <xf numFmtId="43" fontId="255" fillId="0" borderId="13" xfId="0" applyNumberFormat="1" applyFont="1" applyFill="1" applyBorder="1" applyAlignment="1">
      <alignment horizontal="center" vertical="center"/>
    </xf>
    <xf numFmtId="0" fontId="255" fillId="0" borderId="2" xfId="0" applyFont="1" applyFill="1" applyBorder="1" applyAlignment="1">
      <alignment horizontal="center" vertical="center"/>
    </xf>
    <xf numFmtId="43" fontId="256" fillId="0" borderId="1" xfId="13" applyFont="1" applyFill="1" applyBorder="1" applyAlignment="1">
      <alignment horizontal="center" vertical="center"/>
    </xf>
    <xf numFmtId="0" fontId="255" fillId="0" borderId="1" xfId="0" applyFont="1" applyFill="1" applyBorder="1" applyAlignment="1">
      <alignment horizontal="center" vertical="center"/>
    </xf>
    <xf numFmtId="0" fontId="255" fillId="0" borderId="1" xfId="0" applyFont="1" applyFill="1" applyBorder="1" applyAlignment="1">
      <alignment horizontal="center" vertical="center" wrapText="1"/>
    </xf>
    <xf numFmtId="43" fontId="255" fillId="7" borderId="13" xfId="0" applyNumberFormat="1" applyFont="1" applyFill="1" applyBorder="1" applyAlignment="1">
      <alignment horizontal="center" vertical="center"/>
    </xf>
    <xf numFmtId="0" fontId="255" fillId="7" borderId="2" xfId="0" applyFont="1" applyFill="1" applyBorder="1" applyAlignment="1">
      <alignment horizontal="center" vertical="center"/>
    </xf>
    <xf numFmtId="43" fontId="255" fillId="0" borderId="1" xfId="13" applyFont="1" applyFill="1" applyBorder="1" applyAlignment="1">
      <alignment horizontal="center" vertical="center"/>
    </xf>
    <xf numFmtId="43" fontId="255" fillId="0" borderId="1" xfId="13" applyFont="1" applyFill="1" applyBorder="1" applyAlignment="1">
      <alignment vertical="center"/>
    </xf>
    <xf numFmtId="0" fontId="255" fillId="0" borderId="1" xfId="0" applyNumberFormat="1" applyFont="1" applyFill="1" applyBorder="1" applyAlignment="1">
      <alignment horizontal="center" vertical="center" wrapText="1"/>
    </xf>
    <xf numFmtId="0" fontId="258" fillId="0" borderId="1" xfId="15" applyFont="1" applyFill="1" applyBorder="1" applyAlignment="1" applyProtection="1">
      <alignment horizontal="center" vertical="center" wrapText="1"/>
    </xf>
    <xf numFmtId="199" fontId="255" fillId="0" borderId="1" xfId="0" applyNumberFormat="1" applyFont="1" applyFill="1" applyBorder="1" applyAlignment="1">
      <alignment horizontal="center" vertical="center"/>
    </xf>
    <xf numFmtId="0" fontId="258" fillId="0" borderId="1" xfId="15" applyFont="1" applyFill="1" applyBorder="1" applyAlignment="1" applyProtection="1">
      <alignment horizontal="center" vertical="center"/>
    </xf>
    <xf numFmtId="199" fontId="255" fillId="0" borderId="13" xfId="0" applyNumberFormat="1" applyFont="1" applyFill="1" applyBorder="1" applyAlignment="1">
      <alignment horizontal="center" vertical="center"/>
    </xf>
    <xf numFmtId="199" fontId="255" fillId="0" borderId="2" xfId="0" applyNumberFormat="1" applyFont="1" applyFill="1" applyBorder="1" applyAlignment="1">
      <alignment horizontal="center" vertical="center"/>
    </xf>
    <xf numFmtId="0" fontId="255" fillId="0" borderId="13" xfId="0" applyFont="1" applyFill="1" applyBorder="1" applyAlignment="1">
      <alignment horizontal="center" vertical="center" wrapText="1"/>
    </xf>
    <xf numFmtId="0" fontId="255" fillId="0" borderId="2" xfId="0" applyFont="1" applyFill="1" applyBorder="1" applyAlignment="1">
      <alignment horizontal="center" vertical="center" wrapText="1"/>
    </xf>
    <xf numFmtId="0" fontId="256" fillId="0" borderId="1" xfId="0" applyFont="1" applyFill="1" applyBorder="1" applyAlignment="1">
      <alignment horizontal="center" vertical="center"/>
    </xf>
    <xf numFmtId="17" fontId="255" fillId="0" borderId="1" xfId="0" applyNumberFormat="1" applyFont="1" applyFill="1" applyBorder="1" applyAlignment="1">
      <alignment horizontal="center" vertical="center" wrapText="1"/>
    </xf>
    <xf numFmtId="0" fontId="255" fillId="0" borderId="15" xfId="0" applyFont="1" applyFill="1" applyBorder="1" applyAlignment="1">
      <alignment horizontal="center" vertical="center" wrapText="1"/>
    </xf>
    <xf numFmtId="43" fontId="255" fillId="0" borderId="1" xfId="13" applyFont="1" applyFill="1" applyBorder="1" applyAlignment="1" applyProtection="1">
      <alignment horizontal="center" vertical="center"/>
    </xf>
    <xf numFmtId="43" fontId="255" fillId="0" borderId="13" xfId="13" applyFont="1" applyFill="1" applyBorder="1" applyAlignment="1">
      <alignment horizontal="center" vertical="center"/>
    </xf>
    <xf numFmtId="43" fontId="255" fillId="0" borderId="15" xfId="13" applyFont="1" applyFill="1" applyBorder="1" applyAlignment="1">
      <alignment horizontal="center" vertical="center"/>
    </xf>
    <xf numFmtId="43" fontId="255" fillId="0" borderId="2" xfId="13" applyFont="1" applyFill="1" applyBorder="1" applyAlignment="1">
      <alignment horizontal="center" vertical="center"/>
    </xf>
    <xf numFmtId="0" fontId="256" fillId="7" borderId="13" xfId="0" applyNumberFormat="1" applyFont="1" applyFill="1" applyBorder="1" applyAlignment="1">
      <alignment horizontal="center" vertical="center" wrapText="1"/>
    </xf>
    <xf numFmtId="0" fontId="256" fillId="7" borderId="2" xfId="0" applyNumberFormat="1" applyFont="1" applyFill="1" applyBorder="1" applyAlignment="1">
      <alignment horizontal="center" vertical="center" wrapText="1"/>
    </xf>
    <xf numFmtId="0" fontId="255" fillId="7" borderId="13" xfId="0" applyFont="1" applyFill="1" applyBorder="1" applyAlignment="1">
      <alignment horizontal="center" vertical="center" wrapText="1"/>
    </xf>
    <xf numFmtId="0" fontId="255" fillId="7" borderId="2" xfId="0" applyFont="1" applyFill="1" applyBorder="1" applyAlignment="1">
      <alignment horizontal="center" vertical="center" wrapText="1"/>
    </xf>
    <xf numFmtId="0" fontId="255" fillId="7" borderId="13" xfId="0" applyFont="1" applyFill="1" applyBorder="1" applyAlignment="1">
      <alignment horizontal="center" vertical="center"/>
    </xf>
    <xf numFmtId="0" fontId="258" fillId="7" borderId="13" xfId="15" applyFont="1" applyFill="1" applyBorder="1" applyAlignment="1" applyProtection="1">
      <alignment horizontal="center" vertical="center"/>
    </xf>
    <xf numFmtId="0" fontId="258" fillId="7" borderId="2" xfId="15" applyFont="1" applyFill="1" applyBorder="1" applyAlignment="1" applyProtection="1">
      <alignment horizontal="center" vertical="center"/>
    </xf>
    <xf numFmtId="43" fontId="255" fillId="7" borderId="13" xfId="13" applyFont="1" applyFill="1" applyBorder="1" applyAlignment="1">
      <alignment horizontal="center" vertical="center"/>
    </xf>
    <xf numFmtId="43" fontId="255" fillId="7" borderId="2" xfId="13" applyFont="1" applyFill="1" applyBorder="1" applyAlignment="1">
      <alignment horizontal="center" vertical="center"/>
    </xf>
    <xf numFmtId="0" fontId="142" fillId="0" borderId="0" xfId="0" applyFont="1" applyFill="1" applyAlignment="1">
      <alignment horizontal="center" vertical="center"/>
    </xf>
    <xf numFmtId="0" fontId="255" fillId="0" borderId="1" xfId="14" applyFont="1" applyFill="1" applyBorder="1" applyAlignment="1">
      <alignment horizontal="center" vertical="center"/>
    </xf>
    <xf numFmtId="49" fontId="255" fillId="0" borderId="1" xfId="14" applyNumberFormat="1" applyFont="1" applyFill="1" applyBorder="1" applyAlignment="1">
      <alignment horizontal="center" vertical="center"/>
    </xf>
    <xf numFmtId="0" fontId="255" fillId="0" borderId="1" xfId="14" applyFont="1" applyFill="1" applyBorder="1" applyAlignment="1">
      <alignment horizontal="center" vertical="center" wrapText="1"/>
    </xf>
    <xf numFmtId="197" fontId="255" fillId="0" borderId="1" xfId="14" applyNumberFormat="1" applyFont="1" applyFill="1" applyBorder="1" applyAlignment="1">
      <alignment horizontal="center" vertical="center"/>
    </xf>
    <xf numFmtId="186" fontId="255" fillId="0" borderId="1" xfId="14" applyNumberFormat="1" applyFont="1" applyFill="1" applyBorder="1" applyAlignment="1">
      <alignment horizontal="center" vertical="center"/>
    </xf>
    <xf numFmtId="198" fontId="255" fillId="0" borderId="1" xfId="14" applyNumberFormat="1" applyFont="1" applyFill="1" applyBorder="1" applyAlignment="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东区" xfId="14"/>
    <cellStyle name="超链接" xfId="15" builtinId="8"/>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363612</xdr:colOff>
      <xdr:row>28</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64212" cy="4857750"/>
        </a:xfrm>
        <a:prstGeom prst="rect">
          <a:avLst/>
        </a:prstGeom>
      </xdr:spPr>
    </xdr:pic>
    <xdr:clientData/>
  </xdr:twoCellAnchor>
  <xdr:twoCellAnchor editAs="oneCell">
    <xdr:from>
      <xdr:col>7</xdr:col>
      <xdr:colOff>466725</xdr:colOff>
      <xdr:row>0</xdr:row>
      <xdr:rowOff>0</xdr:rowOff>
    </xdr:from>
    <xdr:to>
      <xdr:col>18</xdr:col>
      <xdr:colOff>217988</xdr:colOff>
      <xdr:row>35</xdr:row>
      <xdr:rowOff>1314</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0"/>
          <a:ext cx="7295063" cy="6002064"/>
        </a:xfrm>
        <a:prstGeom prst="rect">
          <a:avLst/>
        </a:prstGeom>
      </xdr:spPr>
    </xdr:pic>
    <xdr:clientData/>
  </xdr:twoCellAnchor>
  <xdr:twoCellAnchor editAs="oneCell">
    <xdr:from>
      <xdr:col>0</xdr:col>
      <xdr:colOff>0</xdr:colOff>
      <xdr:row>37</xdr:row>
      <xdr:rowOff>0</xdr:rowOff>
    </xdr:from>
    <xdr:to>
      <xdr:col>9</xdr:col>
      <xdr:colOff>404991</xdr:colOff>
      <xdr:row>69</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577191" cy="5648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北京市北京市丰台区南四环西路188号十六区18号楼1至15层101出让国有建设用地使用权及在建建筑物房地产抵押价值预评估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康正预评字2018-1-0685号</v>
      </c>
    </row>
    <row r="6" spans="1:2" s="1593" customFormat="1" ht="15" thickTop="1">
      <c r="A6" s="1591" t="s">
        <v>1224</v>
      </c>
      <c r="B6" s="1592" t="str">
        <f>'预评函-1'!A4</f>
        <v>受贵公司委托，我公司对北京市北京市丰台区南四环西路188号十六区18号楼1至15层101出让国有建设用地使用权及在建建筑物房地产抵押价值进行了预评估。</v>
      </c>
    </row>
    <row r="7" spans="1:2" s="1596" customFormat="1">
      <c r="A7" s="1594" t="s">
        <v>1264</v>
      </c>
      <c r="B7" s="1595" t="str">
        <f>'预评函-1'!A7</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2018年9月28日（评估专业人员实地查勘之日）</v>
      </c>
    </row>
    <row r="13" spans="1:2" s="1596" customFormat="1">
      <c r="A13" s="1594" t="s">
        <v>1227</v>
      </c>
      <c r="B13" s="1595" t="str">
        <f>'预评函-1'!A18</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53825</v>
      </c>
    </row>
    <row r="21" spans="1:2" s="1596" customFormat="1">
      <c r="A21" s="1594" t="s">
        <v>1235</v>
      </c>
      <c r="B21" s="1595">
        <f ca="1">'预评函-2'!D7</f>
        <v>33847</v>
      </c>
    </row>
    <row r="22" spans="1:2" s="1596" customFormat="1">
      <c r="A22" s="1594" t="s">
        <v>1236</v>
      </c>
      <c r="B22" s="1595" t="str">
        <f ca="1">'预评函-2'!D6</f>
        <v>伍亿叁仟捌佰贰拾伍万元整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53825</v>
      </c>
    </row>
    <row r="35" spans="1:2" s="1596" customFormat="1">
      <c r="A35" s="1594" t="s">
        <v>1275</v>
      </c>
      <c r="B35" s="1595">
        <f ca="1">'预评函-2'!D18</f>
        <v>33847</v>
      </c>
    </row>
    <row r="36" spans="1:2" s="1596" customFormat="1">
      <c r="A36" s="1594" t="s">
        <v>1242</v>
      </c>
      <c r="B36" s="1595" t="str">
        <f ca="1">'预评函-2'!D17</f>
        <v>伍亿叁仟捌佰贰拾伍万元整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北京市北京市丰台区南四环西路188号十六区18号楼1至15层101出让国有建设用地使用权及在建建筑物房地产</v>
      </c>
    </row>
    <row r="42" spans="1:2" s="1596" customFormat="1">
      <c r="A42" s="1594" t="s">
        <v>1288</v>
      </c>
      <c r="B42" s="1595" t="str">
        <f>'预评函-3'!B2</f>
        <v>建筑面积</v>
      </c>
    </row>
    <row r="43" spans="1:2" s="1596" customFormat="1">
      <c r="A43" s="1594" t="s">
        <v>1289</v>
      </c>
      <c r="B43" s="1595">
        <f>'预评函-3'!B4</f>
        <v>15902.38</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8"/>
      <c r="B54" s="2025" t="s">
        <v>864</v>
      </c>
      <c r="C54" s="2022" t="s">
        <v>1281</v>
      </c>
    </row>
    <row r="55" spans="1:4">
      <c r="A55" s="3038"/>
      <c r="B55" s="2025" t="s">
        <v>865</v>
      </c>
      <c r="C55" s="2022" t="s">
        <v>1282</v>
      </c>
    </row>
    <row r="56" spans="1:4">
      <c r="A56" s="3038"/>
      <c r="B56" s="2025" t="s">
        <v>866</v>
      </c>
      <c r="C56" s="2022" t="s">
        <v>1286</v>
      </c>
    </row>
    <row r="57" spans="1:4">
      <c r="A57" s="303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3" sqref="J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9" t="str">
        <f>IF(B10="北京市","北京市",C10)&amp;F10&amp;IF(结果表!G1="在建","出让国有建设用地使用权及在建建筑物",IF(结果表!G1="土地","出让国有建设用地使用权",))&amp;B9&amp;"预评估"</f>
        <v>北京市北京市丰台区南四环西路188号十六区18号楼1至15层101出让国有建设用地使用权及在建建筑物房地产抵押价值预评估</v>
      </c>
      <c r="C1" s="3040"/>
      <c r="D1" s="3040"/>
      <c r="E1" s="3040"/>
      <c r="F1" s="3040"/>
      <c r="G1" s="3040"/>
      <c r="H1" s="3040"/>
      <c r="I1" s="304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北京市北京市丰台区南四环西路188号十六区18号楼1至15层101出让国有建设用地使用权及在建建筑物房地产抵押价值</v>
      </c>
    </row>
    <row r="2" spans="1:19" ht="18" customHeight="1">
      <c r="A2" s="2029" t="s">
        <v>1776</v>
      </c>
      <c r="B2" s="1042" t="s">
        <v>3048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北京市北京市丰台区南四环西路188号十六区18号楼1至15层101出让国有建设用地使用权及在建建筑物房地产</v>
      </c>
    </row>
    <row r="3" spans="1:19" ht="18" customHeight="1">
      <c r="A3" s="2038" t="s">
        <v>1777</v>
      </c>
      <c r="B3" s="2039">
        <v>43371</v>
      </c>
      <c r="C3" s="2040" t="s">
        <v>1778</v>
      </c>
      <c r="D3" s="2039">
        <f>B3</f>
        <v>43371</v>
      </c>
      <c r="E3" s="2029"/>
      <c r="F3" s="2029"/>
      <c r="G3" s="2029"/>
      <c r="H3" s="2029"/>
      <c r="I3" s="2029"/>
      <c r="J3" s="2029"/>
      <c r="K3" s="2030"/>
      <c r="L3" s="2031"/>
      <c r="M3" s="2031"/>
      <c r="N3" s="2032"/>
      <c r="O3" s="2033"/>
      <c r="P3" s="2032"/>
      <c r="Q3" s="2032"/>
      <c r="R3" s="2032"/>
      <c r="S3" s="2034"/>
    </row>
    <row r="4" spans="1:19" ht="18" customHeight="1" thickBot="1">
      <c r="A4" s="2041" t="s">
        <v>1779</v>
      </c>
      <c r="B4" s="2042" t="s">
        <v>3049</v>
      </c>
      <c r="C4" s="1040">
        <f ca="1">SUMIF(注册房地产估价师,B4,估价师及机构信息!B3:B24)</f>
        <v>1120000080</v>
      </c>
      <c r="D4" s="2042" t="s">
        <v>3050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945"/>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1782</v>
      </c>
      <c r="B7" s="2055"/>
      <c r="C7" s="2052"/>
      <c r="D7" s="2053"/>
      <c r="E7" s="2037"/>
      <c r="F7" s="2045"/>
      <c r="G7" s="2045"/>
      <c r="H7" s="2045"/>
      <c r="I7" s="2045"/>
      <c r="J7" s="2045"/>
      <c r="K7" s="2056"/>
      <c r="L7" s="2031"/>
      <c r="M7" s="2031"/>
      <c r="N7" s="2032"/>
      <c r="O7" s="2033"/>
      <c r="P7" s="2032"/>
      <c r="Q7" s="2032"/>
      <c r="R7" s="2032"/>
    </row>
    <row r="8" spans="1:19" ht="18" customHeight="1">
      <c r="A8" s="2051" t="s">
        <v>1783</v>
      </c>
      <c r="B8" s="2057" t="s">
        <v>3051</v>
      </c>
      <c r="C8" s="2058"/>
      <c r="D8" s="3042" t="s">
        <v>1784</v>
      </c>
      <c r="E8" s="2059" t="s">
        <v>3052</v>
      </c>
      <c r="F8" s="2060"/>
      <c r="G8" s="2029"/>
      <c r="H8" s="2029"/>
      <c r="I8" s="2029"/>
      <c r="J8" s="2045"/>
      <c r="K8" s="2046"/>
      <c r="L8" s="2031"/>
      <c r="M8" s="2031"/>
      <c r="N8" s="2032"/>
      <c r="O8" s="2033"/>
      <c r="P8" s="2032"/>
      <c r="Q8" s="2032"/>
      <c r="R8" s="2032"/>
    </row>
    <row r="9" spans="1:19" ht="18" customHeight="1" thickBot="1">
      <c r="A9" s="2043" t="s">
        <v>1785</v>
      </c>
      <c r="B9" s="2061" t="s">
        <v>3053</v>
      </c>
      <c r="C9" s="2062"/>
      <c r="D9" s="3043"/>
      <c r="E9" s="2061"/>
      <c r="F9" s="2063"/>
      <c r="G9" s="2064"/>
      <c r="H9" s="2064"/>
      <c r="I9" s="2064"/>
      <c r="J9" s="2045"/>
      <c r="K9" s="2056"/>
      <c r="L9" s="2031"/>
      <c r="M9" s="2031"/>
      <c r="N9" s="2032"/>
      <c r="O9" s="2033"/>
      <c r="P9" s="2032"/>
      <c r="Q9" s="2032"/>
      <c r="R9" s="2032"/>
    </row>
    <row r="10" spans="1:19" ht="18" customHeight="1" thickTop="1">
      <c r="A10" s="2065" t="s">
        <v>1786</v>
      </c>
      <c r="B10" s="2066" t="s">
        <v>3054</v>
      </c>
      <c r="C10" s="2067"/>
      <c r="D10" s="2050"/>
      <c r="E10" s="2068" t="s">
        <v>1787</v>
      </c>
      <c r="F10" s="2069" t="s">
        <v>3055</v>
      </c>
      <c r="G10" s="2070"/>
      <c r="H10" s="2071"/>
      <c r="I10" s="2050"/>
      <c r="J10" s="2045"/>
      <c r="K10" s="2056"/>
      <c r="L10" s="2031"/>
      <c r="M10" s="2031"/>
      <c r="N10" s="2032"/>
      <c r="O10" s="2033"/>
      <c r="P10" s="2032"/>
      <c r="Q10" s="2032"/>
      <c r="R10" s="2032"/>
    </row>
    <row r="11" spans="1:19" ht="38.25" customHeight="1">
      <c r="A11" s="2072" t="s">
        <v>1788</v>
      </c>
      <c r="B11" s="2073" t="s">
        <v>3056</v>
      </c>
      <c r="C11" s="2946" t="s">
        <v>3057</v>
      </c>
      <c r="D11" s="2074"/>
      <c r="E11" s="2045"/>
      <c r="F11" s="2045"/>
      <c r="G11" s="2045"/>
      <c r="H11" s="2045"/>
      <c r="I11" s="2045"/>
      <c r="J11" s="2045"/>
      <c r="K11" s="2056"/>
      <c r="L11" s="2031"/>
      <c r="M11" s="2031"/>
      <c r="N11" s="2032"/>
      <c r="O11" s="2033"/>
      <c r="P11" s="2032"/>
      <c r="Q11" s="2032"/>
      <c r="R11" s="2032"/>
    </row>
    <row r="12" spans="1:19" ht="18" customHeight="1">
      <c r="A12" s="2075" t="s">
        <v>1789</v>
      </c>
      <c r="B12" s="2073" t="s">
        <v>3058</v>
      </c>
      <c r="C12" s="2076" t="s">
        <v>1790</v>
      </c>
      <c r="D12" s="2077" t="s">
        <v>1791</v>
      </c>
      <c r="E12" s="2077" t="s">
        <v>1792</v>
      </c>
      <c r="F12" s="2077" t="s">
        <v>1793</v>
      </c>
      <c r="G12" s="2077" t="s">
        <v>1794</v>
      </c>
      <c r="H12" s="2077" t="s">
        <v>1795</v>
      </c>
      <c r="I12" s="2077" t="s">
        <v>1796</v>
      </c>
      <c r="J12" s="2045"/>
      <c r="K12" s="2056"/>
      <c r="L12" s="2031"/>
      <c r="M12" s="2031"/>
      <c r="N12" s="2032"/>
      <c r="O12" s="2033"/>
      <c r="P12" s="2032"/>
      <c r="Q12" s="2032"/>
      <c r="R12" s="2032"/>
    </row>
    <row r="13" spans="1:19" ht="18" customHeight="1">
      <c r="A13" s="2078"/>
      <c r="B13" s="2079"/>
      <c r="C13" s="2080" t="s">
        <v>1797</v>
      </c>
      <c r="D13" s="2081"/>
      <c r="E13" s="2081"/>
      <c r="F13" s="2081"/>
      <c r="G13" s="2081"/>
      <c r="H13" s="2081">
        <v>45504</v>
      </c>
      <c r="I13" s="1050">
        <v>56491</v>
      </c>
      <c r="J13" s="2045"/>
      <c r="K13" s="2056"/>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5.84</v>
      </c>
      <c r="I15" s="1052">
        <f>IF(B12="出让",IF(I13="","",ROUNDDOWN(MIN((I13-$D$3)/365,I14),2)),I14)</f>
        <v>35.94</v>
      </c>
      <c r="J15" s="2045"/>
      <c r="K15" s="2084"/>
      <c r="L15" s="2085"/>
      <c r="M15" s="2085"/>
      <c r="N15" s="2086"/>
      <c r="O15" s="2085"/>
      <c r="P15" s="2086"/>
      <c r="Q15" s="2032"/>
      <c r="R15" s="2032"/>
    </row>
    <row r="16" spans="1:19" ht="30.75" customHeight="1">
      <c r="A16" s="2068" t="s">
        <v>1800</v>
      </c>
      <c r="B16" s="3049" t="s">
        <v>3059</v>
      </c>
      <c r="C16" s="3050"/>
      <c r="D16" s="3051"/>
      <c r="E16" s="2087" t="s">
        <v>1801</v>
      </c>
      <c r="F16" s="3052"/>
      <c r="G16" s="3053"/>
      <c r="H16" s="3053"/>
      <c r="I16" s="3054"/>
      <c r="J16" s="2032"/>
      <c r="K16" s="2084"/>
      <c r="L16" s="2085"/>
      <c r="M16" s="2085"/>
      <c r="N16" s="2086"/>
      <c r="O16" s="2085"/>
      <c r="P16" s="2086"/>
      <c r="Q16" s="2032"/>
      <c r="R16" s="2032"/>
    </row>
    <row r="17" spans="1:22" ht="18" customHeight="1">
      <c r="A17" s="2088" t="s">
        <v>1802</v>
      </c>
      <c r="B17" s="2038" t="s">
        <v>1803</v>
      </c>
      <c r="C17" s="1057">
        <f>'数据-汇总表'!E3</f>
        <v>15902.38</v>
      </c>
      <c r="D17" s="2089" t="s">
        <v>1804</v>
      </c>
      <c r="E17" s="3055" t="s">
        <v>3060</v>
      </c>
      <c r="F17" s="3056"/>
      <c r="G17" s="3056"/>
      <c r="H17" s="3056"/>
      <c r="I17" s="3057"/>
      <c r="J17" s="2032"/>
      <c r="K17" s="2090"/>
      <c r="L17" s="2085"/>
      <c r="M17" s="2085"/>
      <c r="N17" s="2086"/>
      <c r="O17" s="2085"/>
      <c r="P17" s="2086"/>
      <c r="Q17" s="2032"/>
      <c r="R17" s="2032"/>
      <c r="S17" s="2032"/>
      <c r="T17" s="2032"/>
      <c r="U17" s="2032"/>
      <c r="V17" s="2032"/>
    </row>
    <row r="18" spans="1:22" ht="36" customHeight="1" thickBot="1">
      <c r="A18" s="2091" t="s">
        <v>1805</v>
      </c>
      <c r="B18" s="2041" t="s">
        <v>1806</v>
      </c>
      <c r="C18" s="1447">
        <f>'数据-汇总表'!D3</f>
        <v>0</v>
      </c>
      <c r="D18" s="2092" t="s">
        <v>1804</v>
      </c>
      <c r="E18" s="3058"/>
      <c r="F18" s="3059"/>
      <c r="G18" s="3059"/>
      <c r="H18" s="3059"/>
      <c r="I18" s="3060"/>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3061</v>
      </c>
      <c r="D19" s="2094" t="s">
        <v>1809</v>
      </c>
      <c r="E19" s="2095" t="s">
        <v>3062</v>
      </c>
      <c r="F19" s="2096" t="str">
        <f>IF(AND(C19="是",E19="否"),"是否提供他项权证或相关说明","")</f>
        <v>是否提供他项权证或相关说明</v>
      </c>
      <c r="G19" s="2097" t="s">
        <v>3062</v>
      </c>
      <c r="H19" s="2045"/>
      <c r="I19" s="2045"/>
      <c r="J19" s="2045"/>
      <c r="K19" s="2056"/>
      <c r="L19" s="2031"/>
      <c r="M19" s="2031"/>
      <c r="N19" s="2086"/>
      <c r="O19" s="2085"/>
      <c r="P19" s="2086"/>
      <c r="Q19" s="2032"/>
      <c r="R19" s="2032"/>
      <c r="S19" s="2032"/>
      <c r="T19" s="2032"/>
      <c r="U19" s="2032"/>
      <c r="V19" s="2032"/>
    </row>
    <row r="20" spans="1:22" ht="18" customHeight="1">
      <c r="A20" s="2098" t="s">
        <v>1810</v>
      </c>
      <c r="B20" s="3045" t="s">
        <v>1811</v>
      </c>
      <c r="C20" s="3046"/>
      <c r="D20" s="3047" t="s">
        <v>1812</v>
      </c>
      <c r="E20" s="3048"/>
      <c r="F20" s="2099" t="s">
        <v>1813</v>
      </c>
      <c r="G20" s="2045"/>
      <c r="H20" s="2045"/>
      <c r="I20" s="2045"/>
      <c r="J20" s="2045"/>
      <c r="K20" s="3044" t="s">
        <v>1814</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31"/>
      <c r="N20" s="2086"/>
      <c r="O20" s="2085"/>
      <c r="P20" s="2086"/>
      <c r="Q20" s="2032"/>
      <c r="R20" s="2032"/>
      <c r="S20" s="2032"/>
      <c r="T20" s="2032"/>
      <c r="U20" s="2032"/>
      <c r="V20" s="2032"/>
    </row>
    <row r="21" spans="1:22" ht="24.75" customHeight="1">
      <c r="A21" s="2098"/>
      <c r="B21" s="2100" t="s">
        <v>1815</v>
      </c>
      <c r="C21" s="2101" t="s">
        <v>3063</v>
      </c>
      <c r="D21" s="2102" t="s">
        <v>1816</v>
      </c>
      <c r="E21" s="2103" t="s">
        <v>70</v>
      </c>
      <c r="F21" s="2104"/>
      <c r="G21" s="2045"/>
      <c r="H21" s="2045"/>
      <c r="I21" s="2045"/>
      <c r="J21" s="2045"/>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1817</v>
      </c>
      <c r="C22" s="2101" t="s">
        <v>70</v>
      </c>
      <c r="D22" s="2029"/>
      <c r="E22" s="2029"/>
      <c r="F22" s="2106"/>
      <c r="G22" s="2045"/>
      <c r="H22" s="2045"/>
      <c r="I22" s="2045"/>
      <c r="J22" s="2045"/>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v>42663</v>
      </c>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947" t="s">
        <v>3064</v>
      </c>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62" t="s">
        <v>1824</v>
      </c>
      <c r="B27" s="2065" t="s">
        <v>1825</v>
      </c>
      <c r="C27" s="2121" t="s">
        <v>3065</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2"/>
      <c r="B28" s="2038" t="s">
        <v>1826</v>
      </c>
      <c r="C28" s="2123" t="s">
        <v>3066</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2"/>
      <c r="B29" s="2038" t="s">
        <v>1827</v>
      </c>
      <c r="C29" s="2126" t="s">
        <v>3062</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3"/>
      <c r="B30" s="2038" t="s">
        <v>1828</v>
      </c>
      <c r="C30" s="3064"/>
      <c r="D30" s="3065"/>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6" t="s">
        <v>1829</v>
      </c>
      <c r="B31" s="2128" t="s">
        <v>3067</v>
      </c>
      <c r="C31" s="2129" t="str">
        <f>IF(B31="现房","成新及维护状况正常否",IF(B31="在建","工程状态是否正常",IF(B31="土地","是否闲置","-")))</f>
        <v>成新及维护状况正常否</v>
      </c>
      <c r="D31" s="2130"/>
      <c r="E31" s="2948" t="s">
        <v>3068</v>
      </c>
      <c r="F31" s="2045"/>
      <c r="G31" s="2045"/>
      <c r="H31" s="2045"/>
      <c r="I31" s="2045"/>
      <c r="J31" s="2045"/>
      <c r="K31" s="2054"/>
      <c r="L31" s="2031"/>
      <c r="M31" s="2031"/>
      <c r="N31" s="2032"/>
      <c r="O31" s="2033"/>
      <c r="P31" s="2032"/>
      <c r="Q31" s="2032"/>
      <c r="R31" s="2032"/>
      <c r="S31" s="2032"/>
      <c r="T31" s="2032"/>
      <c r="U31" s="2032"/>
      <c r="V31" s="2032"/>
    </row>
    <row r="32" spans="1:22" ht="18" customHeight="1">
      <c r="A32" s="3067"/>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7"/>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1830</v>
      </c>
      <c r="B34" s="2135" t="s">
        <v>3069</v>
      </c>
      <c r="C34" s="2135" t="s">
        <v>3070</v>
      </c>
      <c r="D34" s="2135" t="s">
        <v>3071</v>
      </c>
      <c r="E34" s="2135" t="s">
        <v>3072</v>
      </c>
      <c r="F34" s="2135" t="s">
        <v>3073</v>
      </c>
      <c r="G34" s="2135"/>
      <c r="H34" s="2135"/>
      <c r="I34" s="2045"/>
      <c r="J34" s="2045"/>
      <c r="K34" s="1798">
        <f>COUNTIF(B34:H34,"——")</f>
        <v>0</v>
      </c>
      <c r="L34" s="2076" t="s">
        <v>1831</v>
      </c>
      <c r="M34" s="2076" t="s">
        <v>1832</v>
      </c>
      <c r="N34" s="2076" t="s">
        <v>1833</v>
      </c>
      <c r="O34" s="2076" t="s">
        <v>1834</v>
      </c>
      <c r="P34" s="2076" t="s">
        <v>1835</v>
      </c>
      <c r="Q34" s="2076" t="s">
        <v>1836</v>
      </c>
      <c r="R34" s="2076" t="s">
        <v>1837</v>
      </c>
      <c r="S34" s="3061" t="s">
        <v>1838</v>
      </c>
      <c r="T34" s="2136" t="str">
        <f>NUMBERSTRING(7-K34,1)&amp;"通"</f>
        <v>七通</v>
      </c>
      <c r="U34" s="2032"/>
      <c r="V34" s="2032"/>
    </row>
    <row r="35" spans="1:22" ht="18" customHeight="1">
      <c r="A35" s="2137"/>
      <c r="B35" s="3068" t="s">
        <v>1839</v>
      </c>
      <c r="C35" s="3068"/>
      <c r="D35" s="3068"/>
      <c r="E35" s="3068"/>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1"/>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15902.38</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3074</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3075</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3061</v>
      </c>
      <c r="E13" s="16">
        <f>IF($C$3="是",ROUND($A$3*G13/$B$3,2),ROUND($A$3*(G13-AT13)/$B$3,2))</f>
        <v>0</v>
      </c>
      <c r="F13" s="32"/>
      <c r="G13" s="33">
        <f>H13+AC13+AT13</f>
        <v>15902.38</v>
      </c>
      <c r="H13" s="20">
        <f>SUMIF(I$12:AB$12,"总值",I13:AB13)</f>
        <v>15902.38</v>
      </c>
      <c r="I13" s="2216">
        <v>15902.38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80" t="s">
        <v>1935</v>
      </c>
      <c r="B2" s="3080"/>
      <c r="C2" s="3080"/>
      <c r="D2" s="970" t="s">
        <v>1911</v>
      </c>
      <c r="E2" s="2229" t="s">
        <v>1912</v>
      </c>
      <c r="F2" s="1395"/>
      <c r="G2" s="2230"/>
      <c r="H2" s="2231"/>
      <c r="I2" s="2232" t="s">
        <v>1936</v>
      </c>
      <c r="J2" s="1395"/>
      <c r="K2" s="1395"/>
      <c r="L2" s="1395"/>
      <c r="M2" s="1395"/>
      <c r="N2" s="1430"/>
      <c r="O2" s="1395"/>
      <c r="P2" s="1395"/>
    </row>
    <row r="3" spans="1:16" ht="15.75" thickBot="1">
      <c r="A3" s="3081" t="s">
        <v>1909</v>
      </c>
      <c r="B3" s="3081"/>
      <c r="C3" s="3081"/>
      <c r="D3" s="46">
        <f>'数据-基础表'!AY6</f>
        <v>0</v>
      </c>
      <c r="E3" s="46">
        <f>'数据-基础表'!AZ5</f>
        <v>15902.38</v>
      </c>
      <c r="F3" s="1395"/>
      <c r="G3" s="1402"/>
      <c r="H3" s="1250" t="s">
        <v>1910</v>
      </c>
      <c r="I3" s="55" t="e">
        <f>ROUND('数据-基础表'!B3/'数据-基础表'!A3,2)</f>
        <v>#DIV/0!</v>
      </c>
      <c r="J3" s="1395"/>
      <c r="K3" s="1395"/>
      <c r="L3" s="1395"/>
      <c r="M3" s="1395"/>
      <c r="N3" s="1430"/>
      <c r="O3" s="1395"/>
      <c r="P3" s="1395"/>
    </row>
    <row r="4" spans="1:16" ht="15">
      <c r="A4" s="3082"/>
      <c r="B4" s="3083"/>
      <c r="C4" s="3084"/>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85" t="s">
        <v>1914</v>
      </c>
      <c r="C5" s="3085"/>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85" t="s">
        <v>1915</v>
      </c>
      <c r="C6" s="3085"/>
      <c r="D6" s="48">
        <f>ROUND($D$3*E6/$E$3,2)</f>
        <v>0</v>
      </c>
      <c r="E6" s="49">
        <f>E3-E5</f>
        <v>15902.38</v>
      </c>
      <c r="F6" s="1395"/>
      <c r="G6" s="2237" t="s">
        <v>1916</v>
      </c>
      <c r="H6" s="1402" t="s">
        <v>1917</v>
      </c>
      <c r="I6" s="942" t="e">
        <f>ROUND(F31/D31,2)</f>
        <v>#DIV/0!</v>
      </c>
      <c r="J6" s="1395"/>
      <c r="K6" s="1395"/>
      <c r="L6" s="1395"/>
      <c r="M6" s="1395"/>
      <c r="N6" s="1395"/>
      <c r="O6" s="1395"/>
      <c r="P6" s="1395"/>
    </row>
    <row r="7" spans="1:16" ht="15">
      <c r="A7" s="3077"/>
      <c r="B7" s="3078"/>
      <c r="C7" s="3079"/>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15902.38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15902.38</v>
      </c>
      <c r="F16" s="1395"/>
      <c r="G16" s="2239"/>
      <c r="H16" s="2242" t="s">
        <v>1939</v>
      </c>
      <c r="I16" s="2243"/>
      <c r="J16" s="1395"/>
      <c r="K16" s="3074" t="s">
        <v>1939</v>
      </c>
      <c r="L16" s="3075"/>
      <c r="M16" s="3075"/>
      <c r="N16" s="3075"/>
      <c r="O16" s="3075"/>
      <c r="P16" s="3076"/>
    </row>
    <row r="17" spans="1:19" ht="15">
      <c r="A17" s="2244" t="s">
        <v>1940</v>
      </c>
      <c r="B17" s="2245" t="s">
        <v>1941</v>
      </c>
      <c r="C17" s="2246" t="s">
        <v>1942</v>
      </c>
      <c r="D17" s="2247" t="s">
        <v>1930</v>
      </c>
      <c r="E17" s="2248" t="s">
        <v>1931</v>
      </c>
      <c r="F17" s="2249"/>
      <c r="G17" s="2250"/>
      <c r="H17" s="2251" t="s">
        <v>1943</v>
      </c>
      <c r="I17" s="2252" t="s">
        <v>1928</v>
      </c>
      <c r="J17" s="1395"/>
      <c r="K17" s="3071" t="s">
        <v>1944</v>
      </c>
      <c r="L17" s="3072"/>
      <c r="M17" s="3073"/>
      <c r="N17" s="3071" t="s">
        <v>1945</v>
      </c>
      <c r="O17" s="3072"/>
      <c r="P17" s="3073"/>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9" t="s">
        <v>3076</v>
      </c>
      <c r="D19" s="48">
        <f>ROUND($D$3*E19/$E$3,2)</f>
        <v>0</v>
      </c>
      <c r="E19" s="56">
        <f t="shared" ref="E19:E26" si="1">SUM(F19:G19)</f>
        <v>15902.38</v>
      </c>
      <c r="F19" s="57">
        <f>'数据-基础表'!I13</f>
        <v>15902.38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15902.38</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15902.38</v>
      </c>
      <c r="F27" s="1396">
        <f>IF(SUM(F19:F26)=E8,SUM(F19:F26),"地上面积有误")</f>
        <v>15902.38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15902.38</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15902.38</v>
      </c>
      <c r="F31" s="730">
        <f>F27+F30</f>
        <v>15902.38</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43371</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3077</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56491</v>
      </c>
      <c r="F6" s="72">
        <f>SUMIF(项目基本情况!D$12:I$12,C6,项目基本情况!D$15:I$15)</f>
        <v>35.94</v>
      </c>
      <c r="G6" s="73">
        <f>IF(ISERROR(ROUND(POWER(1+H6,D6-F6)*(POWER(1+H6,F6)-1)/(POWER(1+H6,D6)-1),3)),0,ROUND(POWER(1+H6,D6-F6)*(POWER(1+H6,F6)-1)/(POWER(1+H6,D6)-1),3))</f>
        <v>0.89300000000000002</v>
      </c>
      <c r="H6" s="802">
        <v>4.4999999999999998E-2</v>
      </c>
      <c r="I6" s="802">
        <v>0.05</v>
      </c>
      <c r="J6" s="74">
        <v>8.5000000000000006E-2</v>
      </c>
      <c r="K6" s="1254">
        <f>SUMIF('数据-汇总表'!C$19:C$33,A6,'数据-汇总表'!E$19:E$33)</f>
        <v>15902.38</v>
      </c>
      <c r="L6" s="803">
        <v>3000</v>
      </c>
      <c r="M6" s="75">
        <f t="shared" ref="M6:M14" si="0">ROUND(K6*L6/10000,0)</f>
        <v>4771</v>
      </c>
      <c r="N6" s="801">
        <f>ROUND(1-(2018-2011)/60,2)</f>
        <v>0.88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4</v>
      </c>
      <c r="V6" s="79">
        <v>0.03</v>
      </c>
      <c r="W6" s="79">
        <v>0.05</v>
      </c>
      <c r="X6" s="1264"/>
      <c r="Y6" s="80">
        <f>N6</f>
        <v>0.88</v>
      </c>
      <c r="Z6" s="81"/>
      <c r="AA6" s="74"/>
      <c r="AB6" s="74"/>
      <c r="AC6" s="1264"/>
      <c r="AD6" s="82"/>
      <c r="AE6" s="1265">
        <f ca="1">IF(AN6="",0,SUMIF(INDIRECT("'"&amp;AN6&amp;"'"&amp;"!E:E"),$AE$5,INDIRECT("'"&amp;AN6&amp;"'"&amp;"!F:F")))</f>
        <v>35.94</v>
      </c>
      <c r="AF6" s="1807"/>
      <c r="AG6" s="147">
        <f>IF(AF6="",0,AE6-AF6)</f>
        <v>0</v>
      </c>
      <c r="AH6" s="83"/>
      <c r="AI6" s="85">
        <v>365</v>
      </c>
      <c r="AJ6" s="86"/>
      <c r="AK6" s="87">
        <v>1.4999999999999999E-2</v>
      </c>
      <c r="AL6" s="88">
        <v>1.5E-3</v>
      </c>
      <c r="AM6" s="89">
        <v>0.01</v>
      </c>
      <c r="AN6" s="2311" t="s">
        <v>3078</v>
      </c>
      <c r="AO6" s="55">
        <f ca="1">SUMIF(INDIRECT("'"&amp;AN6&amp;"'"&amp;"!A:A"),"总价",INDIRECT("'"&amp;AN6&amp;"'"&amp;"!B:B"))</f>
        <v>44946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0.89300000000000002</v>
      </c>
      <c r="H16" s="99">
        <f>ROUND(SUMPRODUCT(H6:H13,K6:K13)/SUMPRODUCT((H6:H13&gt;0)*(K6:K13)),3)</f>
        <v>4.4999999999999998E-2</v>
      </c>
      <c r="I16" s="100"/>
      <c r="J16" s="100"/>
      <c r="K16" s="101">
        <f>SUM(K6:K15)</f>
        <v>15902.38</v>
      </c>
      <c r="L16" s="102">
        <f>ROUND(M16*10000/SUM(K6:K14),0)</f>
        <v>3000</v>
      </c>
      <c r="M16" s="102">
        <f>SUM(M6:M14)</f>
        <v>4771</v>
      </c>
      <c r="N16" s="103">
        <f>ROUND(SUMPRODUCT(M6:M14,N6:N14)/M16,3)</f>
        <v>0.88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200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523</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1430">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1430">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1430">
        <v>18</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1430">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1430">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1430">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4" sqref="J14"/>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86" t="s">
        <v>2080</v>
      </c>
      <c r="B1" s="3087"/>
      <c r="C1" s="3087"/>
      <c r="D1" s="3087"/>
      <c r="E1" s="3087"/>
      <c r="F1" s="3087"/>
      <c r="G1" s="308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0" t="s">
        <v>3080</v>
      </c>
      <c r="H3" s="2370"/>
      <c r="I3" s="2370"/>
      <c r="J3" s="2370"/>
      <c r="K3" s="2370"/>
      <c r="L3" s="2370"/>
      <c r="M3" s="2370"/>
      <c r="N3" s="2370"/>
      <c r="O3" s="2370"/>
      <c r="P3" s="2370"/>
      <c r="Q3" s="2370"/>
      <c r="R3" s="2370"/>
    </row>
    <row r="4" spans="1:29" ht="41.25">
      <c r="A4" s="431"/>
      <c r="B4" s="1798" t="s">
        <v>2087</v>
      </c>
      <c r="C4" s="2375" t="s">
        <v>2088</v>
      </c>
      <c r="D4" s="2373"/>
      <c r="E4" s="2376"/>
      <c r="F4" s="42" t="s">
        <v>2089</v>
      </c>
      <c r="G4" s="2951" t="s">
        <v>3081</v>
      </c>
      <c r="H4" s="2370"/>
      <c r="I4" s="2370"/>
      <c r="J4" s="2370"/>
      <c r="K4" s="2370"/>
      <c r="L4" s="2370"/>
      <c r="M4" s="2370"/>
      <c r="N4" s="2370"/>
      <c r="O4" s="2370"/>
      <c r="P4" s="2370"/>
      <c r="Q4" s="2370"/>
      <c r="R4" s="2370"/>
    </row>
    <row r="5" spans="1:29" ht="41.25">
      <c r="A5" s="431"/>
      <c r="B5" s="1798" t="s">
        <v>2091</v>
      </c>
      <c r="C5" s="2375" t="s">
        <v>2092</v>
      </c>
      <c r="D5" s="2373"/>
      <c r="E5" s="2376"/>
      <c r="F5" s="1798" t="s">
        <v>2093</v>
      </c>
      <c r="G5" s="2951" t="s">
        <v>3082</v>
      </c>
      <c r="H5" s="2370"/>
      <c r="I5" s="2370"/>
      <c r="J5" s="2370"/>
      <c r="K5" s="2370"/>
      <c r="L5" s="2370"/>
      <c r="M5" s="2370"/>
      <c r="N5" s="2370"/>
      <c r="O5" s="2370"/>
      <c r="P5" s="2370"/>
      <c r="Q5" s="2370"/>
      <c r="R5" s="2370"/>
    </row>
    <row r="6" spans="1:29" ht="54">
      <c r="A6" s="431"/>
      <c r="B6" s="1798" t="s">
        <v>2095</v>
      </c>
      <c r="C6" s="2377" t="s">
        <v>2090</v>
      </c>
      <c r="D6" s="2373"/>
      <c r="E6" s="2376"/>
      <c r="F6" s="1798" t="s">
        <v>2096</v>
      </c>
      <c r="G6" s="2951" t="s">
        <v>3084</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2" t="s">
        <v>3083</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估价对象位于总部基地产业区，园区建设成熟度较好，产业集聚程度较好</v>
      </c>
    </row>
    <row r="16" spans="1:29" ht="42.75">
      <c r="A16" s="645"/>
      <c r="B16" s="2405" t="s">
        <v>2087</v>
      </c>
      <c r="C16" s="2406" t="str">
        <f>C4</f>
        <v>估价对象位于XX商圈，周边商业氛围成熟，人流量大，商业繁华度好</v>
      </c>
      <c r="D16" s="2373"/>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8"/>
      <c r="E17" s="2407"/>
      <c r="F17" s="2408" t="s">
        <v>2108</v>
      </c>
      <c r="G17" s="1572"/>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该园区内无污染型企业，绿化情况，卫生条件，整体环境状况较好</v>
      </c>
    </row>
    <row r="19" spans="1:18" ht="28.5">
      <c r="A19" s="645"/>
      <c r="B19" s="2408" t="s">
        <v>2109</v>
      </c>
      <c r="C19" s="1572"/>
      <c r="D19" s="2373"/>
      <c r="E19" s="2407"/>
      <c r="F19" s="1798" t="s">
        <v>2093</v>
      </c>
      <c r="G19" s="136" t="str">
        <f>G5</f>
        <v>估价对象所在区域公共配套设施齐备情况较齐备</v>
      </c>
    </row>
    <row r="20" spans="1:18" ht="28.5">
      <c r="A20" s="645"/>
      <c r="B20" s="2408" t="s">
        <v>2110</v>
      </c>
      <c r="C20" s="2406" t="str">
        <f>C9</f>
        <v>区域自然环境：；人文环境；综合评价环境状况一般</v>
      </c>
      <c r="D20" s="2378"/>
      <c r="E20" s="2407"/>
      <c r="F20" s="1798" t="s">
        <v>2111</v>
      </c>
      <c r="G20" s="136" t="str">
        <f>G6</f>
        <v>估价对象所在区域基础设施水平好</v>
      </c>
    </row>
    <row r="21" spans="1:18" ht="28.5">
      <c r="A21" s="645"/>
      <c r="B21" s="1798" t="s">
        <v>2093</v>
      </c>
      <c r="C21" s="136" t="str">
        <f>C7</f>
        <v>估价对象所在区域公共配套设施齐备情况</v>
      </c>
      <c r="D21" s="2373"/>
      <c r="E21" s="2407"/>
      <c r="F21" s="2408" t="s">
        <v>2112</v>
      </c>
      <c r="G21" s="2409"/>
    </row>
    <row r="22" spans="1:18" ht="13.5" customHeight="1">
      <c r="A22" s="645"/>
      <c r="B22" s="1798" t="s">
        <v>2096</v>
      </c>
      <c r="C22" s="136" t="str">
        <f>C8</f>
        <v>估价对象所在区域基础设施水平</v>
      </c>
      <c r="D22" s="2373"/>
      <c r="E22" s="2407"/>
      <c r="F22" s="2408" t="s">
        <v>2101</v>
      </c>
      <c r="G22" s="1572"/>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15902.38</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43371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53825</v>
      </c>
      <c r="C5" s="1746">
        <f ca="1">ROUND(B5*10000/$B$1,0)</f>
        <v>33847</v>
      </c>
      <c r="D5" s="1746" t="e">
        <f ca="1">ROUND(B5*10000/$B$2,0)</f>
        <v>#DIV/0!</v>
      </c>
      <c r="E5" s="1745"/>
      <c r="F5" s="1743"/>
      <c r="G5" s="1743"/>
    </row>
    <row r="6" spans="1:10" ht="16.5">
      <c r="A6" s="1746" t="s">
        <v>1356</v>
      </c>
      <c r="B6" s="1746">
        <f>SUM(G14:G23)</f>
        <v>0</v>
      </c>
      <c r="C6" s="1746">
        <f>ROUND(B6*10000/$B$1,0)</f>
        <v>0</v>
      </c>
      <c r="D6" s="1746" t="e">
        <f>ROUND(B6*10000/$B$2,0)</f>
        <v>#DIV/0!</v>
      </c>
      <c r="E6" s="1745"/>
      <c r="F6" s="1743"/>
      <c r="G6" s="1743"/>
    </row>
    <row r="7" spans="1:10" ht="16.5">
      <c r="A7" s="1746" t="s">
        <v>1364</v>
      </c>
      <c r="B7" s="1746">
        <f ca="1">SUM(H14:H23)</f>
        <v>53825</v>
      </c>
      <c r="C7" s="1746">
        <f ca="1">ROUND(B7*10000/$B$1,0)</f>
        <v>33847</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15902.38</v>
      </c>
      <c r="C14" s="1744">
        <f>结果表!C118</f>
        <v>0</v>
      </c>
      <c r="D14" s="1744">
        <f ca="1">结果表!H118</f>
        <v>53825</v>
      </c>
      <c r="E14" s="1744">
        <f ca="1">ROUND(D14*10000/B14,0)</f>
        <v>33847</v>
      </c>
      <c r="F14" s="1744" t="e">
        <f ca="1">ROUND(D14*10000/C14,0)</f>
        <v>#DIV/0!</v>
      </c>
      <c r="G14" s="1744" t="str">
        <f>结果表!D122</f>
        <v>——</v>
      </c>
      <c r="H14" s="1744">
        <f ca="1">结果表!D124</f>
        <v>53825</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J126" sqref="J1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2117</v>
      </c>
      <c r="H1" s="2422" t="str">
        <f>IF(G1="现房","——","估价对象范围")</f>
        <v>估价对象范围</v>
      </c>
      <c r="I1" s="2423"/>
    </row>
    <row r="2" spans="1:12" ht="21.75" customHeight="1" thickBot="1">
      <c r="A2" s="3160" t="str">
        <f>项目基本情况!S2</f>
        <v>北京市北京市丰台区南四环西路188号十六区18号楼1至15层101出让国有建设用地使用权及在建建筑物房地产</v>
      </c>
      <c r="B2" s="3161"/>
      <c r="C2" s="3161"/>
      <c r="D2" s="3161"/>
      <c r="E2" s="3161"/>
      <c r="F2" s="3161"/>
      <c r="G2" s="3161"/>
      <c r="H2" s="3161"/>
      <c r="I2" s="3162"/>
    </row>
    <row r="3" spans="1:12" ht="12.75">
      <c r="A3" s="3163" t="s">
        <v>2118</v>
      </c>
      <c r="B3" s="3164"/>
      <c r="C3" s="3164"/>
      <c r="D3" s="3164"/>
      <c r="E3" s="3164"/>
      <c r="F3" s="3164"/>
      <c r="G3" s="3164"/>
      <c r="H3" s="3164"/>
      <c r="I3" s="3164"/>
    </row>
    <row r="4" spans="1:12" ht="14.25">
      <c r="A4" s="2426" t="s">
        <v>2119</v>
      </c>
      <c r="B4" s="2427" t="s">
        <v>2120</v>
      </c>
      <c r="C4" s="2428" t="s">
        <v>3276</v>
      </c>
      <c r="D4" s="2428" t="s">
        <v>3078</v>
      </c>
      <c r="E4" s="3144" t="s">
        <v>2121</v>
      </c>
      <c r="F4" s="3157"/>
      <c r="G4" s="3157"/>
      <c r="H4" s="3157"/>
      <c r="I4" s="3145"/>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5" t="s">
        <v>2122</v>
      </c>
      <c r="B5" s="3061">
        <v>25</v>
      </c>
      <c r="C5" s="3165"/>
      <c r="D5" s="3153"/>
      <c r="E5" s="140" t="s">
        <v>2123</v>
      </c>
      <c r="F5" s="2430"/>
      <c r="G5" s="2430"/>
      <c r="H5" s="2430"/>
      <c r="I5" s="1834"/>
    </row>
    <row r="6" spans="1:12" ht="12.75">
      <c r="A6" s="3135"/>
      <c r="B6" s="3061"/>
      <c r="C6" s="3167"/>
      <c r="D6" s="3153"/>
      <c r="E6" s="140" t="s">
        <v>2124</v>
      </c>
      <c r="F6" s="2430"/>
      <c r="G6" s="2430"/>
      <c r="H6" s="2430"/>
      <c r="I6" s="1834"/>
    </row>
    <row r="7" spans="1:12" ht="12.75">
      <c r="A7" s="3135"/>
      <c r="B7" s="3061"/>
      <c r="C7" s="3166"/>
      <c r="D7" s="3153"/>
      <c r="E7" s="140" t="s">
        <v>2125</v>
      </c>
      <c r="F7" s="2430"/>
      <c r="G7" s="2430"/>
      <c r="H7" s="2430"/>
      <c r="I7" s="1834"/>
    </row>
    <row r="8" spans="1:12" ht="12.75">
      <c r="A8" s="3135" t="s">
        <v>2126</v>
      </c>
      <c r="B8" s="3061">
        <v>15</v>
      </c>
      <c r="C8" s="3165"/>
      <c r="D8" s="3153"/>
      <c r="E8" s="140" t="s">
        <v>2127</v>
      </c>
      <c r="F8" s="2430"/>
      <c r="G8" s="2430"/>
      <c r="H8" s="2430"/>
      <c r="I8" s="1834"/>
    </row>
    <row r="9" spans="1:12" ht="12.75">
      <c r="A9" s="3135"/>
      <c r="B9" s="3061"/>
      <c r="C9" s="3166"/>
      <c r="D9" s="3153"/>
      <c r="E9" s="140" t="s">
        <v>2128</v>
      </c>
      <c r="F9" s="2430"/>
      <c r="G9" s="2430"/>
      <c r="H9" s="2430"/>
      <c r="I9" s="1834"/>
    </row>
    <row r="10" spans="1:12" ht="12.75">
      <c r="A10" s="3135" t="s">
        <v>2129</v>
      </c>
      <c r="B10" s="3061">
        <v>15</v>
      </c>
      <c r="C10" s="3165"/>
      <c r="D10" s="3153"/>
      <c r="E10" s="140" t="s">
        <v>2130</v>
      </c>
      <c r="F10" s="2430"/>
      <c r="G10" s="2430"/>
      <c r="H10" s="2430"/>
      <c r="I10" s="1834"/>
    </row>
    <row r="11" spans="1:12" ht="12.75">
      <c r="A11" s="3135"/>
      <c r="B11" s="3061"/>
      <c r="C11" s="3166"/>
      <c r="D11" s="3153"/>
      <c r="E11" s="140" t="s">
        <v>2131</v>
      </c>
      <c r="F11" s="2430"/>
      <c r="G11" s="2430"/>
      <c r="H11" s="2430"/>
      <c r="I11" s="1834"/>
    </row>
    <row r="12" spans="1:12" ht="12.75">
      <c r="A12" s="3135" t="s">
        <v>2132</v>
      </c>
      <c r="B12" s="3061">
        <v>15</v>
      </c>
      <c r="C12" s="3165"/>
      <c r="D12" s="3153"/>
      <c r="E12" s="140" t="s">
        <v>2133</v>
      </c>
      <c r="F12" s="2430"/>
      <c r="G12" s="2430"/>
      <c r="H12" s="2430"/>
      <c r="I12" s="1834"/>
    </row>
    <row r="13" spans="1:12" ht="12.75">
      <c r="A13" s="3135"/>
      <c r="B13" s="3061"/>
      <c r="C13" s="3166"/>
      <c r="D13" s="3153"/>
      <c r="E13" s="140" t="s">
        <v>2134</v>
      </c>
      <c r="F13" s="2430"/>
      <c r="G13" s="2430"/>
      <c r="H13" s="2430"/>
      <c r="I13" s="1834"/>
    </row>
    <row r="14" spans="1:12" ht="12.75">
      <c r="A14" s="3135" t="s">
        <v>2135</v>
      </c>
      <c r="B14" s="3061">
        <v>30</v>
      </c>
      <c r="C14" s="3165">
        <v>6</v>
      </c>
      <c r="D14" s="3153">
        <v>4</v>
      </c>
      <c r="E14" s="140" t="s">
        <v>2136</v>
      </c>
      <c r="F14" s="2430"/>
      <c r="G14" s="2430"/>
      <c r="H14" s="2430"/>
      <c r="I14" s="1834"/>
    </row>
    <row r="15" spans="1:12" ht="12.75">
      <c r="A15" s="3135"/>
      <c r="B15" s="3061"/>
      <c r="C15" s="3167"/>
      <c r="D15" s="3153"/>
      <c r="E15" s="140" t="s">
        <v>2137</v>
      </c>
      <c r="F15" s="2430"/>
      <c r="G15" s="2430"/>
      <c r="H15" s="2430"/>
      <c r="I15" s="1834"/>
    </row>
    <row r="16" spans="1:12" ht="12.75">
      <c r="A16" s="3135"/>
      <c r="B16" s="3061"/>
      <c r="C16" s="3166"/>
      <c r="D16" s="3153"/>
      <c r="E16" s="140" t="s">
        <v>2138</v>
      </c>
      <c r="F16" s="2430"/>
      <c r="G16" s="2430"/>
      <c r="H16" s="2430"/>
      <c r="I16" s="1834"/>
    </row>
    <row r="17" spans="1:35" ht="15">
      <c r="A17" s="2431" t="s">
        <v>2139</v>
      </c>
      <c r="B17" s="64"/>
      <c r="C17" s="141">
        <f>SUM(C5:C16)</f>
        <v>6</v>
      </c>
      <c r="D17" s="141">
        <f>SUM(D5:D16)</f>
        <v>4</v>
      </c>
      <c r="E17" s="138"/>
      <c r="F17" s="138"/>
      <c r="G17" s="138"/>
      <c r="H17" s="138"/>
      <c r="I17" s="138"/>
      <c r="K17" s="2429"/>
      <c r="L17" s="2432" t="s">
        <v>2140</v>
      </c>
      <c r="M17" s="2432" t="s">
        <v>2141</v>
      </c>
    </row>
    <row r="18" spans="1:35" ht="15.75" thickBot="1">
      <c r="A18" s="2433" t="s">
        <v>2142</v>
      </c>
      <c r="B18" s="2434"/>
      <c r="C18" s="142">
        <f>ROUND(C17/SUM(C17:D17),2)</f>
        <v>0.6</v>
      </c>
      <c r="D18" s="142">
        <f>1-C18</f>
        <v>0.4</v>
      </c>
      <c r="E18" s="138"/>
      <c r="F18" s="138"/>
      <c r="G18" s="138"/>
      <c r="H18" s="138"/>
      <c r="I18" s="138"/>
      <c r="K18" s="2429" t="s">
        <v>2143</v>
      </c>
      <c r="L18" s="2429">
        <f>IF(C1="",'数据-汇总表'!E3,SUMIF(项目类型,C1,'数据-汇总表'!E17:E26)+SUMIF(项目类型,C1,'数据-汇总表'!I17:I26))</f>
        <v>15902.38</v>
      </c>
      <c r="M18" s="2429">
        <f>IF(C1="",'数据-汇总表'!E3,SUMIF(项目类型,C1,'数据-汇总表'!E17:E26))</f>
        <v>15902.38</v>
      </c>
    </row>
    <row r="19" spans="1:35" ht="15">
      <c r="A19" s="2435" t="s">
        <v>2144</v>
      </c>
      <c r="B19" s="2436" t="s">
        <v>2145</v>
      </c>
      <c r="C19" s="143">
        <f ca="1">SUMIF(INDIRECT("'"&amp;C4&amp;"'"&amp;"!A:A"),结果表!B19,INDIRECT("'"&amp;C4&amp;"'"&amp;"!B:B"))</f>
        <v>59745</v>
      </c>
      <c r="D19" s="144">
        <f ca="1">SUMIF(INDIRECT("'"&amp;D4&amp;"'"&amp;"!A:A"),结果表!B19,INDIRECT("'"&amp;D4&amp;"'"&amp;"!B:B"))</f>
        <v>44946</v>
      </c>
      <c r="E19" s="2435" t="s">
        <v>2146</v>
      </c>
      <c r="F19" s="2436" t="s">
        <v>2145</v>
      </c>
      <c r="G19" s="145">
        <f ca="1">ROUND(C19*$C$18+D19*$D$18,0)</f>
        <v>53825</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50" t="s">
        <v>2149</v>
      </c>
      <c r="C20" s="146">
        <f ca="1">SUMIF(INDIRECT("'"&amp;C4&amp;"'"&amp;"!A:A"),结果表!B20,INDIRECT("'"&amp;C4&amp;"'"&amp;"!B:B"))</f>
        <v>37570</v>
      </c>
      <c r="D20" s="147">
        <f ca="1">SUMIF(INDIRECT("'"&amp;D4&amp;"'"&amp;"!A:A"),结果表!B20,INDIRECT("'"&amp;D4&amp;"'"&amp;"!B:B"))</f>
        <v>28264</v>
      </c>
      <c r="E20" s="2438"/>
      <c r="F20" s="1250" t="s">
        <v>2149</v>
      </c>
      <c r="G20" s="148">
        <f ca="1">ROUND(C20*$C$18+D20*$D$18,0)</f>
        <v>33848</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3" t="s">
        <v>2152</v>
      </c>
      <c r="B22" s="2441"/>
      <c r="C22" s="2442"/>
      <c r="D22" s="791">
        <f ca="1">IF(C19&lt;D19,D19/C19-1,C19/D19-1)</f>
        <v>0.32926178080363111</v>
      </c>
      <c r="E22" s="138"/>
      <c r="F22" s="138"/>
      <c r="G22" s="138"/>
      <c r="H22" s="138"/>
      <c r="I22" s="138"/>
    </row>
    <row r="23" spans="1:35" ht="13.5" thickBot="1">
      <c r="A23" s="2419"/>
      <c r="B23" s="2419"/>
      <c r="C23" s="2419"/>
      <c r="D23" s="2419"/>
      <c r="E23" s="138"/>
      <c r="F23" s="138"/>
      <c r="G23" s="138"/>
      <c r="H23" s="138"/>
      <c r="I23" s="138"/>
    </row>
    <row r="24" spans="1:35" ht="14.25">
      <c r="A24" s="3174" t="s">
        <v>2153</v>
      </c>
      <c r="B24" s="2436" t="s">
        <v>2145</v>
      </c>
      <c r="C24" s="145">
        <f>IF(B30=0,0,D30)</f>
        <v>0</v>
      </c>
      <c r="D24" s="2443"/>
      <c r="E24" s="138"/>
      <c r="F24" s="138"/>
      <c r="G24" s="138">
        <f ca="1">G19*0.45</f>
        <v>24221.25</v>
      </c>
      <c r="H24" s="138"/>
      <c r="I24" s="138"/>
    </row>
    <row r="25" spans="1:35" ht="14.25">
      <c r="A25" s="3175"/>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53825</v>
      </c>
      <c r="D32" s="2450" t="s">
        <v>2160</v>
      </c>
      <c r="E32" s="138"/>
      <c r="F32" s="138"/>
      <c r="G32" s="138"/>
      <c r="H32" s="138"/>
      <c r="I32" s="138"/>
    </row>
    <row r="33" spans="1:15" ht="15">
      <c r="A33" s="960" t="s">
        <v>2161</v>
      </c>
      <c r="B33" s="2451"/>
      <c r="C33" s="2452"/>
      <c r="D33" s="2453"/>
      <c r="E33" s="2454" t="s">
        <v>2162</v>
      </c>
      <c r="F33" s="2455" t="str">
        <f>IF(D32="楼面单价","取值（单价）","取值（总价）")</f>
        <v>取值（总价）</v>
      </c>
      <c r="G33" s="138"/>
      <c r="H33" s="138"/>
      <c r="I33" s="138"/>
    </row>
    <row r="34" spans="1:15" ht="15">
      <c r="A34" s="2456"/>
      <c r="B34" s="2457"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2164</v>
      </c>
      <c r="F34" s="1739"/>
      <c r="G34" s="138"/>
      <c r="H34" s="138"/>
      <c r="I34" s="138"/>
    </row>
    <row r="35" spans="1:15" ht="15.75" thickBot="1">
      <c r="A35" s="2459"/>
      <c r="B35" s="2460"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2166</v>
      </c>
      <c r="F35" s="163"/>
      <c r="G35" s="138"/>
      <c r="H35" s="138"/>
      <c r="I35" s="138"/>
    </row>
    <row r="36" spans="1:15" ht="15.75" thickBot="1">
      <c r="A36" s="3154" t="s">
        <v>2167</v>
      </c>
      <c r="B36" s="2462" t="s">
        <v>2168</v>
      </c>
      <c r="C36" s="154"/>
      <c r="D36" s="2463"/>
      <c r="E36" s="2464"/>
      <c r="F36" s="2465"/>
      <c r="G36" s="138"/>
      <c r="H36" s="138"/>
      <c r="I36" s="138"/>
    </row>
    <row r="37" spans="1:15" ht="15.75" thickBot="1">
      <c r="A37" s="3155"/>
      <c r="B37" s="2269" t="s">
        <v>2169</v>
      </c>
      <c r="C37" s="156"/>
      <c r="D37" s="1395"/>
      <c r="E37" s="1395"/>
      <c r="F37" s="2465"/>
      <c r="G37" s="138"/>
      <c r="H37" s="138"/>
      <c r="I37" s="138"/>
    </row>
    <row r="38" spans="1:15" ht="15.75" thickBot="1">
      <c r="A38" s="3156"/>
      <c r="B38" s="2466" t="s">
        <v>2170</v>
      </c>
      <c r="C38" s="727"/>
      <c r="D38" s="2467" t="s">
        <v>2171</v>
      </c>
      <c r="E38" s="1395"/>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71" t="s">
        <v>2181</v>
      </c>
      <c r="B45" s="3172"/>
      <c r="C45" s="3173"/>
      <c r="D45" s="164">
        <f ca="1">ROUND(H101*F45,0)</f>
        <v>53825</v>
      </c>
      <c r="E45" s="165" t="s">
        <v>2182</v>
      </c>
      <c r="F45" s="166">
        <v>1</v>
      </c>
      <c r="G45" s="167" t="s">
        <v>2183</v>
      </c>
      <c r="H45" s="138"/>
      <c r="I45" s="138"/>
      <c r="J45" s="3090" t="s">
        <v>2184</v>
      </c>
      <c r="K45" s="3090"/>
      <c r="L45" s="3090"/>
      <c r="M45" s="3090"/>
      <c r="N45" s="3090"/>
      <c r="O45" s="3090"/>
    </row>
    <row r="46" spans="1:15" ht="14.25" customHeight="1">
      <c r="A46" s="3168" t="s">
        <v>2185</v>
      </c>
      <c r="B46" s="3169"/>
      <c r="C46" s="3169"/>
      <c r="D46" s="3169"/>
      <c r="E46" s="3169"/>
      <c r="F46" s="3169"/>
      <c r="G46" s="3170"/>
      <c r="H46" s="2481"/>
      <c r="I46" s="168"/>
      <c r="J46" s="1812">
        <v>1</v>
      </c>
      <c r="K46" s="3090" t="s">
        <v>2186</v>
      </c>
      <c r="L46" s="3090"/>
      <c r="M46" s="3091"/>
      <c r="N46" s="3091"/>
      <c r="O46" s="3091"/>
    </row>
    <row r="47" spans="1:15" ht="12" customHeight="1">
      <c r="A47" s="169" t="s">
        <v>2187</v>
      </c>
      <c r="B47" s="170"/>
      <c r="C47" s="171"/>
      <c r="D47" s="172" t="s">
        <v>2188</v>
      </c>
      <c r="E47" s="24" t="s">
        <v>2189</v>
      </c>
      <c r="F47" s="173" t="s">
        <v>2190</v>
      </c>
      <c r="G47" s="174" t="s">
        <v>2191</v>
      </c>
      <c r="H47" s="2481"/>
      <c r="I47" s="168"/>
      <c r="J47" s="1812">
        <v>2</v>
      </c>
      <c r="K47" s="3090" t="s">
        <v>2192</v>
      </c>
      <c r="L47" s="3090"/>
      <c r="M47" s="3092">
        <f>'数据-取费表'!B2</f>
        <v>43371</v>
      </c>
      <c r="N47" s="3092"/>
      <c r="O47" s="3092"/>
    </row>
    <row r="48" spans="1:15" ht="25.5">
      <c r="A48" s="3158" t="s">
        <v>2193</v>
      </c>
      <c r="B48" s="3159"/>
      <c r="C48" s="3159"/>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090" t="s">
        <v>2196</v>
      </c>
      <c r="L48" s="3090"/>
      <c r="M48" s="3093">
        <f ca="1">H101</f>
        <v>53825</v>
      </c>
      <c r="N48" s="3093"/>
      <c r="O48" s="3093"/>
    </row>
    <row r="49" spans="1:35" ht="25.5" customHeight="1">
      <c r="A49" s="176" t="s">
        <v>2197</v>
      </c>
      <c r="B49" s="3138" t="s">
        <v>2198</v>
      </c>
      <c r="C49" s="3138"/>
      <c r="D49" s="177">
        <v>0</v>
      </c>
      <c r="E49" s="23" t="s">
        <v>2199</v>
      </c>
      <c r="F49" s="28" t="s">
        <v>34</v>
      </c>
      <c r="G49" s="3119"/>
      <c r="H49" s="138"/>
      <c r="I49" s="2484"/>
      <c r="J49" s="1812">
        <v>4</v>
      </c>
      <c r="K49" s="3090" t="str">
        <f>IF(项目基本情况!E8="房地产抵押价值","房地产抵押价值","抵押担保权已注销时的房地产抵押价值")</f>
        <v>抵押担保权已注销时的房地产抵押价值</v>
      </c>
      <c r="L49" s="3090"/>
      <c r="M49" s="3093">
        <f ca="1">IF(项目基本情况!E8="房地产抵押价值",H107,H109)</f>
        <v>53825</v>
      </c>
      <c r="N49" s="3093"/>
      <c r="O49" s="3093"/>
    </row>
    <row r="50" spans="1:35" ht="25.5" customHeight="1">
      <c r="A50" s="178"/>
      <c r="B50" s="3138" t="s">
        <v>2200</v>
      </c>
      <c r="C50" s="3138"/>
      <c r="D50" s="179"/>
      <c r="E50" s="31"/>
      <c r="F50" s="180"/>
      <c r="G50" s="3120"/>
      <c r="H50" s="138"/>
      <c r="I50" s="2484"/>
      <c r="J50" s="3090" t="s">
        <v>2201</v>
      </c>
      <c r="K50" s="3090"/>
      <c r="L50" s="3090"/>
      <c r="M50" s="3090"/>
      <c r="N50" s="3090"/>
      <c r="O50" s="3090"/>
    </row>
    <row r="51" spans="1:35" ht="12" customHeight="1">
      <c r="A51" s="181"/>
      <c r="B51" s="3138" t="s">
        <v>2202</v>
      </c>
      <c r="C51" s="3138"/>
      <c r="D51" s="182"/>
      <c r="E51" s="30"/>
      <c r="F51" s="180"/>
      <c r="G51" s="3121"/>
      <c r="H51" s="138"/>
      <c r="I51" s="2484"/>
      <c r="J51" s="2485" t="s">
        <v>2203</v>
      </c>
      <c r="K51" s="3090" t="s">
        <v>2204</v>
      </c>
      <c r="L51" s="3090"/>
      <c r="M51" s="2485" t="s">
        <v>2205</v>
      </c>
      <c r="N51" s="2485" t="s">
        <v>2206</v>
      </c>
      <c r="O51" s="2485" t="s">
        <v>2207</v>
      </c>
    </row>
    <row r="52" spans="1:35" ht="24" customHeight="1">
      <c r="A52" s="183" t="s">
        <v>2208</v>
      </c>
      <c r="B52" s="3138" t="s">
        <v>2209</v>
      </c>
      <c r="C52" s="3138"/>
      <c r="D52" s="182">
        <f ca="1">ROUND(D45*'数据-取费表'!B41/(1+'数据-取费表'!C42),0)</f>
        <v>2871</v>
      </c>
      <c r="E52" s="11" t="s">
        <v>2210</v>
      </c>
      <c r="F52" s="184">
        <f>'数据-取费表'!B41</f>
        <v>5.6000000000000001E-2</v>
      </c>
      <c r="G52" s="2486"/>
      <c r="H52" s="138"/>
      <c r="I52" s="2484"/>
      <c r="J52" s="1812">
        <v>1</v>
      </c>
      <c r="K52" s="3113" t="s">
        <v>2211</v>
      </c>
      <c r="L52" s="3113"/>
      <c r="M52" s="1754">
        <f>D48</f>
        <v>0</v>
      </c>
      <c r="N52" s="1812" t="str">
        <f>E48</f>
        <v>销售额×税（费）率</v>
      </c>
      <c r="O52" s="1755" t="str">
        <f>F48</f>
        <v>免征</v>
      </c>
    </row>
    <row r="53" spans="1:35" ht="12" customHeight="1">
      <c r="A53" s="183" t="s">
        <v>2212</v>
      </c>
      <c r="B53" s="3139" t="s">
        <v>2213</v>
      </c>
      <c r="C53" s="3140"/>
      <c r="D53" s="182">
        <f ca="1">ROUND(D45*'数据-取费表'!B41/(1+'数据-取费表'!C42),0)</f>
        <v>2871</v>
      </c>
      <c r="E53" s="11" t="s">
        <v>2210</v>
      </c>
      <c r="F53" s="184">
        <f>'数据-取费表'!B41</f>
        <v>5.6000000000000001E-2</v>
      </c>
      <c r="G53" s="2486"/>
      <c r="H53" s="138"/>
      <c r="I53" s="2484"/>
      <c r="J53" s="1812">
        <v>2</v>
      </c>
      <c r="K53" s="3113" t="s">
        <v>2214</v>
      </c>
      <c r="L53" s="3113"/>
      <c r="M53" s="1754">
        <f t="shared" ref="M53:O54" ca="1" si="0">D55</f>
        <v>27</v>
      </c>
      <c r="N53" s="1812" t="str">
        <f t="shared" si="0"/>
        <v>销售额×税（费）率</v>
      </c>
      <c r="O53" s="1755">
        <f t="shared" si="0"/>
        <v>5.0000000000000001E-4</v>
      </c>
    </row>
    <row r="54" spans="1:35" ht="12" customHeight="1">
      <c r="A54" s="183" t="s">
        <v>2215</v>
      </c>
      <c r="B54" s="3139" t="s">
        <v>2216</v>
      </c>
      <c r="C54" s="3140"/>
      <c r="D54" s="182">
        <f ca="1">C68</f>
        <v>2871</v>
      </c>
      <c r="E54" s="30" t="s">
        <v>2217</v>
      </c>
      <c r="F54" s="184">
        <f>'数据-取费表'!B41</f>
        <v>5.6000000000000001E-2</v>
      </c>
      <c r="G54" s="2486"/>
      <c r="H54" s="2487"/>
      <c r="I54" s="2484"/>
      <c r="J54" s="1812">
        <v>3</v>
      </c>
      <c r="K54" s="3113" t="s">
        <v>2218</v>
      </c>
      <c r="L54" s="3113"/>
      <c r="M54" s="1754">
        <f t="shared" ca="1" si="0"/>
        <v>30465</v>
      </c>
      <c r="N54" s="1812" t="str">
        <f t="shared" si="0"/>
        <v>增值额×税（费）率</v>
      </c>
      <c r="O54" s="1756" t="str">
        <f t="shared" si="0"/>
        <v>——</v>
      </c>
    </row>
    <row r="55" spans="1:35" ht="24" customHeight="1">
      <c r="A55" s="3177" t="s">
        <v>2219</v>
      </c>
      <c r="B55" s="3159"/>
      <c r="C55" s="3159"/>
      <c r="D55" s="185">
        <f ca="1">IF(H55="个人住宅",0,ROUND(D45*I55,0))</f>
        <v>27</v>
      </c>
      <c r="E55" s="11" t="s">
        <v>2220</v>
      </c>
      <c r="F55" s="184">
        <f>IF(H55="正常",I55,"免征")</f>
        <v>5.0000000000000001E-4</v>
      </c>
      <c r="G55" s="2486"/>
      <c r="H55" s="2483" t="s">
        <v>2221</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177" t="s">
        <v>2222</v>
      </c>
      <c r="B56" s="3159"/>
      <c r="C56" s="3159"/>
      <c r="D56" s="185">
        <f ca="1">IF(H56="个人住宅",D57,D58)</f>
        <v>30465</v>
      </c>
      <c r="E56" s="11" t="s">
        <v>2223</v>
      </c>
      <c r="F56" s="184" t="str">
        <f>IF(H56="正常",F58,"免征")</f>
        <v>——</v>
      </c>
      <c r="G56" s="2488" t="s">
        <v>2224</v>
      </c>
      <c r="H56" s="2489" t="s">
        <v>2221</v>
      </c>
      <c r="I56" s="2490"/>
      <c r="J56" s="1812" t="str">
        <f>IF(项目基本情况!K6="上海银行",IF(J55="",4,J55+1),"")</f>
        <v/>
      </c>
      <c r="K56" s="3096" t="str">
        <f>IF(项目基本情况!K6="上海银行","其他处置费用","")</f>
        <v/>
      </c>
      <c r="L56" s="3097"/>
      <c r="M56" s="1754" t="str">
        <f>IF(项目基本情况!K6="上海银行",M69,"")</f>
        <v/>
      </c>
      <c r="N56" s="3099" t="str">
        <f>IF(项目基本情况!K6="上海银行","包含处置中涉及的律师、诉讼、拍卖、评估等费用","")</f>
        <v/>
      </c>
      <c r="O56" s="3100"/>
    </row>
    <row r="57" spans="1:35" ht="12.75">
      <c r="A57" s="183" t="s">
        <v>2197</v>
      </c>
      <c r="B57" s="3144" t="s">
        <v>2225</v>
      </c>
      <c r="C57" s="3145"/>
      <c r="D57" s="187">
        <v>0</v>
      </c>
      <c r="E57" s="23" t="s">
        <v>2199</v>
      </c>
      <c r="F57" s="155"/>
      <c r="G57" s="2486"/>
      <c r="H57" s="2490"/>
      <c r="I57" s="2490"/>
      <c r="J57" s="3113">
        <f>IF(AND(J55="",J56=""),4,IF(项目基本情况!K6="上海银行",结果表!J56+1,结果表!J55+1))</f>
        <v>4</v>
      </c>
      <c r="K57" s="3113" t="s">
        <v>2226</v>
      </c>
      <c r="L57" s="2491" t="s">
        <v>2227</v>
      </c>
      <c r="M57" s="1759"/>
      <c r="N57" s="1760">
        <f ca="1">SUMIF(M52:M56,"&lt;9e307")</f>
        <v>30492</v>
      </c>
      <c r="O57" s="2492"/>
      <c r="P57" s="1753">
        <f ca="1">N57/M49</f>
        <v>0.56650255457501164</v>
      </c>
    </row>
    <row r="58" spans="1:35" ht="24.75">
      <c r="A58" s="183" t="s">
        <v>2208</v>
      </c>
      <c r="B58" s="3144" t="s">
        <v>2228</v>
      </c>
      <c r="C58" s="3157"/>
      <c r="D58" s="185">
        <f ca="1">IF(H58="转让取得",C81,C97)</f>
        <v>30465</v>
      </c>
      <c r="E58" s="11" t="s">
        <v>2223</v>
      </c>
      <c r="F58" s="24" t="s">
        <v>34</v>
      </c>
      <c r="G58" s="2486"/>
      <c r="H58" s="2489" t="s">
        <v>2229</v>
      </c>
      <c r="I58" s="2490"/>
      <c r="J58" s="3113"/>
      <c r="K58" s="3113"/>
      <c r="L58" s="2491" t="s">
        <v>2230</v>
      </c>
      <c r="M58" s="1761"/>
      <c r="N58" s="2493" t="str">
        <f ca="1">NUMBERSTRING(INT(N57*10000),2)&amp;"元整"</f>
        <v>叁亿零肆佰玖拾贰万元整</v>
      </c>
      <c r="O58" s="2494"/>
    </row>
    <row r="59" spans="1:35" ht="24.75" thickBot="1">
      <c r="A59" s="3117" t="s">
        <v>2231</v>
      </c>
      <c r="B59" s="3118"/>
      <c r="C59" s="3118"/>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15">
        <f>J57+1</f>
        <v>5</v>
      </c>
      <c r="K59" s="3113" t="s">
        <v>2233</v>
      </c>
      <c r="L59" s="1812" t="s">
        <v>2227</v>
      </c>
      <c r="M59" s="1762"/>
      <c r="N59" s="1763">
        <f ca="1">M49-N57</f>
        <v>23333</v>
      </c>
      <c r="O59" s="2496"/>
    </row>
    <row r="60" spans="1:35" ht="12" customHeight="1">
      <c r="A60" s="2497"/>
      <c r="B60" s="2419"/>
      <c r="C60" s="2419"/>
      <c r="D60" s="2419"/>
      <c r="E60" s="2168"/>
      <c r="F60" s="2490"/>
      <c r="G60" s="2490"/>
      <c r="H60" s="2498"/>
      <c r="I60" s="138"/>
      <c r="J60" s="3116"/>
      <c r="K60" s="3113"/>
      <c r="L60" s="2491" t="s">
        <v>2230</v>
      </c>
      <c r="M60" s="1761"/>
      <c r="N60" s="2493" t="str">
        <f ca="1">NUMBERSTRING(INT(N59*10000),2)&amp;"元整"</f>
        <v>贰亿叁仟叁佰叁拾叁万元整</v>
      </c>
      <c r="O60" s="2494"/>
    </row>
    <row r="61" spans="1:35" ht="13.5" thickBot="1">
      <c r="A61" s="3176" t="s">
        <v>2234</v>
      </c>
      <c r="B61" s="3176"/>
      <c r="C61" s="3176"/>
      <c r="D61" s="3176"/>
      <c r="E61" s="3176"/>
      <c r="F61" s="2490"/>
      <c r="G61" s="2490"/>
      <c r="H61" s="2498"/>
      <c r="I61" s="138"/>
      <c r="J61" s="1812">
        <f>J59+1</f>
        <v>6</v>
      </c>
      <c r="K61" s="3113" t="s">
        <v>2235</v>
      </c>
      <c r="L61" s="3113"/>
      <c r="M61" s="1764"/>
      <c r="N61" s="1765">
        <f ca="1">ROUND(N59*10000/'数据-汇总表'!E3,0)</f>
        <v>14673</v>
      </c>
      <c r="O61" s="2499"/>
    </row>
    <row r="62" spans="1:35" ht="12.75">
      <c r="A62" s="3133" t="s">
        <v>2236</v>
      </c>
      <c r="B62" s="3134"/>
      <c r="C62" s="1804"/>
      <c r="D62" s="1804" t="s">
        <v>2237</v>
      </c>
      <c r="E62" s="192" t="s">
        <v>2238</v>
      </c>
      <c r="F62" s="2490"/>
      <c r="G62" s="2490"/>
      <c r="H62" s="2498"/>
      <c r="I62" s="138"/>
    </row>
    <row r="63" spans="1:35" ht="12.75">
      <c r="A63" s="203" t="s">
        <v>775</v>
      </c>
      <c r="B63" s="193" t="s">
        <v>2239</v>
      </c>
      <c r="C63" s="194">
        <f ca="1">ROUND((C64+C65)/(1+'数据-取费表'!C42),0)</f>
        <v>51262</v>
      </c>
      <c r="D63" s="195"/>
      <c r="E63" s="196"/>
      <c r="F63" s="2490"/>
      <c r="G63" s="2490"/>
      <c r="H63" s="2498"/>
      <c r="I63" s="138"/>
      <c r="J63" s="3098" t="s">
        <v>2240</v>
      </c>
      <c r="K63" s="2500" t="s">
        <v>2241</v>
      </c>
      <c r="L63" s="1752">
        <f ca="1">IF(M49&gt;10000,M49*0.5%,IF(AND(M49&gt;1000,M49&lt;=10000),M49*1%,IF(AND(M49&gt;100,M49&lt;=1000),M49*3%,IF(AND(M49&gt;10,M49&lt;=100),M49*5%,M49*8%))))</f>
        <v>269.125</v>
      </c>
      <c r="M63" s="24">
        <f ca="1">ROUND(L63,1)</f>
        <v>269.10000000000002</v>
      </c>
      <c r="Z63" s="2424"/>
      <c r="AI63" s="2425"/>
    </row>
    <row r="64" spans="1:35" ht="14.25" customHeight="1">
      <c r="A64" s="197" t="s">
        <v>770</v>
      </c>
      <c r="B64" s="198" t="s">
        <v>2242</v>
      </c>
      <c r="C64" s="199">
        <f ca="1">D45</f>
        <v>53825</v>
      </c>
      <c r="D64" s="200" t="s">
        <v>32</v>
      </c>
      <c r="E64" s="201"/>
      <c r="F64" s="2490"/>
      <c r="G64" s="2490"/>
      <c r="H64" s="2498"/>
      <c r="I64" s="138"/>
      <c r="J64" s="3098"/>
      <c r="K64" s="2500" t="s">
        <v>2243</v>
      </c>
      <c r="L64" s="1752">
        <f ca="1">IF(M49&gt;2000,M49*0.5%,IF(AND(M49&gt;1000,M49&lt;=2000),M49*0.6%,IF(AND(M49&gt;500,M49&lt;=1000),M49*0.7%,IF(AND(M49&gt;200,M49&lt;=500),M49*0.8%,IF(AND(M49&gt;100,M49&lt;=200),M49*0.9%,IF(AND(M49&gt;50,M49&lt;=100),M49*1%,IF(AND(M49&gt;20,M49&lt;=50),M49*1.5%,IF(AND(M49&gt;10,M49&lt;=20),M49*2%,IF(AND(M49&gt;1,M49&lt;=10),M49*2.5%)))))))))</f>
        <v>269.125</v>
      </c>
      <c r="M64" s="24">
        <f t="shared" ref="M64:M65" ca="1" si="1">ROUND(L64,1)</f>
        <v>269.10000000000002</v>
      </c>
      <c r="N64" s="138" t="s">
        <v>2244</v>
      </c>
      <c r="Z64" s="2424"/>
      <c r="AI64" s="2425"/>
    </row>
    <row r="65" spans="1:35" ht="14.25" customHeight="1">
      <c r="A65" s="197" t="s">
        <v>771</v>
      </c>
      <c r="B65" s="198" t="s">
        <v>2245</v>
      </c>
      <c r="C65" s="202"/>
      <c r="D65" s="200"/>
      <c r="E65" s="201"/>
      <c r="F65" s="2490"/>
      <c r="G65" s="2490"/>
      <c r="H65" s="2498"/>
      <c r="I65" s="138"/>
      <c r="J65" s="3098"/>
      <c r="K65" s="2500" t="s">
        <v>2246</v>
      </c>
      <c r="L65" s="1752">
        <f ca="1">IF(M49&gt;1000,M49*0.1%,IF(AND(M49&gt;500,M49&lt;=1000),M49*0.5%,IF(AND(M49&gt;50,M49&lt;=500),M49*1%,IF(AND(M49&gt;1,M49&lt;=50),M49*1.5%))))</f>
        <v>53.825000000000003</v>
      </c>
      <c r="M65" s="24">
        <f t="shared" ca="1" si="1"/>
        <v>53.8</v>
      </c>
      <c r="N65" s="138" t="s">
        <v>2244</v>
      </c>
      <c r="Z65" s="2424"/>
      <c r="AI65" s="2425"/>
    </row>
    <row r="66" spans="1:35" ht="14.25" customHeight="1">
      <c r="A66" s="203" t="s">
        <v>772</v>
      </c>
      <c r="B66" s="204" t="s">
        <v>2247</v>
      </c>
      <c r="C66" s="205"/>
      <c r="D66" s="206" t="s">
        <v>32</v>
      </c>
      <c r="E66" s="1776" t="s">
        <v>1371</v>
      </c>
      <c r="F66" s="2490"/>
      <c r="G66" s="2490"/>
      <c r="H66" s="2498"/>
      <c r="I66" s="138"/>
      <c r="J66" s="3098"/>
      <c r="K66" s="2500" t="s">
        <v>2248</v>
      </c>
      <c r="L66" s="1752">
        <f ca="1">M49*0.5%</f>
        <v>269.125</v>
      </c>
      <c r="M66" s="24">
        <f ca="1">IF(L66&gt;0.5,0.5,ROUND(L66,0))</f>
        <v>0.5</v>
      </c>
      <c r="N66" s="138" t="s">
        <v>2249</v>
      </c>
      <c r="Z66" s="2424"/>
      <c r="AI66" s="2425"/>
    </row>
    <row r="67" spans="1:35" ht="14.25" customHeight="1">
      <c r="A67" s="203" t="s">
        <v>773</v>
      </c>
      <c r="B67" s="204" t="s">
        <v>2250</v>
      </c>
      <c r="C67" s="207">
        <f ca="1">C63-C66</f>
        <v>51262</v>
      </c>
      <c r="D67" s="200" t="s">
        <v>32</v>
      </c>
      <c r="E67" s="201"/>
      <c r="F67" s="2490"/>
      <c r="G67" s="2490"/>
      <c r="H67" s="2498"/>
      <c r="I67" s="138"/>
      <c r="J67" s="3098"/>
      <c r="K67" s="2500" t="s">
        <v>2251</v>
      </c>
      <c r="L67" s="1752">
        <f ca="1">IF(M49&gt;=10000,(8.25+(M49-10000)*0.01%),IF(AND(M49&gt;=8000,M49&lt;10000),(7.85+(M49-8000)*0.02%),IF(AND(M49&gt;=5000,M49&lt;8000),(6.65+(M49-5000)*0.04%),IF(AND(M49&gt;=2000,M49&lt;5000),(4.25+(PM49-2000)*0.08%),IF(AND(M49&gt;=1000,M49&lt;2000),(2.75+(M49-1000)*0.15%),IF(AND(M49&gt;=100,M49&lt;1000),(0.5+(M49-100)*0.25%),IF(AND(M49&gt;0,M49&lt;100),M49*0.5%)))))))</f>
        <v>12.6325</v>
      </c>
      <c r="M67" s="24">
        <f ca="1">ROUND(L67*0.9,1)</f>
        <v>11.4</v>
      </c>
      <c r="Z67" s="2424"/>
      <c r="AI67" s="2425"/>
    </row>
    <row r="68" spans="1:35" ht="14.25" customHeight="1" thickBot="1">
      <c r="A68" s="208" t="s">
        <v>774</v>
      </c>
      <c r="B68" s="209" t="s">
        <v>2252</v>
      </c>
      <c r="C68" s="210">
        <f ca="1">IF(C67&lt;=0,0,ROUND(C67*D68,0))</f>
        <v>2871</v>
      </c>
      <c r="D68" s="211">
        <f>'数据-取费表'!B41</f>
        <v>5.6000000000000001E-2</v>
      </c>
      <c r="E68" s="212"/>
      <c r="F68" s="2490"/>
      <c r="G68" s="2490"/>
      <c r="H68" s="2498"/>
      <c r="I68" s="138"/>
      <c r="J68" s="3098"/>
      <c r="K68" s="2500" t="s">
        <v>2253</v>
      </c>
      <c r="L68" s="1752">
        <f ca="1">IF(M49&gt;10000,M49*0.5%,IF(AND(M49&gt;5000,M49&lt;=10000),M49*1%,IF(AND(M49&gt;1000,M49&lt;=5000),M49*2%,IF(AND(M49&gt;200,M49&lt;=1000),M49*3%,M49*5%))))</f>
        <v>269.125</v>
      </c>
      <c r="M68" s="24">
        <f ca="1">ROUND(L68,1)</f>
        <v>269.10000000000002</v>
      </c>
      <c r="Z68" s="2424"/>
      <c r="AI68" s="2425"/>
    </row>
    <row r="69" spans="1:35" s="2447" customFormat="1" ht="16.5" customHeight="1">
      <c r="A69" s="2501"/>
      <c r="B69" s="2502"/>
      <c r="C69" s="2503"/>
      <c r="D69" s="2504"/>
      <c r="E69" s="2505"/>
      <c r="F69" s="2168"/>
      <c r="G69" s="2168"/>
      <c r="H69" s="2167"/>
      <c r="I69" s="2419"/>
      <c r="J69" s="3098"/>
      <c r="K69" s="2500" t="s">
        <v>2254</v>
      </c>
      <c r="L69" s="2506"/>
      <c r="M69" s="24">
        <f ca="1">ROUND(SUM(M63:M68),0)</f>
        <v>873</v>
      </c>
      <c r="N69" s="1753">
        <f ca="1">M69/M49</f>
        <v>1.6219228982814676E-2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2" t="s">
        <v>2255</v>
      </c>
      <c r="B70" s="3143"/>
      <c r="C70" s="3143"/>
      <c r="D70" s="3143"/>
      <c r="E70" s="3143"/>
      <c r="F70" s="3143"/>
      <c r="G70" s="3143"/>
      <c r="H70" s="314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3" t="s">
        <v>2236</v>
      </c>
      <c r="B71" s="3134"/>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51262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308</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39" t="s">
        <v>2264</v>
      </c>
      <c r="F76" s="3138"/>
      <c r="G76" s="3138"/>
      <c r="H76" s="314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308</v>
      </c>
      <c r="D78" s="226">
        <f>'数据-取费表'!B43</f>
        <v>6.000000000000001E-3</v>
      </c>
      <c r="E78" s="3130" t="s">
        <v>2269</v>
      </c>
      <c r="F78" s="3131"/>
      <c r="G78" s="3131"/>
      <c r="H78" s="313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50954</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165.43506493506493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30465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2" t="s">
        <v>2273</v>
      </c>
      <c r="B83" s="3143"/>
      <c r="C83" s="3143"/>
      <c r="D83" s="3143"/>
      <c r="E83" s="3143"/>
      <c r="F83" s="3143"/>
      <c r="G83" s="3143"/>
      <c r="H83" s="314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3" t="s">
        <v>2236</v>
      </c>
      <c r="B84" s="3134"/>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51262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308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130" t="s">
        <v>2282</v>
      </c>
      <c r="F91" s="3131"/>
      <c r="G91" s="3131"/>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130" t="s">
        <v>2286</v>
      </c>
      <c r="F92" s="3131"/>
      <c r="G92" s="3131"/>
      <c r="H92" s="313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308</v>
      </c>
      <c r="D93" s="226">
        <f>'数据-取费表'!B43</f>
        <v>6.000000000000001E-3</v>
      </c>
      <c r="E93" s="3130" t="s">
        <v>2269</v>
      </c>
      <c r="F93" s="3131"/>
      <c r="G93" s="3131"/>
      <c r="H93" s="313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78" t="s">
        <v>2290</v>
      </c>
      <c r="F94" s="3179"/>
      <c r="G94" s="3179"/>
      <c r="H94" s="318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50954</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165.43506493506493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30465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2291</v>
      </c>
      <c r="B99" s="2419"/>
      <c r="C99" s="2419"/>
      <c r="D99" s="2419"/>
      <c r="E99" s="2168"/>
      <c r="F99" s="2168"/>
      <c r="G99" s="2168"/>
      <c r="H99" s="2167"/>
      <c r="I99" s="138"/>
    </row>
    <row r="100" spans="1:35" ht="18.75" customHeight="1">
      <c r="A100" s="3082" t="s">
        <v>2292</v>
      </c>
      <c r="B100" s="3083"/>
      <c r="C100" s="3083"/>
      <c r="D100" s="3114"/>
      <c r="E100" s="3083" t="s">
        <v>2293</v>
      </c>
      <c r="F100" s="3083"/>
      <c r="G100" s="3083"/>
      <c r="H100" s="3114"/>
      <c r="I100" s="138"/>
    </row>
    <row r="101" spans="1:35" ht="18.75" customHeight="1">
      <c r="A101" s="3122" t="s">
        <v>2294</v>
      </c>
      <c r="B101" s="3123"/>
      <c r="C101" s="736" t="str">
        <f>C4</f>
        <v>比较法-办公</v>
      </c>
      <c r="D101" s="737" t="str">
        <f>D4</f>
        <v>收益法</v>
      </c>
      <c r="E101" s="3094" t="s">
        <v>2295</v>
      </c>
      <c r="F101" s="3095"/>
      <c r="G101" s="2521" t="s">
        <v>2296</v>
      </c>
      <c r="H101" s="1048">
        <f ca="1">H118</f>
        <v>53825</v>
      </c>
      <c r="I101" s="138"/>
    </row>
    <row r="102" spans="1:35" ht="18.75" customHeight="1">
      <c r="A102" s="3124" t="s">
        <v>2297</v>
      </c>
      <c r="B102" s="2521" t="s">
        <v>2296</v>
      </c>
      <c r="C102" s="736">
        <f ca="1">C19</f>
        <v>59745</v>
      </c>
      <c r="D102" s="737">
        <f ca="1">D19</f>
        <v>44946</v>
      </c>
      <c r="E102" s="3094"/>
      <c r="F102" s="3095"/>
      <c r="G102" s="2521" t="s">
        <v>2298</v>
      </c>
      <c r="H102" s="371">
        <f ca="1">I118</f>
        <v>33847</v>
      </c>
      <c r="I102" s="138"/>
    </row>
    <row r="103" spans="1:35" ht="42.75" customHeight="1">
      <c r="A103" s="3124"/>
      <c r="B103" s="2521" t="s">
        <v>2298</v>
      </c>
      <c r="C103" s="738">
        <f ca="1">C20</f>
        <v>37570</v>
      </c>
      <c r="D103" s="739">
        <f ca="1">D20</f>
        <v>28264</v>
      </c>
      <c r="E103" s="3088" t="s">
        <v>2299</v>
      </c>
      <c r="F103" s="3089"/>
      <c r="G103" s="2522" t="s">
        <v>2300</v>
      </c>
      <c r="H103" s="1048">
        <f>IF(D36="正常操作",H104+H105+H106,H105+H106)</f>
        <v>0</v>
      </c>
      <c r="I103" s="138"/>
    </row>
    <row r="104" spans="1:35" ht="18.75" customHeight="1">
      <c r="A104" s="3124" t="s">
        <v>2301</v>
      </c>
      <c r="B104" s="2523" t="s">
        <v>2296</v>
      </c>
      <c r="C104" s="740">
        <f ca="1">H118</f>
        <v>53825</v>
      </c>
      <c r="D104" s="741"/>
      <c r="E104" s="2269" t="s">
        <v>2302</v>
      </c>
      <c r="F104" s="2260"/>
      <c r="G104" s="2522" t="s">
        <v>2300</v>
      </c>
      <c r="H104" s="1049">
        <f>IF(D36="同一抵押权人同一抵押物续贷",C36&amp;"（未扣减，详见特别提示）",C36)</f>
        <v>0</v>
      </c>
      <c r="I104" s="138"/>
    </row>
    <row r="105" spans="1:35" ht="18.75" customHeight="1" thickBot="1">
      <c r="A105" s="3136"/>
      <c r="B105" s="2524" t="s">
        <v>2298</v>
      </c>
      <c r="C105" s="742">
        <f ca="1">I118</f>
        <v>33847</v>
      </c>
      <c r="D105" s="743"/>
      <c r="E105" s="2269" t="s">
        <v>2303</v>
      </c>
      <c r="F105" s="2260"/>
      <c r="G105" s="2522" t="s">
        <v>2300</v>
      </c>
      <c r="H105" s="1049">
        <f>C37</f>
        <v>0</v>
      </c>
      <c r="I105" s="138"/>
    </row>
    <row r="106" spans="1:35" ht="18.75" customHeight="1">
      <c r="A106" s="2419" t="s">
        <v>2304</v>
      </c>
      <c r="B106" s="2419"/>
      <c r="C106" s="2419"/>
      <c r="D106" s="2419"/>
      <c r="E106" s="2525" t="s">
        <v>2305</v>
      </c>
      <c r="F106" s="2260"/>
      <c r="G106" s="2522" t="s">
        <v>2300</v>
      </c>
      <c r="H106" s="1049">
        <f>C38</f>
        <v>0</v>
      </c>
      <c r="I106" s="138"/>
    </row>
    <row r="107" spans="1:35" ht="18.75" customHeight="1">
      <c r="A107" s="138"/>
      <c r="B107" s="138"/>
      <c r="C107" s="138"/>
      <c r="D107" s="138"/>
      <c r="E107" s="3125" t="str">
        <f>IF(项目基本情况!E8="已注销","——","3.房地产抵押价值")</f>
        <v>——</v>
      </c>
      <c r="F107" s="3095"/>
      <c r="G107" s="2521" t="s">
        <v>2296</v>
      </c>
      <c r="H107" s="1048" t="str">
        <f>IF(E107="——","——",H101-H103)</f>
        <v>——</v>
      </c>
      <c r="I107" s="138"/>
    </row>
    <row r="108" spans="1:35" ht="18.75" customHeight="1">
      <c r="A108" s="138"/>
      <c r="B108" s="138"/>
      <c r="C108" s="138"/>
      <c r="D108" s="138"/>
      <c r="E108" s="3125"/>
      <c r="F108" s="3095"/>
      <c r="G108" s="2521" t="s">
        <v>2298</v>
      </c>
      <c r="H108" s="371" t="e">
        <f>ROUND(H107*10000/'数据-汇总表'!E3,0)</f>
        <v>#VALUE!</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3.抵押担保权已注销时的房地产抵押价值</v>
      </c>
      <c r="F109" s="3095"/>
      <c r="G109" s="2521" t="s">
        <v>2296</v>
      </c>
      <c r="H109" s="348">
        <f ca="1">IF(E109="——","——",H101-H105-H106)</f>
        <v>53825</v>
      </c>
      <c r="I109" s="138"/>
    </row>
    <row r="110" spans="1:35" ht="18.75" customHeight="1">
      <c r="A110" s="138"/>
      <c r="B110" s="138"/>
      <c r="C110" s="138"/>
      <c r="D110" s="138"/>
      <c r="E110" s="3125"/>
      <c r="F110" s="3095"/>
      <c r="G110" s="2521" t="s">
        <v>2298</v>
      </c>
      <c r="H110" s="371">
        <f ca="1">IF(H109="——","——",ROUND(H109*10000/'数据-汇总表'!E3,0))</f>
        <v>33847</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1" t="s">
        <v>2296</v>
      </c>
      <c r="H111" s="1048" t="str">
        <f>IF(E111="——","——",N59)</f>
        <v>——</v>
      </c>
      <c r="I111" s="138"/>
    </row>
    <row r="112" spans="1:35" ht="18.75" customHeight="1" thickBot="1">
      <c r="A112" s="138"/>
      <c r="B112" s="138"/>
      <c r="C112" s="138"/>
      <c r="D112" s="138"/>
      <c r="E112" s="3128"/>
      <c r="F112" s="3129"/>
      <c r="G112" s="2526" t="s">
        <v>2298</v>
      </c>
      <c r="H112" s="790" t="str">
        <f>IF(E111="——","——",N61)</f>
        <v>——</v>
      </c>
      <c r="I112" s="138"/>
    </row>
    <row r="113" spans="1:11" ht="18.75" customHeight="1">
      <c r="A113" s="138"/>
      <c r="B113" s="138"/>
      <c r="C113" s="138"/>
      <c r="D113" s="138"/>
      <c r="E113" s="3137" t="s">
        <v>2304</v>
      </c>
      <c r="F113" s="3137"/>
      <c r="G113" s="3137"/>
      <c r="H113" s="3137"/>
      <c r="I113" s="138"/>
    </row>
    <row r="114" spans="1:11" ht="3.75" customHeight="1">
      <c r="A114" s="2419"/>
      <c r="B114" s="2419"/>
      <c r="C114" s="2419"/>
      <c r="D114" s="2419"/>
      <c r="E114" s="2497"/>
      <c r="F114" s="2497"/>
      <c r="G114" s="2497"/>
      <c r="H114" s="2497"/>
      <c r="I114" s="2419"/>
    </row>
    <row r="115" spans="1:11" ht="18.75" customHeight="1">
      <c r="A115" s="3150" t="s">
        <v>2306</v>
      </c>
      <c r="B115" s="3151"/>
      <c r="C115" s="3151"/>
      <c r="D115" s="3151"/>
      <c r="E115" s="3151"/>
      <c r="F115" s="3151"/>
      <c r="G115" s="3151"/>
      <c r="H115" s="3151"/>
      <c r="I115" s="3152"/>
    </row>
    <row r="116" spans="1:11" ht="27" customHeight="1">
      <c r="A116" s="3061" t="s">
        <v>2307</v>
      </c>
      <c r="B116" s="3104" t="s">
        <v>2308</v>
      </c>
      <c r="C116" s="3104" t="s">
        <v>2309</v>
      </c>
      <c r="D116" s="3110" t="s">
        <v>2310</v>
      </c>
      <c r="E116" s="3111"/>
      <c r="F116" s="3146" t="s">
        <v>2311</v>
      </c>
      <c r="G116" s="3146"/>
      <c r="H116" s="3061" t="s">
        <v>2312</v>
      </c>
      <c r="I116" s="3061"/>
    </row>
    <row r="117" spans="1:11" ht="18.75" customHeight="1">
      <c r="A117" s="3061"/>
      <c r="B117" s="3105"/>
      <c r="C117" s="3105"/>
      <c r="D117" s="1798" t="s">
        <v>2313</v>
      </c>
      <c r="E117" s="1798" t="s">
        <v>2314</v>
      </c>
      <c r="F117" s="1798" t="s">
        <v>2313</v>
      </c>
      <c r="G117" s="1798" t="s">
        <v>2315</v>
      </c>
      <c r="H117" s="1798" t="s">
        <v>2313</v>
      </c>
      <c r="I117" s="1798" t="s">
        <v>2315</v>
      </c>
    </row>
    <row r="118" spans="1:11" ht="24.75" customHeight="1">
      <c r="A118" s="2527" t="str">
        <f>项目基本情况!S2</f>
        <v>北京市北京市丰台区南四环西路188号十六区18号楼1至15层101出让国有建设用地使用权及在建建筑物房地产</v>
      </c>
      <c r="B118" s="1798">
        <f>M18</f>
        <v>15902.38</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53825</v>
      </c>
      <c r="I118" s="1798">
        <f ca="1">ROUND(IF(D32="楼面单价",C32,H118*10000/B118),0)</f>
        <v>33847</v>
      </c>
    </row>
    <row r="119" spans="1:11" ht="18.75" customHeight="1">
      <c r="A119" s="3061" t="s">
        <v>2316</v>
      </c>
      <c r="B119" s="3061"/>
      <c r="C119" s="3061"/>
      <c r="D119" s="3106" t="e">
        <f ca="1">NUMBERSTRING(INT(D118*10000),2)&amp;"元整"</f>
        <v>#REF!</v>
      </c>
      <c r="E119" s="3107"/>
      <c r="F119" s="3106" t="e">
        <f ca="1">NUMBERSTRING(INT(F118*10000),2)&amp;"元整"</f>
        <v>#REF!</v>
      </c>
      <c r="G119" s="3107"/>
      <c r="H119" s="3106" t="str">
        <f ca="1">NUMBERSTRING(INT(H118*10000),2)&amp;"元整"</f>
        <v>伍亿叁仟捌佰贰拾伍万元整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4" t="str">
        <f>IF(D120=0,"故，本次评估不存在"&amp;A120,"故，本次评估"&amp;A120&amp;"为人民币"&amp;D120&amp;"万元整。")</f>
        <v>故，本次评估不存在估价师知悉的法定优先受偿款</v>
      </c>
    </row>
    <row r="121" spans="1:11" ht="18.75" customHeight="1">
      <c r="A121" s="3147" t="s">
        <v>2316</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
      </c>
      <c r="B122" s="3112"/>
      <c r="C122" s="3112"/>
      <c r="D122" s="3101" t="str">
        <f>H107</f>
        <v>——</v>
      </c>
      <c r="E122" s="3102"/>
      <c r="F122" s="3102"/>
      <c r="G122" s="3102"/>
      <c r="H122" s="3102"/>
      <c r="I122" s="3103"/>
    </row>
    <row r="123" spans="1:11" ht="18.75" customHeight="1">
      <c r="A123" s="3061" t="s">
        <v>2316</v>
      </c>
      <c r="B123" s="3061"/>
      <c r="C123" s="3061"/>
      <c r="D123" s="3106" t="e">
        <f>NUMBERSTRING(INT(D122*10000),2)&amp;"元整"</f>
        <v>#VALUE!</v>
      </c>
      <c r="E123" s="3108"/>
      <c r="F123" s="3108"/>
      <c r="G123" s="3108"/>
      <c r="H123" s="3108"/>
      <c r="I123" s="3107"/>
    </row>
    <row r="124" spans="1:11" ht="18.75" customHeight="1">
      <c r="A124" s="3112" t="str">
        <f>IF(项目基本情况!B9="房地产市场价值","",MID(E109,3,LEN(E109)-2))</f>
        <v>抵押担保权已注销时的房地产抵押价值</v>
      </c>
      <c r="B124" s="3112"/>
      <c r="C124" s="3112"/>
      <c r="D124" s="3101">
        <f ca="1">H109</f>
        <v>53825</v>
      </c>
      <c r="E124" s="3102"/>
      <c r="F124" s="3102"/>
      <c r="G124" s="3102"/>
      <c r="H124" s="3102"/>
      <c r="I124" s="3103"/>
    </row>
    <row r="125" spans="1:11" ht="18.75" customHeight="1">
      <c r="A125" s="3061" t="s">
        <v>2316</v>
      </c>
      <c r="B125" s="3061"/>
      <c r="C125" s="3061"/>
      <c r="D125" s="3106" t="str">
        <f ca="1">NUMBERSTRING(INT(D124*10000),2)&amp;"元整"</f>
        <v>伍亿叁仟捌佰贰拾伍万元整</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2316</v>
      </c>
      <c r="B127" s="3061"/>
      <c r="C127" s="3061"/>
      <c r="D127" s="3106" t="e">
        <f>NUMBERSTRING(INT(D126*10000),2)&amp;"元整"</f>
        <v>#VALUE!</v>
      </c>
      <c r="E127" s="3108"/>
      <c r="F127" s="3108"/>
      <c r="G127" s="3108"/>
      <c r="H127" s="3108"/>
      <c r="I127" s="3107"/>
    </row>
    <row r="128" spans="1:11" ht="21.75" customHeight="1">
      <c r="A128" s="3109" t="s">
        <v>2317</v>
      </c>
      <c r="B128" s="3109"/>
      <c r="C128" s="3109"/>
      <c r="D128" s="3109"/>
      <c r="E128" s="3109"/>
      <c r="F128" s="3109"/>
      <c r="G128" s="3109"/>
      <c r="H128" s="3109"/>
      <c r="I128" s="3109"/>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7</v>
      </c>
    </row>
    <row r="2" spans="1:9" s="244" customFormat="1" ht="18" customHeight="1">
      <c r="A2" s="245" t="s">
        <v>2326</v>
      </c>
      <c r="B2" s="246">
        <f ca="1">IF(D2="——",C52,C52-E2)</f>
        <v>6443</v>
      </c>
      <c r="C2" s="243" t="s">
        <v>2327</v>
      </c>
      <c r="D2" s="2550" t="s">
        <v>70</v>
      </c>
      <c r="E2" s="1443"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4052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3"/>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4"/>
      <c r="H9" s="1393"/>
      <c r="I9" s="2555"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15902.38</v>
      </c>
      <c r="E10" s="269">
        <f>'数据-取费表'!B28</f>
        <v>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0</v>
      </c>
      <c r="D19" s="1039">
        <f ca="1">D9+D10</f>
        <v>15902.38</v>
      </c>
      <c r="E19" s="255">
        <f>'数据-取费表'!B31</f>
        <v>0</v>
      </c>
      <c r="F19" s="275"/>
      <c r="G19" s="2553"/>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0</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0</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0</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0</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5304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4771</v>
      </c>
      <c r="D34" s="261"/>
      <c r="E34" s="264"/>
      <c r="F34" s="301">
        <f ca="1">IF('数据-取费表'!B24=0,1,IF(B1="",'数据-取费表'!N16,INDIRECT("'数据-取费表'!n"&amp;$G$1)))</f>
        <v>1</v>
      </c>
      <c r="G34" s="263" t="s">
        <v>2390</v>
      </c>
    </row>
    <row r="35" spans="1:7" ht="13.5" customHeight="1">
      <c r="A35" s="954" t="s">
        <v>796</v>
      </c>
      <c r="B35" s="259" t="s">
        <v>2391</v>
      </c>
      <c r="C35" s="264">
        <f ca="1">ROUND(C34*F35,0)</f>
        <v>143</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318</v>
      </c>
      <c r="D37" s="261">
        <f ca="1">D19</f>
        <v>15902.38</v>
      </c>
      <c r="E37" s="293">
        <f>'数据-取费表'!B35</f>
        <v>200</v>
      </c>
      <c r="F37" s="303"/>
      <c r="G37" s="305" t="s">
        <v>2396</v>
      </c>
    </row>
    <row r="38" spans="1:7" ht="13.5" customHeight="1">
      <c r="A38" s="954" t="s">
        <v>799</v>
      </c>
      <c r="B38" s="259" t="s">
        <v>2397</v>
      </c>
      <c r="C38" s="264">
        <f ca="1">ROUND(C34*F38,0)</f>
        <v>72</v>
      </c>
      <c r="D38" s="264"/>
      <c r="E38" s="264"/>
      <c r="F38" s="303">
        <f>'数据-取费表'!B36</f>
        <v>1.4999999999999999E-2</v>
      </c>
      <c r="G38" s="263" t="s">
        <v>2392</v>
      </c>
    </row>
    <row r="39" spans="1:7" s="258" customFormat="1" ht="13.5" customHeight="1">
      <c r="A39" s="299" t="s">
        <v>2398</v>
      </c>
      <c r="B39" s="254" t="s">
        <v>2399</v>
      </c>
      <c r="C39" s="276">
        <f ca="1">ROUND(C33*F20,0)</f>
        <v>106</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257</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252</v>
      </c>
      <c r="D42" s="282"/>
      <c r="E42" s="282"/>
      <c r="F42" s="283"/>
      <c r="G42" s="3181" t="s">
        <v>2408</v>
      </c>
    </row>
    <row r="43" spans="1:7" ht="13.5" customHeight="1">
      <c r="A43" s="954" t="s">
        <v>792</v>
      </c>
      <c r="B43" s="259" t="s">
        <v>2409</v>
      </c>
      <c r="C43" s="282">
        <f ca="1">ROUND(IF('数据-取费表'!B22&lt;=1,C39*F22*'数据-取费表'!B21/2,C39*(POWER((1+F22),'数据-取费表'!B21/2)-1)),0)</f>
        <v>5</v>
      </c>
      <c r="D43" s="282"/>
      <c r="E43" s="282"/>
      <c r="F43" s="283"/>
      <c r="G43" s="3182"/>
    </row>
    <row r="44" spans="1:7" ht="13.5" customHeight="1">
      <c r="A44" s="954" t="s">
        <v>793</v>
      </c>
      <c r="B44" s="259" t="s">
        <v>2410</v>
      </c>
      <c r="C44" s="282">
        <f ca="1">ROUND(IF('数据-取费表'!B22&lt;=1,C40*F22*'数据-取费表'!B21/2,C40*(POWER((1+F22),'数据-取费表'!B21/2)-1)),4)</f>
        <v>1E-3</v>
      </c>
      <c r="D44" s="282"/>
      <c r="E44" s="282"/>
      <c r="F44" s="283"/>
      <c r="G44" s="3183"/>
    </row>
    <row r="45" spans="1:7" s="258" customFormat="1" ht="13.5" customHeight="1">
      <c r="A45" s="299" t="s">
        <v>2411</v>
      </c>
      <c r="B45" s="288" t="s">
        <v>2377</v>
      </c>
      <c r="C45" s="289">
        <f ca="1">C46</f>
        <v>1082</v>
      </c>
      <c r="D45" s="279">
        <f ca="1">C47</f>
        <v>4.0000000000000001E-3</v>
      </c>
      <c r="E45" s="280" t="s">
        <v>2403</v>
      </c>
      <c r="F45" s="290"/>
      <c r="G45" s="291" t="s">
        <v>2412</v>
      </c>
    </row>
    <row r="46" spans="1:7" s="258" customFormat="1" ht="13.5" customHeight="1">
      <c r="A46" s="954" t="s">
        <v>791</v>
      </c>
      <c r="B46" s="292" t="s">
        <v>2413</v>
      </c>
      <c r="C46" s="293">
        <f ca="1">ROUND((C33+C39)*F27,0)</f>
        <v>1082</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7322</v>
      </c>
      <c r="D49" s="276"/>
      <c r="E49" s="276"/>
      <c r="F49" s="308"/>
      <c r="G49" s="278" t="s">
        <v>2418</v>
      </c>
    </row>
    <row r="50" spans="1:7" s="302" customFormat="1" ht="24">
      <c r="A50" s="299" t="s">
        <v>2419</v>
      </c>
      <c r="B50" s="254" t="s">
        <v>2420</v>
      </c>
      <c r="C50" s="276"/>
      <c r="D50" s="276"/>
      <c r="E50" s="276"/>
      <c r="F50" s="308">
        <f>IF('数据-取费表'!B24=0,'数据-取费表'!N16,1)</f>
        <v>0.88</v>
      </c>
      <c r="G50" s="291" t="s">
        <v>2421</v>
      </c>
    </row>
    <row r="51" spans="1:7" ht="16.5" customHeight="1">
      <c r="A51" s="299" t="s">
        <v>2422</v>
      </c>
      <c r="B51" s="254" t="s">
        <v>2423</v>
      </c>
      <c r="C51" s="276">
        <f ca="1">ROUND(C49*F50,0)</f>
        <v>6443</v>
      </c>
      <c r="D51" s="276"/>
      <c r="E51" s="276"/>
      <c r="F51" s="308"/>
      <c r="G51" s="278" t="s">
        <v>2424</v>
      </c>
    </row>
    <row r="52" spans="1:7" s="252" customFormat="1" ht="16.5" thickBot="1">
      <c r="A52" s="309" t="s">
        <v>2425</v>
      </c>
      <c r="B52" s="310"/>
      <c r="C52" s="311">
        <f ca="1">C31+C51</f>
        <v>6443</v>
      </c>
      <c r="D52" s="310"/>
      <c r="E52" s="310"/>
      <c r="F52" s="310"/>
      <c r="G52" s="312"/>
    </row>
    <row r="55" spans="1:7" ht="15">
      <c r="B55" s="314" t="s">
        <v>2426</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5" t="str">
        <f>项目基本情况!B1</f>
        <v>北京市北京市丰台区南四环西路188号十六区18号楼1至15层101出让国有建设用地使用权及在建建筑物房地产抵押价值预评估</v>
      </c>
      <c r="C37" s="2995"/>
      <c r="D37" s="2995"/>
      <c r="E37" s="2995"/>
      <c r="F37" s="2995"/>
      <c r="G37" s="2995"/>
      <c r="H37" s="2995"/>
      <c r="I37" s="299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康正预评字2018-1-0685号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6"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6443</v>
      </c>
      <c r="C2" s="243" t="s">
        <v>2327</v>
      </c>
      <c r="D2" s="2550" t="s">
        <v>70</v>
      </c>
      <c r="E2" s="1443"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4052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0</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0</v>
      </c>
      <c r="D10" s="1035">
        <f ca="1">IF(B1="",'数据-汇总表'!E6,IF(INDIRECT("'数据-取费表'!c"&amp;$G$1)="住宅",INDIRECT("'数据-取费表'!s"&amp;$G$1),INDIRECT("'数据-取费表'!k"&amp;$G$1)+INDIRECT("'数据-取费表'!s"&amp;$G$1)))</f>
        <v>15902.38</v>
      </c>
      <c r="E10" s="269">
        <f>'数据-取费表'!B28</f>
        <v>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0</v>
      </c>
      <c r="D19" s="1039">
        <f ca="1">D9+D10</f>
        <v>15902.38</v>
      </c>
      <c r="E19" s="255">
        <f>'数据-取费表'!B31</f>
        <v>0</v>
      </c>
      <c r="F19" s="275"/>
      <c r="G19" s="2553"/>
    </row>
    <row r="20" spans="1:7" s="258" customFormat="1" ht="13.5" customHeight="1">
      <c r="A20" s="299" t="s">
        <v>2438</v>
      </c>
      <c r="B20" s="254" t="s">
        <v>2439</v>
      </c>
      <c r="C20" s="276">
        <f ca="1">ROUND((C5+C19)*F20,0)</f>
        <v>0</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0</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0</v>
      </c>
      <c r="D24" s="282"/>
      <c r="E24" s="282"/>
      <c r="F24" s="283"/>
      <c r="G24" s="284" t="s">
        <v>2450</v>
      </c>
    </row>
    <row r="25" spans="1:7" s="258" customFormat="1" ht="24">
      <c r="A25" s="954" t="s">
        <v>2340</v>
      </c>
      <c r="B25" s="259" t="s">
        <v>2451</v>
      </c>
      <c r="C25" s="1384">
        <f ca="1">ROUND(IF('数据-取费表'!B22&lt;=1,C20*F22*'数据-取费表'!B22/2,C20*(POWER((1+F22),'数据-取费表'!B22/2)-1)),0)</f>
        <v>0</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0</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0</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0</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53034437</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47707140</v>
      </c>
      <c r="D34" s="261"/>
      <c r="E34" s="264"/>
      <c r="F34" s="301"/>
      <c r="G34" s="263"/>
    </row>
    <row r="35" spans="1:7" ht="13.5" customHeight="1">
      <c r="A35" s="954" t="s">
        <v>796</v>
      </c>
      <c r="B35" s="259" t="s">
        <v>2391</v>
      </c>
      <c r="C35" s="264">
        <f ca="1">ROUND(C34*F35,0)</f>
        <v>1431214</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3180476</v>
      </c>
      <c r="D37" s="261">
        <f ca="1">D19</f>
        <v>15902.38</v>
      </c>
      <c r="E37" s="293">
        <f>'数据-取费表'!B35</f>
        <v>200</v>
      </c>
      <c r="F37" s="303"/>
      <c r="G37" s="305"/>
    </row>
    <row r="38" spans="1:7" ht="13.5" customHeight="1">
      <c r="A38" s="954" t="s">
        <v>799</v>
      </c>
      <c r="B38" s="259" t="s">
        <v>2397</v>
      </c>
      <c r="C38" s="264">
        <f ca="1">ROUND(C34*F38,0)</f>
        <v>715607</v>
      </c>
      <c r="D38" s="264"/>
      <c r="E38" s="264"/>
      <c r="F38" s="303">
        <f>'数据-取费表'!B36</f>
        <v>1.4999999999999999E-2</v>
      </c>
      <c r="G38" s="263" t="s">
        <v>2392</v>
      </c>
    </row>
    <row r="39" spans="1:7" s="258" customFormat="1" ht="13.5" customHeight="1">
      <c r="A39" s="299" t="s">
        <v>2398</v>
      </c>
      <c r="B39" s="254" t="s">
        <v>2399</v>
      </c>
      <c r="C39" s="276">
        <f ca="1">ROUND(C33*F20,0)</f>
        <v>1060689</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2569519</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2519136</v>
      </c>
      <c r="D42" s="282"/>
      <c r="E42" s="282"/>
      <c r="F42" s="283"/>
      <c r="G42" s="3181" t="s">
        <v>2455</v>
      </c>
    </row>
    <row r="43" spans="1:7" ht="13.5" customHeight="1">
      <c r="A43" s="954" t="s">
        <v>792</v>
      </c>
      <c r="B43" s="259" t="s">
        <v>2409</v>
      </c>
      <c r="C43" s="282">
        <f ca="1">ROUND(IF('数据-取费表'!B22&lt;=1,C39*F22*'数据-取费表'!B20/2,C39*(POWER((1+F22),'数据-取费表'!B20/2)-1)),0)</f>
        <v>50383</v>
      </c>
      <c r="D43" s="282"/>
      <c r="E43" s="282"/>
      <c r="F43" s="283"/>
      <c r="G43" s="3182"/>
    </row>
    <row r="44" spans="1:7" ht="13.5" customHeight="1">
      <c r="A44" s="954" t="s">
        <v>793</v>
      </c>
      <c r="B44" s="259" t="s">
        <v>2410</v>
      </c>
      <c r="C44" s="282">
        <f ca="1">ROUND(IF('数据-取费表'!B22&lt;=1,C40*F22*'数据-取费表'!B20/2,C40*(POWER((1+F22),'数据-取费表'!B20/2)-1)),4)</f>
        <v>1E-3</v>
      </c>
      <c r="D44" s="282"/>
      <c r="E44" s="282"/>
      <c r="F44" s="283"/>
      <c r="G44" s="3183"/>
    </row>
    <row r="45" spans="1:7" s="258" customFormat="1" ht="13.5" customHeight="1">
      <c r="A45" s="299" t="s">
        <v>2411</v>
      </c>
      <c r="B45" s="288" t="s">
        <v>2377</v>
      </c>
      <c r="C45" s="289">
        <f ca="1">C46</f>
        <v>10819025</v>
      </c>
      <c r="D45" s="279">
        <f ca="1">C47</f>
        <v>4.0000000000000001E-3</v>
      </c>
      <c r="E45" s="280" t="s">
        <v>2403</v>
      </c>
      <c r="F45" s="290"/>
      <c r="G45" s="291" t="s">
        <v>2412</v>
      </c>
    </row>
    <row r="46" spans="1:7" s="258" customFormat="1" ht="13.5" customHeight="1">
      <c r="A46" s="954" t="s">
        <v>791</v>
      </c>
      <c r="B46" s="292" t="s">
        <v>2413</v>
      </c>
      <c r="C46" s="293">
        <f ca="1">ROUND((C33+C39)*F27,0)</f>
        <v>10819025</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73216524</v>
      </c>
      <c r="D49" s="276"/>
      <c r="E49" s="276"/>
      <c r="F49" s="308"/>
      <c r="G49" s="278" t="s">
        <v>2418</v>
      </c>
    </row>
    <row r="50" spans="1:7" s="302" customFormat="1">
      <c r="A50" s="299" t="s">
        <v>2419</v>
      </c>
      <c r="B50" s="254" t="s">
        <v>2420</v>
      </c>
      <c r="C50" s="276"/>
      <c r="D50" s="276"/>
      <c r="E50" s="276"/>
      <c r="F50" s="308">
        <f>IF('数据-取费表'!B24=0,'数据-取费表'!N16,1)</f>
        <v>0.88</v>
      </c>
      <c r="G50" s="291"/>
    </row>
    <row r="51" spans="1:7" ht="16.5" customHeight="1">
      <c r="A51" s="299" t="s">
        <v>2422</v>
      </c>
      <c r="B51" s="254" t="s">
        <v>2457</v>
      </c>
      <c r="C51" s="276">
        <f ca="1">ROUND(C49*F50,0)</f>
        <v>64430541</v>
      </c>
      <c r="D51" s="276"/>
      <c r="E51" s="276"/>
      <c r="F51" s="308"/>
      <c r="G51" s="278" t="s">
        <v>2424</v>
      </c>
    </row>
    <row r="52" spans="1:7" s="252" customFormat="1" ht="16.5" thickBot="1">
      <c r="A52" s="309" t="s">
        <v>2425</v>
      </c>
      <c r="B52" s="310"/>
      <c r="C52" s="311">
        <f ca="1">C31+C51</f>
        <v>64430541</v>
      </c>
      <c r="D52" s="310"/>
      <c r="E52" s="310"/>
      <c r="F52" s="310"/>
      <c r="G52" s="312"/>
    </row>
    <row r="55" spans="1:7" ht="15">
      <c r="B55" s="314" t="s">
        <v>2426</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-378</v>
      </c>
      <c r="C2" s="320" t="s">
        <v>2459</v>
      </c>
      <c r="D2" s="320"/>
      <c r="E2" s="320"/>
      <c r="F2" s="320"/>
      <c r="G2" s="320"/>
      <c r="H2" s="320"/>
      <c r="I2" s="320"/>
      <c r="J2" s="320"/>
      <c r="K2" s="320"/>
    </row>
    <row r="3" spans="1:33" ht="18" customHeight="1" thickBot="1">
      <c r="A3" s="247" t="s">
        <v>2328</v>
      </c>
      <c r="B3" s="248">
        <f ca="1">ROUND(B2*10000/IF(C1="",'数据-汇总表'!E3,INDIRECT("'数据-取费表'!K"&amp;$K$1)),0)</f>
        <v>-238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15902.38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318</v>
      </c>
      <c r="D17" s="1036">
        <f ca="1">D14</f>
        <v>15902.38</v>
      </c>
      <c r="E17" s="24">
        <f>'数据-取费表'!B32</f>
        <v>200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9"/>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0</v>
      </c>
      <c r="D20" s="1036">
        <f ca="1">IF(C1="",'数据-汇总表'!E6,IF(INDIRECT("'数据-取费表'!c"&amp;$K$1)="住宅",INDIRECT("'数据-取费表'!s"&amp;$K$1),INDIRECT("'数据-取费表'!k"&amp;$K$1)+INDIRECT("'数据-取费表'!s"&amp;$K$1)))</f>
        <v>15902.38</v>
      </c>
      <c r="E20" s="24">
        <f>'数据-取费表'!B28</f>
        <v>0</v>
      </c>
      <c r="F20" s="979"/>
      <c r="G20" s="15"/>
      <c r="H20" s="984"/>
      <c r="I20" s="984"/>
      <c r="J20" s="984"/>
      <c r="K20" s="985"/>
    </row>
    <row r="21" spans="1:33" s="978" customFormat="1" ht="13.5" customHeight="1">
      <c r="A21" s="964" t="s">
        <v>802</v>
      </c>
      <c r="B21" s="988" t="s">
        <v>2495</v>
      </c>
      <c r="C21" s="989">
        <f ca="1">C16+C17+C18</f>
        <v>318</v>
      </c>
      <c r="D21" s="990"/>
      <c r="E21" s="325"/>
      <c r="F21" s="325"/>
      <c r="G21" s="140" t="s">
        <v>2496</v>
      </c>
      <c r="H21" s="982"/>
      <c r="I21" s="982"/>
      <c r="J21" s="982"/>
      <c r="K21" s="983"/>
    </row>
    <row r="22" spans="1:33" s="978" customFormat="1" ht="13.5" customHeight="1">
      <c r="A22" s="964" t="s">
        <v>2468</v>
      </c>
      <c r="B22" s="988" t="s">
        <v>2497</v>
      </c>
      <c r="C22" s="989">
        <f ca="1">ROUND(C21*F22,0)</f>
        <v>6</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65</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65</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-378</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3075</v>
      </c>
      <c r="D1" s="1823" t="s">
        <v>70</v>
      </c>
      <c r="E1" s="1824" t="s">
        <v>1387</v>
      </c>
      <c r="F1" s="1286">
        <f ca="1">J53</f>
        <v>35.94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44946</v>
      </c>
      <c r="C2" s="1848" t="s">
        <v>1515</v>
      </c>
      <c r="D2" s="1848"/>
      <c r="E2" s="1849"/>
      <c r="F2" s="1850"/>
      <c r="G2" s="1851"/>
      <c r="H2" s="1843"/>
      <c r="I2" s="1843"/>
      <c r="J2" s="1843"/>
      <c r="K2" s="1844"/>
      <c r="L2" s="1843"/>
      <c r="M2" s="1843"/>
    </row>
    <row r="3" spans="1:37" ht="18" customHeight="1" thickBot="1">
      <c r="A3" s="1852" t="s">
        <v>1516</v>
      </c>
      <c r="B3" s="1853">
        <f ca="1">IF(ISERROR(B2*10000/F43),0,ROUND(B2*10000/F43,0))</f>
        <v>28264</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2209</v>
      </c>
      <c r="D5" s="1825" t="s">
        <v>1402</v>
      </c>
      <c r="E5" s="1296"/>
      <c r="F5" s="1297"/>
      <c r="G5" s="1854"/>
      <c r="H5" s="344">
        <v>1</v>
      </c>
      <c r="I5" s="345" t="s">
        <v>1401</v>
      </c>
      <c r="J5" s="1295">
        <f ca="1">J6+J10+J12</f>
        <v>0</v>
      </c>
      <c r="K5" s="1825" t="s">
        <v>1402</v>
      </c>
      <c r="L5" s="1296"/>
      <c r="M5" s="1297"/>
    </row>
    <row r="6" spans="1:37" ht="18" customHeight="1">
      <c r="A6" s="1294" t="s">
        <v>1035</v>
      </c>
      <c r="B6" s="3186" t="s">
        <v>1403</v>
      </c>
      <c r="C6" s="1299">
        <f ca="1">ROUND(F6*F8*F7*(1-F9)/10000,0)</f>
        <v>2206</v>
      </c>
      <c r="D6" s="164" t="s">
        <v>3033</v>
      </c>
      <c r="E6" s="347" t="s">
        <v>1405</v>
      </c>
      <c r="F6" s="348">
        <f ca="1">INDIRECT("'数据-取费表'!u"&amp;$G$1)</f>
        <v>4</v>
      </c>
      <c r="G6" s="1854"/>
      <c r="H6" s="1294" t="s">
        <v>1035</v>
      </c>
      <c r="I6" s="3186" t="s">
        <v>1403</v>
      </c>
      <c r="J6" s="346">
        <f ca="1">ROUND(M6*M8*M7*(1-M9)/10000,0)</f>
        <v>0</v>
      </c>
      <c r="K6" s="164" t="s">
        <v>3032</v>
      </c>
      <c r="L6" s="347" t="s">
        <v>1405</v>
      </c>
      <c r="M6" s="348">
        <f ca="1">INDIRECT("'数据-取费表'!z"&amp;$G$1)</f>
        <v>0</v>
      </c>
    </row>
    <row r="7" spans="1:37" ht="18" customHeight="1">
      <c r="A7" s="1298"/>
      <c r="B7" s="3187"/>
      <c r="C7" s="1300"/>
      <c r="D7" s="352"/>
      <c r="E7" s="1301" t="s">
        <v>1406</v>
      </c>
      <c r="F7" s="348">
        <f ca="1">IF(INDIRECT("'数据-取费表'!ah"&amp;$G$1)="",INDIRECT("'数据-取费表'!k"&amp;$G$1),INDIRECT("'数据-取费表'!ah"&amp;$G$1))</f>
        <v>15902.38</v>
      </c>
      <c r="G7" s="1854"/>
      <c r="H7" s="349"/>
      <c r="I7" s="3187"/>
      <c r="J7" s="351"/>
      <c r="K7" s="352"/>
      <c r="L7" s="347" t="s">
        <v>1406</v>
      </c>
      <c r="M7" s="348">
        <f ca="1">F7</f>
        <v>15902.38</v>
      </c>
    </row>
    <row r="8" spans="1:37" ht="18" customHeight="1">
      <c r="A8" s="349"/>
      <c r="B8" s="3187"/>
      <c r="C8" s="351"/>
      <c r="D8" s="352"/>
      <c r="E8" s="347" t="s">
        <v>1407</v>
      </c>
      <c r="F8" s="348">
        <f ca="1">INDIRECT("'数据-取费表'!ai"&amp;$G$1)</f>
        <v>365</v>
      </c>
      <c r="G8" s="1854"/>
      <c r="H8" s="349"/>
      <c r="I8" s="3187"/>
      <c r="J8" s="351"/>
      <c r="K8" s="352"/>
      <c r="L8" s="347" t="s">
        <v>1407</v>
      </c>
      <c r="M8" s="348">
        <f ca="1">INDIRECT("'数据-取费表'!ai"&amp;$G$1)</f>
        <v>365</v>
      </c>
    </row>
    <row r="9" spans="1:37" ht="18" customHeight="1">
      <c r="A9" s="349"/>
      <c r="B9" s="3188"/>
      <c r="C9" s="351"/>
      <c r="D9" s="352"/>
      <c r="E9" s="347" t="s">
        <v>1408</v>
      </c>
      <c r="F9" s="357">
        <f ca="1">INDIRECT("'数据-取费表'!w"&amp;$G$1)</f>
        <v>0.05</v>
      </c>
      <c r="G9" s="1854"/>
      <c r="H9" s="349"/>
      <c r="I9" s="31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3042</v>
      </c>
      <c r="E10" s="358" t="s">
        <v>1410</v>
      </c>
      <c r="F10" s="1369" t="s">
        <v>3232</v>
      </c>
      <c r="G10" s="1854"/>
      <c r="H10" s="1294" t="s">
        <v>1039</v>
      </c>
      <c r="I10" s="1826" t="s">
        <v>1409</v>
      </c>
      <c r="J10" s="346">
        <f ca="1">ROUND(IF(M10="押一",J6/12*M11,IF(M10="押二",J6/12*2*M11,IF(M10="押三",J6/12*3*M11,J11*M11))),0)</f>
        <v>0</v>
      </c>
      <c r="K10" s="1827" t="s">
        <v>3041</v>
      </c>
      <c r="L10" s="358" t="s">
        <v>1410</v>
      </c>
      <c r="M10" s="1369" t="s">
        <v>3232</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6443</v>
      </c>
      <c r="D13" s="1334" t="s">
        <v>1414</v>
      </c>
      <c r="E13" s="1334" t="s">
        <v>1415</v>
      </c>
      <c r="F13" s="1335">
        <f ca="1">INDIRECT("'数据-取费表'!y"&amp;$G$1)</f>
        <v>0.88</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4771</v>
      </c>
      <c r="D14" s="1803" t="s">
        <v>1417</v>
      </c>
      <c r="E14" s="1797"/>
      <c r="F14" s="364"/>
      <c r="G14" s="1854"/>
      <c r="H14" s="1204" t="s">
        <v>1035</v>
      </c>
      <c r="I14" s="347" t="s">
        <v>1418</v>
      </c>
      <c r="J14" s="24">
        <f ca="1">C29</f>
        <v>7322</v>
      </c>
      <c r="K14" s="15"/>
      <c r="L14" s="982"/>
      <c r="M14" s="983"/>
    </row>
    <row r="15" spans="1:37" s="1861" customFormat="1" ht="18" customHeight="1" thickBot="1">
      <c r="A15" s="1204" t="s">
        <v>1036</v>
      </c>
      <c r="B15" s="347" t="s">
        <v>1419</v>
      </c>
      <c r="C15" s="24">
        <f ca="1">ROUND(C14*F15,0)</f>
        <v>143</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110</v>
      </c>
      <c r="K16" s="1340" t="s">
        <v>1424</v>
      </c>
      <c r="L16" s="1341"/>
      <c r="M16" s="1297"/>
    </row>
    <row r="17" spans="1:37" s="1861" customFormat="1" ht="18" customHeight="1">
      <c r="A17" s="1204" t="s">
        <v>1390</v>
      </c>
      <c r="B17" s="347" t="s">
        <v>1425</v>
      </c>
      <c r="C17" s="24">
        <f ca="1">ROUND(F17*(F43+INDIRECT("'数据-取费表'!S"&amp;$G$1))/10000,0)</f>
        <v>318</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72</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5304</v>
      </c>
      <c r="D19" s="140" t="s">
        <v>1435</v>
      </c>
      <c r="E19" s="1821"/>
      <c r="F19" s="26"/>
      <c r="G19" s="1854"/>
      <c r="H19" s="1204" t="s">
        <v>1036</v>
      </c>
      <c r="I19" s="347" t="s">
        <v>1436</v>
      </c>
      <c r="J19" s="24">
        <f ca="1">IF(K19="按租金收入计税",ROUND(J5*M19,2),ROUND(C29*M19*0.7,2))</f>
        <v>0</v>
      </c>
      <c r="K19" s="1831" t="s">
        <v>3233</v>
      </c>
      <c r="L19" s="347" t="s">
        <v>1421</v>
      </c>
      <c r="M19" s="367">
        <f>IF(K19="按租金收入计税",'数据-取费表'!B51,'数据-取费表'!B50)</f>
        <v>0.12</v>
      </c>
    </row>
    <row r="20" spans="1:37" s="1861" customFormat="1" ht="18" customHeight="1">
      <c r="A20" s="1204" t="s">
        <v>1039</v>
      </c>
      <c r="B20" s="347" t="s">
        <v>1438</v>
      </c>
      <c r="C20" s="24">
        <f ca="1">ROUND(C19*F20,0)</f>
        <v>106</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109.8</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0</v>
      </c>
      <c r="K24" s="1345" t="s">
        <v>1458</v>
      </c>
      <c r="L24" s="1343" t="s">
        <v>1454</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-110</v>
      </c>
      <c r="K25" s="1348" t="s">
        <v>1463</v>
      </c>
      <c r="L25" s="1349"/>
      <c r="M25" s="1350"/>
    </row>
    <row r="26" spans="1:37">
      <c r="A26" s="1204" t="s">
        <v>1034</v>
      </c>
      <c r="B26" s="347" t="s">
        <v>1464</v>
      </c>
      <c r="C26" s="24">
        <f ca="1">ROUND((C19+C20)*F26,0)</f>
        <v>1082</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7322</v>
      </c>
      <c r="D29" s="1345"/>
      <c r="E29" s="1343"/>
      <c r="F29" s="1346"/>
      <c r="G29" s="1857"/>
      <c r="H29" s="380" t="s">
        <v>1033</v>
      </c>
      <c r="I29" s="381" t="s">
        <v>1478</v>
      </c>
      <c r="J29" s="382">
        <f ca="1">ROUND(J26/(1+F40)^F41,0)</f>
        <v>0</v>
      </c>
      <c r="K29" s="383" t="s">
        <v>1479</v>
      </c>
      <c r="L29" s="384"/>
      <c r="M29" s="385">
        <f ca="1">INDIRECT("'数据-取费表'!k"&amp;$G$1)</f>
        <v>15902.38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525</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382.9</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117.81</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265.08</v>
      </c>
      <c r="D33" s="1831" t="s">
        <v>3233</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109.8</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9.6999999999999993</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22.1</v>
      </c>
      <c r="D38" s="1345" t="s">
        <v>1458</v>
      </c>
      <c r="E38" s="1343" t="s">
        <v>1454</v>
      </c>
      <c r="F38" s="1339">
        <f ca="1">INDIRECT("'数据-取费表'!Am"&amp;$G$1)</f>
        <v>0.01</v>
      </c>
      <c r="G38" s="1854"/>
      <c r="H38" s="1862"/>
      <c r="I38" s="1863"/>
      <c r="J38" s="1864"/>
      <c r="K38" s="1868"/>
      <c r="L38" s="1862"/>
      <c r="M38" s="1862"/>
    </row>
    <row r="39" spans="1:18" ht="24.6" customHeight="1" thickTop="1">
      <c r="A39" s="1332" t="s">
        <v>1031</v>
      </c>
      <c r="B39" s="1347" t="s">
        <v>1482</v>
      </c>
      <c r="C39" s="355">
        <f ca="1">C5-C30</f>
        <v>1684</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42017</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35.94</v>
      </c>
      <c r="G41" s="1854"/>
      <c r="H41" s="732"/>
      <c r="I41" s="1863"/>
      <c r="J41" s="1864"/>
      <c r="K41" s="751"/>
      <c r="L41" s="732"/>
      <c r="M41" s="732"/>
    </row>
    <row r="42" spans="1:18" ht="18" customHeight="1">
      <c r="A42" s="353"/>
      <c r="B42" s="354"/>
      <c r="C42" s="355"/>
      <c r="D42" s="373"/>
      <c r="E42" s="347" t="s">
        <v>1476</v>
      </c>
      <c r="F42" s="357">
        <f ca="1">INDIRECT("'数据-取费表'!v"&amp;$G$1)</f>
        <v>0.03</v>
      </c>
      <c r="G42" s="1854"/>
      <c r="H42" s="732"/>
      <c r="I42" s="1863"/>
      <c r="J42" s="1864"/>
      <c r="K42" s="751"/>
      <c r="L42" s="732"/>
      <c r="M42" s="732"/>
    </row>
    <row r="43" spans="1:18" ht="18" customHeight="1" thickBot="1">
      <c r="A43" s="380" t="s">
        <v>1033</v>
      </c>
      <c r="B43" s="381" t="s">
        <v>1486</v>
      </c>
      <c r="C43" s="382">
        <f ca="1">ROUND(C40*10000/F43,0)</f>
        <v>26422</v>
      </c>
      <c r="D43" s="383" t="s">
        <v>1487</v>
      </c>
      <c r="E43" s="384" t="s">
        <v>1488</v>
      </c>
      <c r="F43" s="385">
        <f ca="1">INDIRECT("'数据-取费表'!k"&amp;$G$1)</f>
        <v>15902.38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-5340</v>
      </c>
      <c r="D46" s="1875" t="str">
        <f>C2</f>
        <v>万元</v>
      </c>
      <c r="E46" s="1869"/>
      <c r="F46" s="1869"/>
      <c r="I46" s="1876" t="s">
        <v>1520</v>
      </c>
      <c r="J46" s="1877"/>
      <c r="K46" s="1878"/>
      <c r="L46" s="1879">
        <f ca="1">IF(M47="住宅",0,IF(L48&gt;J51,L60,J60))</f>
        <v>2929</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3234</v>
      </c>
      <c r="K47" s="1885" t="s">
        <v>1526</v>
      </c>
      <c r="L47" s="1886">
        <f ca="1">INDIRECT("'数据-取费表'!d"&amp;$G$1)</f>
        <v>50</v>
      </c>
      <c r="M47" s="1841" t="str">
        <f>IF(ISNUMBER(FIND("住宅",C1)),"住宅","非住宅")</f>
        <v>非住宅</v>
      </c>
      <c r="O47" s="1887" t="s">
        <v>1040</v>
      </c>
      <c r="P47" s="1888" t="s">
        <v>1527</v>
      </c>
      <c r="Q47" s="1889">
        <f ca="1">C40+J29</f>
        <v>42017</v>
      </c>
      <c r="R47" s="1889" t="s">
        <v>1528</v>
      </c>
    </row>
    <row r="48" spans="1:18" s="1845" customFormat="1" ht="28.5" thickBot="1">
      <c r="A48" s="1363" t="s">
        <v>1135</v>
      </c>
      <c r="B48" s="345" t="s">
        <v>1401</v>
      </c>
      <c r="C48" s="1820">
        <f ca="1">C49+C53+C55</f>
        <v>2354</v>
      </c>
      <c r="D48" s="1365"/>
      <c r="E48" s="1366"/>
      <c r="F48" s="1184"/>
      <c r="G48" s="792"/>
      <c r="H48" s="793"/>
      <c r="I48" s="1890" t="s">
        <v>1529</v>
      </c>
      <c r="J48" s="1891" t="s">
        <v>3235</v>
      </c>
      <c r="K48" s="1892" t="s">
        <v>1530</v>
      </c>
      <c r="L48" s="1893">
        <f ca="1">INDIRECT("'数据-取费表'!f"&amp;$G$1)</f>
        <v>35.94</v>
      </c>
      <c r="O48" s="1887" t="s">
        <v>1041</v>
      </c>
      <c r="P48" s="1888" t="s">
        <v>1531</v>
      </c>
      <c r="Q48" s="1889">
        <f ca="1">J60</f>
        <v>2929</v>
      </c>
      <c r="R48" s="1889" t="s">
        <v>1532</v>
      </c>
    </row>
    <row r="49" spans="1:18" s="1845" customFormat="1" ht="13.5" thickBot="1">
      <c r="A49" s="1197" t="s">
        <v>1136</v>
      </c>
      <c r="B49" s="1832" t="s">
        <v>1489</v>
      </c>
      <c r="C49" s="1367">
        <f ca="1">ROUND(F49*F51*F50*(1-F52)/10000,0)</f>
        <v>2351</v>
      </c>
      <c r="D49" s="1279" t="s">
        <v>3034</v>
      </c>
      <c r="E49" s="1833" t="s">
        <v>1490</v>
      </c>
      <c r="F49" s="1284">
        <v>4.5</v>
      </c>
      <c r="G49" s="1894"/>
      <c r="H49" s="793"/>
      <c r="I49" s="1890" t="s">
        <v>1533</v>
      </c>
      <c r="J49" s="1895">
        <v>2011</v>
      </c>
      <c r="K49" s="1892" t="s">
        <v>1534</v>
      </c>
      <c r="L49" s="1896"/>
      <c r="O49" s="1897" t="s">
        <v>1042</v>
      </c>
      <c r="P49" s="1888" t="s">
        <v>1535</v>
      </c>
      <c r="Q49" s="1889">
        <f ca="1">C29</f>
        <v>7322</v>
      </c>
      <c r="R49" s="1889" t="s">
        <v>1528</v>
      </c>
    </row>
    <row r="50" spans="1:18" s="1845" customFormat="1" ht="13.5" thickBot="1">
      <c r="A50" s="1198"/>
      <c r="B50" s="1201"/>
      <c r="C50" s="1371"/>
      <c r="D50" s="1175"/>
      <c r="E50" s="1280" t="s">
        <v>1406</v>
      </c>
      <c r="F50" s="1281">
        <f ca="1">F7</f>
        <v>15902.38</v>
      </c>
      <c r="H50" s="793"/>
      <c r="I50" s="1890" t="s">
        <v>1536</v>
      </c>
      <c r="J50" s="1898">
        <f>SUMPRODUCT((I63:I65=J47)*(J62:L62=J48)*(J63:L65))</f>
        <v>60</v>
      </c>
      <c r="K50" s="1892" t="s">
        <v>1537</v>
      </c>
      <c r="L50" s="1896"/>
      <c r="M50" s="1899"/>
      <c r="O50" s="1897" t="s">
        <v>1043</v>
      </c>
      <c r="P50" s="1888" t="s">
        <v>1538</v>
      </c>
      <c r="Q50" s="1900">
        <f ca="1">J58</f>
        <v>0.4</v>
      </c>
      <c r="R50" s="1889"/>
    </row>
    <row r="51" spans="1:18" s="1845" customFormat="1" ht="13.5" thickBot="1">
      <c r="A51" s="1199"/>
      <c r="B51" s="1201"/>
      <c r="C51" s="1202"/>
      <c r="D51" s="1175"/>
      <c r="E51" s="1203" t="s">
        <v>1407</v>
      </c>
      <c r="F51" s="348">
        <f ca="1">F8</f>
        <v>365</v>
      </c>
      <c r="I51" s="1901" t="s">
        <v>1539</v>
      </c>
      <c r="J51" s="1902">
        <f>IF(J49="",J50,J49+J50-YEAR('数据-取费表'!B2))</f>
        <v>53</v>
      </c>
      <c r="K51" s="1903" t="s">
        <v>1540</v>
      </c>
      <c r="L51" s="1904">
        <f ca="1">ROUND(-PV(INDIRECT("'数据-取费表'!h"&amp;$G$1),L48,(C39-C13*C76),0),0)</f>
        <v>20061</v>
      </c>
      <c r="M51" s="1905"/>
      <c r="O51" s="1897" t="s">
        <v>1044</v>
      </c>
      <c r="P51" s="1888" t="s">
        <v>1541</v>
      </c>
      <c r="Q51" s="1900">
        <f>J52</f>
        <v>0</v>
      </c>
      <c r="R51" s="1889"/>
    </row>
    <row r="52" spans="1:18" s="1845" customFormat="1" ht="13.5" thickBot="1">
      <c r="A52" s="1199"/>
      <c r="B52" s="1201"/>
      <c r="C52" s="1202"/>
      <c r="D52" s="1175"/>
      <c r="E52" s="1203" t="s">
        <v>1408</v>
      </c>
      <c r="F52" s="1278">
        <v>0.1</v>
      </c>
      <c r="I52" s="1906" t="s">
        <v>1542</v>
      </c>
      <c r="J52" s="1907"/>
      <c r="K52" s="1906" t="s">
        <v>1543</v>
      </c>
      <c r="L52" s="1907"/>
      <c r="O52" s="1897" t="s">
        <v>1045</v>
      </c>
      <c r="P52" s="1888" t="s">
        <v>1544</v>
      </c>
      <c r="Q52" s="1889">
        <f ca="1">J53</f>
        <v>35.94</v>
      </c>
      <c r="R52" s="1889" t="s">
        <v>1545</v>
      </c>
    </row>
    <row r="53" spans="1:18" s="1845" customFormat="1" ht="24.75" thickBot="1">
      <c r="A53" s="1408" t="s">
        <v>1137</v>
      </c>
      <c r="B53" s="1834" t="s">
        <v>1409</v>
      </c>
      <c r="C53" s="361">
        <f ca="1">ROUND(IF(F53="押一",C49/12*F11,IF(F53="押二",C49/12*2*F11,IF(F53="押三",C49/12*3*F11,C54*F11))),0)</f>
        <v>3</v>
      </c>
      <c r="D53" s="1827" t="s">
        <v>3041</v>
      </c>
      <c r="E53" s="358" t="s">
        <v>1410</v>
      </c>
      <c r="F53" s="1369" t="s">
        <v>3232</v>
      </c>
      <c r="I53" s="1908" t="s">
        <v>1546</v>
      </c>
      <c r="J53" s="1909">
        <f ca="1">IF(M47="住宅",IF(D1="——",MAX(J51,L48),IF(D1="在建（套用方法）",MAX(J51,L48-'数据-取费表'!B24),MAX(J51,L48-'数据-取费表'!B20))),IF(D1="——",MIN(J51,L48),IF(D1="在建（套用方法）",MIN(J51,L48-'数据-取费表'!B24),IF(D1="土地（套用方法）",MIN(J51,L48-'数据-取费表'!B20)))))</f>
        <v>35.94</v>
      </c>
      <c r="K53" s="3184" t="s">
        <v>1547</v>
      </c>
      <c r="L53" s="3185"/>
      <c r="O53" s="1887" t="s">
        <v>1046</v>
      </c>
      <c r="P53" s="1888" t="s">
        <v>1548</v>
      </c>
      <c r="Q53" s="1889">
        <f ca="1">Q47+Q48</f>
        <v>44946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0.28399999999999997</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6443</v>
      </c>
      <c r="D56" s="1917"/>
      <c r="E56" s="1918"/>
      <c r="F56" s="1910"/>
      <c r="I56" s="1919" t="s">
        <v>1553</v>
      </c>
      <c r="J56" s="1920"/>
      <c r="K56" s="1890" t="s">
        <v>1554</v>
      </c>
      <c r="L56" s="1893" t="str">
        <f ca="1">IF(L48&lt;J51,"——",L48-J53)</f>
        <v>——</v>
      </c>
      <c r="O56" s="1887" t="s">
        <v>1040</v>
      </c>
      <c r="P56" s="1888" t="s">
        <v>1527</v>
      </c>
      <c r="Q56" s="1889">
        <f ca="1">C40+J29</f>
        <v>42017</v>
      </c>
      <c r="R56" s="1889" t="s">
        <v>1528</v>
      </c>
    </row>
    <row r="57" spans="1:18" s="1845" customFormat="1" ht="24.75" thickBot="1">
      <c r="A57" s="1921"/>
      <c r="B57" s="1172" t="s">
        <v>1477</v>
      </c>
      <c r="C57" s="282">
        <f ca="1">C29</f>
        <v>7322</v>
      </c>
      <c r="D57" s="1922"/>
      <c r="E57" s="1923"/>
      <c r="F57" s="1924"/>
      <c r="I57" s="1925" t="s">
        <v>1555</v>
      </c>
      <c r="J57" s="1926">
        <f ca="1">IF(OR(M47="住宅",J51&lt;L48,J56="是"),"——",J51-L48)</f>
        <v>17.060000000000002</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884</v>
      </c>
      <c r="D58" s="1182" t="s">
        <v>1424</v>
      </c>
      <c r="E58" s="1183"/>
      <c r="F58" s="1184"/>
      <c r="I58" s="1925" t="s">
        <v>1559</v>
      </c>
      <c r="J58" s="1927">
        <f ca="1">IF(J55&lt;0.4,0.4,J55)</f>
        <v>0.4</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740.6</v>
      </c>
      <c r="D59" s="1185" t="s">
        <v>1429</v>
      </c>
      <c r="E59" s="1186" t="s">
        <v>1430</v>
      </c>
      <c r="F59" s="368" t="str">
        <f ca="1">IF(项目基本情况!B11="企业","",IF(INDIRECT("'数据-取费表'!c"&amp;$G$1)="住宅",5%,IF(F49*F50*F51/12/(1+'数据-取费表'!C42)&gt;20000,12%,7%)))</f>
        <v/>
      </c>
      <c r="I59" s="1925" t="s">
        <v>1562</v>
      </c>
      <c r="J59" s="1926">
        <f ca="1">IF(OR(M47="住宅",J51&lt;L48,J56="是"),"——",ROUND(C29*J58,0))</f>
        <v>2929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125.55</v>
      </c>
      <c r="D60" s="1186" t="s">
        <v>1433</v>
      </c>
      <c r="E60" s="1172" t="s">
        <v>1421</v>
      </c>
      <c r="F60" s="377">
        <f t="shared" ref="F60:F66" si="0">F32</f>
        <v>5.6000000000000001E-2</v>
      </c>
      <c r="I60" s="1928" t="s">
        <v>1564</v>
      </c>
      <c r="J60" s="1929">
        <f ca="1">IF(OR(M47="住宅",J51&lt;L48,J56="是"),"0",ROUND(J59/(1+J52)^J53,0))</f>
        <v>2929</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615.04999999999995</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42017</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109.8</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9.6999999999999993</v>
      </c>
      <c r="D65" s="1186" t="s">
        <v>1453</v>
      </c>
      <c r="E65" s="1172" t="s">
        <v>1454</v>
      </c>
      <c r="F65" s="376">
        <f t="shared" ca="1" si="0"/>
        <v>1.5E-3</v>
      </c>
      <c r="I65" s="1932" t="s">
        <v>1578</v>
      </c>
      <c r="J65" s="1933">
        <v>40</v>
      </c>
      <c r="K65" s="1933">
        <v>30</v>
      </c>
      <c r="L65" s="1933">
        <v>50</v>
      </c>
      <c r="M65" s="1935">
        <v>0.02</v>
      </c>
      <c r="O65" s="1887" t="s">
        <v>1040</v>
      </c>
      <c r="P65" s="1888" t="s">
        <v>1579</v>
      </c>
      <c r="Q65" s="1889">
        <f ca="1">C40+J29</f>
        <v>42017</v>
      </c>
      <c r="R65" s="1889" t="s">
        <v>1528</v>
      </c>
    </row>
    <row r="66" spans="1:18" s="1845" customFormat="1" ht="16.5" thickBot="1">
      <c r="A66" s="1204" t="s">
        <v>1503</v>
      </c>
      <c r="B66" s="1172" t="s">
        <v>1438</v>
      </c>
      <c r="C66" s="24">
        <f ca="1">ROUND(C48*F66,1)</f>
        <v>23.5</v>
      </c>
      <c r="D66" s="1186" t="s">
        <v>1504</v>
      </c>
      <c r="E66" s="1172" t="s">
        <v>1421</v>
      </c>
      <c r="F66" s="357">
        <f t="shared" ca="1" si="0"/>
        <v>0.01</v>
      </c>
      <c r="O66" s="1887" t="s">
        <v>1041</v>
      </c>
      <c r="P66" s="1888" t="s">
        <v>1557</v>
      </c>
      <c r="Q66" s="1889">
        <f ca="1">L60</f>
        <v>0</v>
      </c>
      <c r="R66" s="1889" t="s">
        <v>1580</v>
      </c>
    </row>
    <row r="67" spans="1:18" s="1845" customFormat="1" ht="16.5" thickBot="1">
      <c r="A67" s="1179" t="s">
        <v>1031</v>
      </c>
      <c r="B67" s="1189" t="s">
        <v>1462</v>
      </c>
      <c r="C67" s="361">
        <f ca="1">C48-C58</f>
        <v>1470</v>
      </c>
      <c r="D67" s="1185" t="s">
        <v>1463</v>
      </c>
      <c r="E67" s="1190"/>
      <c r="F67" s="1191"/>
      <c r="O67" s="1897" t="s">
        <v>1042</v>
      </c>
      <c r="P67" s="1888" t="s">
        <v>1561</v>
      </c>
      <c r="Q67" s="1936">
        <f ca="1">L51</f>
        <v>20061</v>
      </c>
      <c r="R67" s="1889" t="s">
        <v>1581</v>
      </c>
    </row>
    <row r="68" spans="1:18" s="1845" customFormat="1" ht="16.5" thickBot="1">
      <c r="A68" s="1169" t="s">
        <v>1032</v>
      </c>
      <c r="B68" s="1170" t="s">
        <v>1484</v>
      </c>
      <c r="C68" s="346">
        <f ca="1">ROUND(C67*(1-((1+F70)/(1+F68))^F69)/(F68-F70),0)</f>
        <v>36677</v>
      </c>
      <c r="D68" s="1187" t="s">
        <v>1468</v>
      </c>
      <c r="E68" s="1172" t="s">
        <v>1469</v>
      </c>
      <c r="F68" s="357">
        <f ca="1">F40</f>
        <v>0.05</v>
      </c>
      <c r="O68" s="1897" t="s">
        <v>1043</v>
      </c>
      <c r="P68" s="1937" t="s">
        <v>1582</v>
      </c>
      <c r="Q68" s="1889">
        <f ca="1">ROUND(Q69-Q70*Q71,0)</f>
        <v>1136</v>
      </c>
      <c r="R68" s="1889" t="s">
        <v>1051</v>
      </c>
    </row>
    <row r="69" spans="1:18" s="1845" customFormat="1" ht="13.5" thickBot="1">
      <c r="A69" s="1173"/>
      <c r="B69" s="1174"/>
      <c r="C69" s="351"/>
      <c r="D69" s="1192" t="s">
        <v>1472</v>
      </c>
      <c r="E69" s="1172" t="s">
        <v>1473</v>
      </c>
      <c r="F69" s="379">
        <f ca="1">F41</f>
        <v>35.94</v>
      </c>
      <c r="O69" s="1897" t="s">
        <v>1048</v>
      </c>
      <c r="P69" s="1937" t="s">
        <v>1583</v>
      </c>
      <c r="Q69" s="1889">
        <f ca="1">C39</f>
        <v>1684</v>
      </c>
      <c r="R69" s="1889" t="s">
        <v>1528</v>
      </c>
    </row>
    <row r="70" spans="1:18" s="1845" customFormat="1" ht="13.5" thickBot="1">
      <c r="A70" s="1176"/>
      <c r="B70" s="1177"/>
      <c r="C70" s="355"/>
      <c r="D70" s="1188"/>
      <c r="E70" s="1172" t="s">
        <v>1476</v>
      </c>
      <c r="F70" s="1278">
        <v>0.03</v>
      </c>
      <c r="O70" s="1897" t="s">
        <v>1049</v>
      </c>
      <c r="P70" s="1937" t="s">
        <v>1584</v>
      </c>
      <c r="Q70" s="1889">
        <f ca="1">C13</f>
        <v>6443</v>
      </c>
      <c r="R70" s="1889" t="s">
        <v>1528</v>
      </c>
    </row>
    <row r="71" spans="1:18" s="1845" customFormat="1" ht="13.5" thickBot="1">
      <c r="A71" s="1193" t="s">
        <v>1033</v>
      </c>
      <c r="B71" s="1194" t="s">
        <v>1486</v>
      </c>
      <c r="C71" s="382">
        <f ca="1">ROUND(C68*10000/F71,0)</f>
        <v>23064</v>
      </c>
      <c r="D71" s="1195" t="s">
        <v>1487</v>
      </c>
      <c r="E71" s="1196" t="s">
        <v>1488</v>
      </c>
      <c r="F71" s="385">
        <f ca="1">F43</f>
        <v>15902.38</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548</v>
      </c>
      <c r="D75" s="1845"/>
      <c r="E75" s="1845"/>
      <c r="F75" s="1845"/>
      <c r="K75" s="1871"/>
      <c r="L75" s="1845"/>
      <c r="O75" s="1887" t="s">
        <v>1046</v>
      </c>
      <c r="P75" s="1888" t="s">
        <v>1548</v>
      </c>
      <c r="Q75" s="1889">
        <f ca="1">Q65+Q66</f>
        <v>42017</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0.67500000000000004</v>
      </c>
    </row>
    <row r="80" spans="1:18">
      <c r="B80" s="386" t="s">
        <v>1510</v>
      </c>
      <c r="C80" s="318">
        <f ca="1">ROUND(C75/C39,3)</f>
        <v>0.32500000000000001</v>
      </c>
    </row>
    <row r="81" spans="2:3">
      <c r="B81" s="314" t="s">
        <v>1511</v>
      </c>
      <c r="C81" s="282"/>
    </row>
    <row r="82" spans="2:3">
      <c r="B82" s="317" t="s">
        <v>1512</v>
      </c>
      <c r="C82" s="319">
        <f ca="1">1-C83</f>
        <v>0.84699999999999998</v>
      </c>
    </row>
    <row r="83" spans="2:3">
      <c r="B83" s="317" t="s">
        <v>1513</v>
      </c>
      <c r="C83" s="318">
        <f ca="1">ROUND(C13/C40,3)</f>
        <v>0.153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86" t="s">
        <v>1403</v>
      </c>
      <c r="C6" s="1299">
        <f ca="1">ROUND(F6*F8*F7*(1-F9),0)</f>
        <v>0</v>
      </c>
      <c r="D6" s="164" t="s">
        <v>3030</v>
      </c>
      <c r="E6" s="347" t="s">
        <v>1405</v>
      </c>
      <c r="F6" s="348">
        <f ca="1">INDIRECT("'数据-取费表'!u"&amp;$G$1)</f>
        <v>0</v>
      </c>
      <c r="G6" s="1854"/>
      <c r="H6" s="1294" t="s">
        <v>1035</v>
      </c>
      <c r="I6" s="3186" t="s">
        <v>1403</v>
      </c>
      <c r="J6" s="346">
        <f ca="1">ROUND(M6*M8*M7*(1-M9),0)</f>
        <v>0</v>
      </c>
      <c r="K6" s="1837" t="s">
        <v>3031</v>
      </c>
      <c r="L6" s="347" t="s">
        <v>1405</v>
      </c>
      <c r="M6" s="348">
        <f ca="1">INDIRECT("'数据-取费表'!z"&amp;$G$1)</f>
        <v>0</v>
      </c>
    </row>
    <row r="7" spans="1:37" ht="18" customHeight="1">
      <c r="A7" s="1298"/>
      <c r="B7" s="3187"/>
      <c r="C7" s="1300"/>
      <c r="D7" s="352"/>
      <c r="E7" s="1301" t="s">
        <v>1406</v>
      </c>
      <c r="F7" s="348">
        <f ca="1">IF(INDIRECT("'数据-取费表'!ah"&amp;$G$1)="",INDIRECT("'数据-取费表'!k"&amp;$G$1),INDIRECT("'数据-取费表'!ah"&amp;$G$1))</f>
        <v>0</v>
      </c>
      <c r="G7" s="1854"/>
      <c r="H7" s="349"/>
      <c r="I7" s="3187"/>
      <c r="J7" s="351"/>
      <c r="K7" s="352"/>
      <c r="L7" s="347" t="s">
        <v>1406</v>
      </c>
      <c r="M7" s="348">
        <f ca="1">F7</f>
        <v>0</v>
      </c>
    </row>
    <row r="8" spans="1:37" ht="18" customHeight="1">
      <c r="A8" s="349"/>
      <c r="B8" s="3187"/>
      <c r="C8" s="351"/>
      <c r="D8" s="352"/>
      <c r="E8" s="347" t="s">
        <v>1407</v>
      </c>
      <c r="F8" s="348">
        <f ca="1">INDIRECT("'数据-取费表'!ai"&amp;$G$1)</f>
        <v>0</v>
      </c>
      <c r="G8" s="1854"/>
      <c r="H8" s="349"/>
      <c r="I8" s="3187"/>
      <c r="J8" s="351"/>
      <c r="K8" s="352"/>
      <c r="L8" s="347" t="s">
        <v>1407</v>
      </c>
      <c r="M8" s="348">
        <f ca="1">INDIRECT("'数据-取费表'!ai"&amp;$G$1)</f>
        <v>0</v>
      </c>
    </row>
    <row r="9" spans="1:37" ht="18" customHeight="1">
      <c r="A9" s="349"/>
      <c r="B9" s="3188"/>
      <c r="C9" s="351"/>
      <c r="D9" s="352"/>
      <c r="E9" s="347" t="s">
        <v>1408</v>
      </c>
      <c r="F9" s="357">
        <f ca="1">INDIRECT("'数据-取费表'!w"&amp;$G$1)</f>
        <v>0</v>
      </c>
      <c r="G9" s="1854"/>
      <c r="H9" s="349"/>
      <c r="I9" s="31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4" t="s">
        <v>1547</v>
      </c>
      <c r="L53" s="3185"/>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2326</v>
      </c>
      <c r="B2" s="2568">
        <f ca="1">SUMIF(B6:B13,"&lt;&gt;#ref!",B6:B13)</f>
        <v>44946</v>
      </c>
      <c r="C2" s="2569" t="s">
        <v>2518</v>
      </c>
      <c r="D2" s="2570" t="s">
        <v>2519</v>
      </c>
      <c r="E2" s="2571">
        <f>SUM(E6:E13)</f>
        <v>15902.38</v>
      </c>
    </row>
    <row r="3" spans="1:6" ht="15.75">
      <c r="A3" s="2567" t="s">
        <v>1395</v>
      </c>
      <c r="B3" s="2568">
        <f ca="1">ROUND(B2*10000/E2,0)</f>
        <v>28264</v>
      </c>
      <c r="C3" s="2569" t="s">
        <v>2526</v>
      </c>
      <c r="D3" s="2572"/>
      <c r="E3" s="2573"/>
    </row>
    <row r="4" spans="1:6" ht="15.75">
      <c r="A4" s="2574"/>
      <c r="B4" s="2572"/>
      <c r="C4" s="2572"/>
      <c r="D4" s="2572"/>
      <c r="E4" s="2573"/>
    </row>
    <row r="5" spans="1:6" ht="15">
      <c r="A5" s="2575" t="s">
        <v>2520</v>
      </c>
      <c r="B5" s="3189" t="s">
        <v>2521</v>
      </c>
      <c r="C5" s="3189"/>
      <c r="D5" s="2576"/>
      <c r="E5" s="2577" t="s">
        <v>2522</v>
      </c>
      <c r="F5" s="2578" t="s">
        <v>2523</v>
      </c>
    </row>
    <row r="6" spans="1:6">
      <c r="A6" s="2579" t="str">
        <f>'数据-取费表'!AN6</f>
        <v>收益法</v>
      </c>
      <c r="B6" s="2578">
        <f ca="1">IF(F6="是",'数据-取费表'!AO6,0)</f>
        <v>44946</v>
      </c>
      <c r="C6" s="2569" t="s">
        <v>2518</v>
      </c>
      <c r="D6" s="2572"/>
      <c r="E6" s="2580">
        <f>IF(OR(A6=0,F6="否"),0,'数据-取费表'!K6+'数据-取费表'!S6)</f>
        <v>15902.38</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90" t="s">
        <v>1076</v>
      </c>
      <c r="B1" s="3191"/>
      <c r="C1" s="3192"/>
      <c r="D1" s="3193">
        <f>SUM(I10,I15,I20,I21,I23)</f>
        <v>0</v>
      </c>
      <c r="E1" s="3193"/>
      <c r="F1" s="3193"/>
      <c r="G1" s="3193"/>
      <c r="H1" s="3193"/>
      <c r="I1" s="3194"/>
    </row>
    <row r="2" spans="1:9">
      <c r="A2" s="3195" t="s">
        <v>1077</v>
      </c>
      <c r="B2" s="3196" t="s">
        <v>1078</v>
      </c>
      <c r="C2" s="3196"/>
      <c r="D2" s="1304" t="s">
        <v>1079</v>
      </c>
      <c r="E2" s="1304" t="s">
        <v>1080</v>
      </c>
      <c r="F2" s="1304" t="s">
        <v>1081</v>
      </c>
      <c r="G2" s="1304" t="s">
        <v>1082</v>
      </c>
      <c r="H2" s="1304" t="s">
        <v>1083</v>
      </c>
      <c r="I2" s="1305" t="s">
        <v>1084</v>
      </c>
    </row>
    <row r="3" spans="1:9">
      <c r="A3" s="3195"/>
      <c r="B3" s="3196" t="s">
        <v>1085</v>
      </c>
      <c r="C3" s="3196"/>
      <c r="D3" s="1306"/>
      <c r="E3" s="1304"/>
      <c r="F3" s="1307"/>
      <c r="G3" s="1307"/>
      <c r="H3" s="1308"/>
      <c r="I3" s="1309">
        <f>ROUND(D3*E3*F3*G3*H3/10000,0)</f>
        <v>0</v>
      </c>
    </row>
    <row r="4" spans="1:9">
      <c r="A4" s="3195"/>
      <c r="B4" s="3196" t="s">
        <v>1086</v>
      </c>
      <c r="C4" s="3196"/>
      <c r="D4" s="1306"/>
      <c r="E4" s="1304"/>
      <c r="F4" s="1307"/>
      <c r="G4" s="1307"/>
      <c r="H4" s="1308"/>
      <c r="I4" s="1309">
        <f t="shared" ref="I4:I9" si="0">ROUND(D4*E4*F4*G4*H4/10000,0)</f>
        <v>0</v>
      </c>
    </row>
    <row r="5" spans="1:9">
      <c r="A5" s="3195"/>
      <c r="B5" s="3196" t="s">
        <v>1087</v>
      </c>
      <c r="C5" s="3196"/>
      <c r="D5" s="1306"/>
      <c r="E5" s="1304"/>
      <c r="F5" s="1307"/>
      <c r="G5" s="1307"/>
      <c r="H5" s="1308"/>
      <c r="I5" s="1309">
        <f t="shared" si="0"/>
        <v>0</v>
      </c>
    </row>
    <row r="6" spans="1:9">
      <c r="A6" s="3195"/>
      <c r="B6" s="3196" t="s">
        <v>1088</v>
      </c>
      <c r="C6" s="3196"/>
      <c r="D6" s="1306"/>
      <c r="E6" s="1304"/>
      <c r="F6" s="1307"/>
      <c r="G6" s="1307"/>
      <c r="H6" s="1308"/>
      <c r="I6" s="1309">
        <f t="shared" si="0"/>
        <v>0</v>
      </c>
    </row>
    <row r="7" spans="1:9">
      <c r="A7" s="3195"/>
      <c r="B7" s="3196" t="s">
        <v>1089</v>
      </c>
      <c r="C7" s="3196"/>
      <c r="D7" s="1306"/>
      <c r="E7" s="1304"/>
      <c r="F7" s="1307"/>
      <c r="G7" s="1307"/>
      <c r="H7" s="1308"/>
      <c r="I7" s="1309">
        <f t="shared" si="0"/>
        <v>0</v>
      </c>
    </row>
    <row r="8" spans="1:9">
      <c r="A8" s="3195"/>
      <c r="B8" s="3196" t="s">
        <v>1090</v>
      </c>
      <c r="C8" s="3196"/>
      <c r="D8" s="1306"/>
      <c r="E8" s="1304"/>
      <c r="F8" s="1307"/>
      <c r="G8" s="1307"/>
      <c r="H8" s="1308"/>
      <c r="I8" s="1309">
        <f t="shared" si="0"/>
        <v>0</v>
      </c>
    </row>
    <row r="9" spans="1:9">
      <c r="A9" s="3195"/>
      <c r="B9" s="3196" t="s">
        <v>1091</v>
      </c>
      <c r="C9" s="3196"/>
      <c r="D9" s="1306"/>
      <c r="E9" s="1304"/>
      <c r="F9" s="1307"/>
      <c r="G9" s="1307"/>
      <c r="H9" s="1308"/>
      <c r="I9" s="1309">
        <f t="shared" si="0"/>
        <v>0</v>
      </c>
    </row>
    <row r="10" spans="1:9">
      <c r="A10" s="3195"/>
      <c r="B10" s="3197" t="s">
        <v>1092</v>
      </c>
      <c r="C10" s="3197"/>
      <c r="D10" s="1310"/>
      <c r="E10" s="1310" t="e">
        <f>ROUND(D1*10000/D10/H9,0)</f>
        <v>#DIV/0!</v>
      </c>
      <c r="F10" s="1311"/>
      <c r="G10" s="1311"/>
      <c r="H10" s="1312"/>
      <c r="I10" s="1313">
        <f>SUM(I3:I9)</f>
        <v>0</v>
      </c>
    </row>
    <row r="11" spans="1:9" ht="14.25">
      <c r="A11" s="3195" t="s">
        <v>1093</v>
      </c>
      <c r="B11" s="3196" t="s">
        <v>1094</v>
      </c>
      <c r="C11" s="3196"/>
      <c r="D11" s="1306" t="s">
        <v>1095</v>
      </c>
      <c r="E11" s="1306" t="s">
        <v>1096</v>
      </c>
      <c r="F11" s="1307" t="s">
        <v>1097</v>
      </c>
      <c r="G11" s="1307" t="s">
        <v>1083</v>
      </c>
      <c r="H11" s="1314" t="s">
        <v>1098</v>
      </c>
      <c r="I11" s="1305" t="s">
        <v>1084</v>
      </c>
    </row>
    <row r="12" spans="1:9">
      <c r="A12" s="3195"/>
      <c r="B12" s="3196" t="s">
        <v>1099</v>
      </c>
      <c r="C12" s="3196"/>
      <c r="D12" s="1306"/>
      <c r="E12" s="1306"/>
      <c r="F12" s="1307"/>
      <c r="G12" s="1308"/>
      <c r="H12" s="1315"/>
      <c r="I12" s="1305">
        <f>ROUND(D12*E12*F12*G12/10000,0)</f>
        <v>0</v>
      </c>
    </row>
    <row r="13" spans="1:9">
      <c r="A13" s="3195"/>
      <c r="B13" s="3196" t="s">
        <v>1100</v>
      </c>
      <c r="C13" s="3196"/>
      <c r="D13" s="1306"/>
      <c r="E13" s="1306"/>
      <c r="F13" s="1307"/>
      <c r="G13" s="1308"/>
      <c r="H13" s="1315"/>
      <c r="I13" s="1305">
        <f>ROUND(D13*E13*F13*G13/10000,0)</f>
        <v>0</v>
      </c>
    </row>
    <row r="14" spans="1:9">
      <c r="A14" s="3195"/>
      <c r="B14" s="3196" t="s">
        <v>1101</v>
      </c>
      <c r="C14" s="3196"/>
      <c r="D14" s="1306"/>
      <c r="E14" s="1306"/>
      <c r="F14" s="1307"/>
      <c r="G14" s="1308"/>
      <c r="H14" s="1315"/>
      <c r="I14" s="1305">
        <f>ROUND(D14*E14*F14*G14/10000,0)</f>
        <v>0</v>
      </c>
    </row>
    <row r="15" spans="1:9">
      <c r="A15" s="3195"/>
      <c r="B15" s="3197" t="s">
        <v>1092</v>
      </c>
      <c r="C15" s="3197"/>
      <c r="D15" s="1310"/>
      <c r="E15" s="1310">
        <f>SUM(E12:E14)</f>
        <v>0</v>
      </c>
      <c r="F15" s="1311"/>
      <c r="G15" s="1308"/>
      <c r="H15" s="1315"/>
      <c r="I15" s="1316">
        <f>SUM(I12:I14)</f>
        <v>0</v>
      </c>
    </row>
    <row r="16" spans="1:9" ht="24">
      <c r="A16" s="3195" t="s">
        <v>1102</v>
      </c>
      <c r="B16" s="3196" t="s">
        <v>1103</v>
      </c>
      <c r="C16" s="3196"/>
      <c r="D16" s="1306" t="s">
        <v>1079</v>
      </c>
      <c r="E16" s="1317" t="s">
        <v>1104</v>
      </c>
      <c r="F16" s="1307" t="s">
        <v>1105</v>
      </c>
      <c r="G16" s="1308" t="s">
        <v>1083</v>
      </c>
      <c r="H16" s="1314" t="s">
        <v>1098</v>
      </c>
      <c r="I16" s="1305" t="s">
        <v>1084</v>
      </c>
    </row>
    <row r="17" spans="1:9" ht="14.25">
      <c r="A17" s="3195"/>
      <c r="B17" s="3196" t="s">
        <v>1106</v>
      </c>
      <c r="C17" s="3196"/>
      <c r="D17" s="1306"/>
      <c r="E17" s="1306"/>
      <c r="F17" s="1307"/>
      <c r="G17" s="1308"/>
      <c r="H17" s="1318"/>
      <c r="I17" s="1319">
        <f>ROUND(D17*E17*F17*G17/10000,0)</f>
        <v>0</v>
      </c>
    </row>
    <row r="18" spans="1:9" ht="14.25">
      <c r="A18" s="3195"/>
      <c r="B18" s="3196" t="s">
        <v>1107</v>
      </c>
      <c r="C18" s="3196"/>
      <c r="D18" s="1306"/>
      <c r="E18" s="1306"/>
      <c r="F18" s="1307"/>
      <c r="G18" s="1308"/>
      <c r="H18" s="1318"/>
      <c r="I18" s="1319">
        <f>ROUND(D18*E18*F18*G18/10000,0)</f>
        <v>0</v>
      </c>
    </row>
    <row r="19" spans="1:9" ht="14.25">
      <c r="A19" s="3195"/>
      <c r="B19" s="3196" t="s">
        <v>1108</v>
      </c>
      <c r="C19" s="3196"/>
      <c r="D19" s="1306"/>
      <c r="E19" s="1306"/>
      <c r="F19" s="1307"/>
      <c r="G19" s="1308"/>
      <c r="H19" s="1318"/>
      <c r="I19" s="1319">
        <f>ROUND(D19*E19*F19*G19/10000,0)</f>
        <v>0</v>
      </c>
    </row>
    <row r="20" spans="1:9">
      <c r="A20" s="3195"/>
      <c r="B20" s="3197" t="s">
        <v>1092</v>
      </c>
      <c r="C20" s="3197"/>
      <c r="D20" s="1310">
        <f>SUM(D17:D19)</f>
        <v>0</v>
      </c>
      <c r="E20" s="1310"/>
      <c r="F20" s="1311"/>
      <c r="G20" s="1308"/>
      <c r="H20" s="1315"/>
      <c r="I20" s="1316">
        <f>SUM(I17:I19)</f>
        <v>0</v>
      </c>
    </row>
    <row r="21" spans="1:9">
      <c r="A21" s="3195" t="s">
        <v>1109</v>
      </c>
      <c r="B21" s="3199"/>
      <c r="C21" s="3199"/>
      <c r="D21" s="3199"/>
      <c r="E21" s="3199"/>
      <c r="F21" s="3199"/>
      <c r="G21" s="3199"/>
      <c r="H21" s="1768">
        <v>0.1</v>
      </c>
      <c r="I21" s="1313">
        <f>ROUND(I10*H21,0)</f>
        <v>0</v>
      </c>
    </row>
    <row r="22" spans="1:9" ht="14.25">
      <c r="A22" s="3200" t="s">
        <v>1110</v>
      </c>
      <c r="B22" s="3201"/>
      <c r="C22" s="3202"/>
      <c r="D22" s="1320" t="s">
        <v>1111</v>
      </c>
      <c r="E22" s="1320" t="s">
        <v>1112</v>
      </c>
      <c r="F22" s="1321" t="s">
        <v>1113</v>
      </c>
      <c r="G22" s="1321" t="s">
        <v>1114</v>
      </c>
      <c r="H22" s="1314" t="s">
        <v>1115</v>
      </c>
      <c r="I22" s="1305" t="s">
        <v>1116</v>
      </c>
    </row>
    <row r="23" spans="1:9" ht="14.25" thickBot="1">
      <c r="A23" s="3203"/>
      <c r="B23" s="3204"/>
      <c r="C23" s="3205"/>
      <c r="D23" s="1322"/>
      <c r="E23" s="1322"/>
      <c r="F23" s="1322"/>
      <c r="G23" s="1323"/>
      <c r="H23" s="1324"/>
      <c r="I23" s="1325">
        <f>ROUND(E23*D23*F23*(1-G23)/10000,0)</f>
        <v>0</v>
      </c>
    </row>
    <row r="26" spans="1:9">
      <c r="A26" s="1326" t="s">
        <v>1117</v>
      </c>
      <c r="B26" s="1326"/>
      <c r="C26" s="1326"/>
      <c r="D26" s="1326"/>
      <c r="E26" s="3206">
        <f>C27-C30-C31-C32</f>
        <v>0</v>
      </c>
      <c r="F26" s="3206"/>
      <c r="G26" s="3206"/>
      <c r="H26" s="1740" t="s">
        <v>1340</v>
      </c>
    </row>
    <row r="27" spans="1:9">
      <c r="A27" s="1327">
        <v>1</v>
      </c>
      <c r="B27" s="1328" t="s">
        <v>1118</v>
      </c>
      <c r="C27" s="1328">
        <f>C28+C29</f>
        <v>0</v>
      </c>
      <c r="D27" s="1328"/>
      <c r="E27" s="3207"/>
      <c r="F27" s="3207"/>
      <c r="G27" s="3207"/>
    </row>
    <row r="28" spans="1:9">
      <c r="A28" s="1329" t="s">
        <v>1119</v>
      </c>
      <c r="B28" s="1328" t="s">
        <v>1120</v>
      </c>
      <c r="C28" s="1328"/>
      <c r="D28" s="1328"/>
      <c r="E28" s="3207"/>
      <c r="F28" s="3207"/>
      <c r="G28" s="320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8"/>
      <c r="F32" s="3198"/>
      <c r="G32" s="3198"/>
    </row>
    <row r="33" spans="1:7" hidden="1">
      <c r="A33" s="3208" t="s">
        <v>1129</v>
      </c>
      <c r="B33" s="3209"/>
      <c r="C33" s="3209"/>
      <c r="D33" s="3210"/>
      <c r="E33" s="3206"/>
      <c r="F33" s="3206"/>
      <c r="G33" s="3206"/>
    </row>
    <row r="34" spans="1:7" hidden="1">
      <c r="A34" s="1331">
        <v>1</v>
      </c>
      <c r="B34" s="1328" t="s">
        <v>1130</v>
      </c>
      <c r="C34" s="1328"/>
      <c r="D34" s="1328"/>
      <c r="E34" s="3207"/>
      <c r="F34" s="3207"/>
      <c r="G34" s="3207"/>
    </row>
    <row r="35" spans="1:7" hidden="1">
      <c r="A35" s="1331">
        <v>2</v>
      </c>
      <c r="B35" s="1328" t="s">
        <v>1131</v>
      </c>
      <c r="C35" s="1328"/>
      <c r="D35" s="1328"/>
      <c r="E35" s="3207"/>
      <c r="F35" s="3207"/>
      <c r="G35" s="3207"/>
    </row>
    <row r="36" spans="1:7" hidden="1">
      <c r="A36" s="1331">
        <v>3</v>
      </c>
      <c r="B36" s="1328" t="s">
        <v>1132</v>
      </c>
      <c r="C36" s="1328"/>
      <c r="D36" s="1328"/>
      <c r="E36" s="3207"/>
      <c r="F36" s="3207"/>
      <c r="G36" s="3207"/>
    </row>
    <row r="37" spans="1:7" hidden="1">
      <c r="A37" s="1331">
        <v>4</v>
      </c>
      <c r="B37" s="1328" t="s">
        <v>1133</v>
      </c>
      <c r="C37" s="1328"/>
      <c r="D37" s="1328"/>
      <c r="E37" s="3207"/>
      <c r="F37" s="3207"/>
      <c r="G37" s="3207"/>
    </row>
    <row r="38" spans="1:7" hidden="1">
      <c r="A38" s="3208" t="s">
        <v>1134</v>
      </c>
      <c r="B38" s="3209"/>
      <c r="C38" s="3209"/>
      <c r="D38" s="3210"/>
      <c r="E38" s="3206"/>
      <c r="F38" s="3206"/>
      <c r="G38" s="32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2533</v>
      </c>
      <c r="D3" s="399">
        <f>IF(D1="",'数据-汇总表'!E3,SUMIF('数据-汇总表'!$C19:$C33,D1,'数据-汇总表'!$E19:$E33))</f>
        <v>15902.38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2534</v>
      </c>
      <c r="B4" s="402"/>
      <c r="C4" s="3229" t="s">
        <v>2535</v>
      </c>
      <c r="D4" s="3230"/>
      <c r="E4" s="3231" t="s">
        <v>2536</v>
      </c>
      <c r="F4" s="3232"/>
      <c r="G4" s="3229" t="s">
        <v>2537</v>
      </c>
      <c r="H4" s="3230"/>
      <c r="I4" s="3229" t="s">
        <v>2538</v>
      </c>
      <c r="J4" s="3230"/>
      <c r="K4" s="2599" t="s">
        <v>2539</v>
      </c>
      <c r="L4" s="1133"/>
      <c r="M4" s="1134"/>
      <c r="N4" s="1134"/>
      <c r="O4" s="1134"/>
      <c r="P4" s="3233" t="s">
        <v>2540</v>
      </c>
      <c r="Q4" s="3234"/>
      <c r="R4" s="3216" t="s">
        <v>2536</v>
      </c>
      <c r="S4" s="3217"/>
      <c r="T4" s="3216" t="s">
        <v>2537</v>
      </c>
      <c r="U4" s="3217"/>
      <c r="V4" s="3241" t="s">
        <v>2538</v>
      </c>
      <c r="W4" s="3241"/>
      <c r="X4" s="1816"/>
      <c r="Y4" s="3216" t="s">
        <v>2540</v>
      </c>
      <c r="Z4" s="3217"/>
      <c r="AA4" s="3211" t="s">
        <v>2536</v>
      </c>
      <c r="AB4" s="3211" t="s">
        <v>2537</v>
      </c>
      <c r="AC4" s="3211" t="s">
        <v>2538</v>
      </c>
    </row>
    <row r="5" spans="1:29" ht="15">
      <c r="A5" s="404"/>
      <c r="B5" s="405"/>
      <c r="C5" s="3222" t="s">
        <v>2541</v>
      </c>
      <c r="D5" s="3223"/>
      <c r="E5" s="3220" t="s">
        <v>2542</v>
      </c>
      <c r="F5" s="3221"/>
      <c r="G5" s="3222" t="s">
        <v>2543</v>
      </c>
      <c r="H5" s="3223"/>
      <c r="I5" s="3222" t="s">
        <v>2544</v>
      </c>
      <c r="J5" s="3223"/>
      <c r="K5" s="260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24" t="s">
        <v>2545</v>
      </c>
      <c r="D6" s="3225"/>
      <c r="E6" s="3226" t="s">
        <v>2545</v>
      </c>
      <c r="F6" s="3227"/>
      <c r="G6" s="3224" t="s">
        <v>2545</v>
      </c>
      <c r="H6" s="3225"/>
      <c r="I6" s="3224" t="s">
        <v>2545</v>
      </c>
      <c r="J6" s="3225"/>
      <c r="K6" s="2600" t="s">
        <v>2546</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2547</v>
      </c>
      <c r="B7" s="409"/>
      <c r="C7" s="410">
        <f>'数据-取费表'!B2</f>
        <v>43371</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4" t="s">
        <v>2548</v>
      </c>
      <c r="Q7" s="3242"/>
      <c r="R7" s="770" t="s">
        <v>23</v>
      </c>
      <c r="S7" s="771">
        <f t="shared" ref="S7:S15" si="0">F7</f>
        <v>0</v>
      </c>
      <c r="T7" s="770" t="s">
        <v>23</v>
      </c>
      <c r="U7" s="771">
        <f t="shared" ref="U7:U15" si="1">H7</f>
        <v>0</v>
      </c>
      <c r="V7" s="770" t="s">
        <v>23</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4" t="s">
        <v>2551</v>
      </c>
      <c r="Q8" s="3215"/>
      <c r="R8" s="770" t="s">
        <v>23</v>
      </c>
      <c r="S8" s="771">
        <f t="shared" si="0"/>
        <v>0</v>
      </c>
      <c r="T8" s="770" t="s">
        <v>23</v>
      </c>
      <c r="U8" s="771">
        <f t="shared" si="1"/>
        <v>0</v>
      </c>
      <c r="V8" s="770" t="s">
        <v>23</v>
      </c>
      <c r="W8" s="771">
        <f t="shared" si="2"/>
        <v>0</v>
      </c>
      <c r="X8" s="772"/>
      <c r="Y8" s="3214" t="s">
        <v>2551</v>
      </c>
      <c r="Z8" s="321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8"/>
      <c r="Q11" s="1798" t="str">
        <f t="shared" si="6"/>
        <v>容积率</v>
      </c>
      <c r="R11" s="770" t="s">
        <v>21</v>
      </c>
      <c r="S11" s="771" t="e">
        <f t="shared" si="0"/>
        <v>#N/A</v>
      </c>
      <c r="T11" s="770" t="s">
        <v>21</v>
      </c>
      <c r="U11" s="771" t="e">
        <f t="shared" si="1"/>
        <v>#N/A</v>
      </c>
      <c r="V11" s="770" t="s">
        <v>21</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8"/>
      <c r="Q12" s="1798">
        <f t="shared" si="6"/>
        <v>111</v>
      </c>
      <c r="R12" s="770" t="s">
        <v>21</v>
      </c>
      <c r="S12" s="771">
        <f t="shared" si="0"/>
        <v>100</v>
      </c>
      <c r="T12" s="770" t="s">
        <v>21</v>
      </c>
      <c r="U12" s="771">
        <f t="shared" si="1"/>
        <v>100</v>
      </c>
      <c r="V12" s="770" t="s">
        <v>21</v>
      </c>
      <c r="W12" s="771">
        <f t="shared" si="2"/>
        <v>100</v>
      </c>
      <c r="X12" s="772"/>
      <c r="Y12" s="306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8"/>
      <c r="Q13" s="1798">
        <f t="shared" si="6"/>
        <v>111</v>
      </c>
      <c r="R13" s="770" t="s">
        <v>21</v>
      </c>
      <c r="S13" s="771">
        <f t="shared" si="0"/>
        <v>100</v>
      </c>
      <c r="T13" s="770" t="s">
        <v>21</v>
      </c>
      <c r="U13" s="771">
        <f t="shared" si="1"/>
        <v>100</v>
      </c>
      <c r="V13" s="770" t="s">
        <v>21</v>
      </c>
      <c r="W13" s="771">
        <f t="shared" si="2"/>
        <v>100</v>
      </c>
      <c r="X13" s="772"/>
      <c r="Y13" s="306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8"/>
      <c r="Q14" s="1798">
        <f t="shared" si="6"/>
        <v>111</v>
      </c>
      <c r="R14" s="770" t="s">
        <v>21</v>
      </c>
      <c r="S14" s="771">
        <f t="shared" si="0"/>
        <v>100</v>
      </c>
      <c r="T14" s="770" t="s">
        <v>21</v>
      </c>
      <c r="U14" s="771">
        <f t="shared" si="1"/>
        <v>100</v>
      </c>
      <c r="V14" s="770" t="s">
        <v>21</v>
      </c>
      <c r="W14" s="771">
        <f t="shared" si="2"/>
        <v>100</v>
      </c>
      <c r="X14" s="772"/>
      <c r="Y14" s="3061"/>
      <c r="Z14" s="55">
        <f t="shared" si="7"/>
        <v>111</v>
      </c>
      <c r="AA14" s="773">
        <f t="shared" si="3"/>
        <v>1</v>
      </c>
      <c r="AB14" s="773">
        <f t="shared" si="4"/>
        <v>1</v>
      </c>
      <c r="AC14" s="773">
        <f t="shared" si="5"/>
        <v>1</v>
      </c>
    </row>
    <row r="15" spans="1:29" ht="99.75">
      <c r="A15" s="440" t="s">
        <v>2558</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5" t="s">
        <v>2559</v>
      </c>
      <c r="Q15" s="1813" t="str">
        <f t="shared" si="6"/>
        <v>居住社区成熟度</v>
      </c>
      <c r="R15" s="774" t="s">
        <v>21</v>
      </c>
      <c r="S15" s="775">
        <f t="shared" si="0"/>
        <v>100</v>
      </c>
      <c r="T15" s="774" t="s">
        <v>21</v>
      </c>
      <c r="U15" s="775">
        <f t="shared" si="1"/>
        <v>100</v>
      </c>
      <c r="V15" s="774" t="s">
        <v>21</v>
      </c>
      <c r="W15" s="775">
        <f t="shared" si="2"/>
        <v>100</v>
      </c>
      <c r="X15" s="1816"/>
      <c r="Y15" s="3248"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56"/>
      <c r="Q16" s="1813"/>
      <c r="R16" s="774"/>
      <c r="S16" s="775"/>
      <c r="T16" s="774"/>
      <c r="U16" s="775"/>
      <c r="V16" s="774"/>
      <c r="W16" s="775"/>
      <c r="X16" s="1816"/>
      <c r="Y16" s="3249"/>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6"/>
      <c r="Q17" s="1813" t="str">
        <f>B17</f>
        <v>交通便捷度</v>
      </c>
      <c r="R17" s="774" t="s">
        <v>21</v>
      </c>
      <c r="S17" s="775">
        <f>F17</f>
        <v>100</v>
      </c>
      <c r="T17" s="774" t="s">
        <v>21</v>
      </c>
      <c r="U17" s="775">
        <f>H17</f>
        <v>100</v>
      </c>
      <c r="V17" s="774" t="s">
        <v>21</v>
      </c>
      <c r="W17" s="775">
        <f>J17</f>
        <v>100</v>
      </c>
      <c r="X17" s="1816"/>
      <c r="Y17" s="3249"/>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56"/>
      <c r="Q18" s="1813"/>
      <c r="R18" s="774"/>
      <c r="S18" s="775"/>
      <c r="T18" s="774"/>
      <c r="U18" s="775"/>
      <c r="V18" s="774"/>
      <c r="W18" s="775"/>
      <c r="X18" s="1816"/>
      <c r="Y18" s="3249"/>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6"/>
      <c r="Q19" s="1813" t="str">
        <f>B19</f>
        <v>公共配套设施</v>
      </c>
      <c r="R19" s="774" t="s">
        <v>21</v>
      </c>
      <c r="S19" s="775">
        <f>F19</f>
        <v>100</v>
      </c>
      <c r="T19" s="774" t="s">
        <v>21</v>
      </c>
      <c r="U19" s="775">
        <f>H19</f>
        <v>100</v>
      </c>
      <c r="V19" s="774" t="s">
        <v>21</v>
      </c>
      <c r="W19" s="775">
        <f>J19</f>
        <v>100</v>
      </c>
      <c r="X19" s="1816"/>
      <c r="Y19" s="3249"/>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56"/>
      <c r="Q20" s="1813"/>
      <c r="R20" s="774"/>
      <c r="S20" s="775"/>
      <c r="T20" s="774"/>
      <c r="U20" s="775"/>
      <c r="V20" s="774"/>
      <c r="W20" s="775"/>
      <c r="X20" s="1816"/>
      <c r="Y20" s="3249"/>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56"/>
      <c r="Q22" s="1813"/>
      <c r="R22" s="774"/>
      <c r="S22" s="775"/>
      <c r="T22" s="774"/>
      <c r="U22" s="775"/>
      <c r="V22" s="774"/>
      <c r="W22" s="775"/>
      <c r="X22" s="1816"/>
      <c r="Y22" s="3249"/>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6"/>
      <c r="Q23" s="1813" t="str">
        <f>B23</f>
        <v>自然及人文环境</v>
      </c>
      <c r="R23" s="774" t="s">
        <v>21</v>
      </c>
      <c r="S23" s="775">
        <f>F23</f>
        <v>100</v>
      </c>
      <c r="T23" s="774" t="s">
        <v>21</v>
      </c>
      <c r="U23" s="775">
        <f>H23</f>
        <v>100</v>
      </c>
      <c r="V23" s="774" t="s">
        <v>21</v>
      </c>
      <c r="W23" s="775">
        <f>J23</f>
        <v>100</v>
      </c>
      <c r="X23" s="1816"/>
      <c r="Y23" s="3249"/>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56"/>
      <c r="Q24" s="1813"/>
      <c r="R24" s="774"/>
      <c r="S24" s="775"/>
      <c r="T24" s="774"/>
      <c r="U24" s="775"/>
      <c r="V24" s="774"/>
      <c r="W24" s="775"/>
      <c r="X24" s="1816"/>
      <c r="Y24" s="3249"/>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5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56"/>
      <c r="Q26" s="1813" t="str">
        <f t="shared" si="11"/>
        <v>朝向</v>
      </c>
      <c r="R26" s="774" t="s">
        <v>21</v>
      </c>
      <c r="S26" s="775">
        <f t="shared" si="12"/>
        <v>100</v>
      </c>
      <c r="T26" s="774" t="s">
        <v>21</v>
      </c>
      <c r="U26" s="775">
        <f t="shared" si="13"/>
        <v>100</v>
      </c>
      <c r="V26" s="774" t="s">
        <v>21</v>
      </c>
      <c r="W26" s="775">
        <f t="shared" si="14"/>
        <v>100</v>
      </c>
      <c r="X26" s="1816"/>
      <c r="Y26" s="324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56"/>
      <c r="Q27" s="1798">
        <f t="shared" si="11"/>
        <v>111</v>
      </c>
      <c r="R27" s="770" t="s">
        <v>21</v>
      </c>
      <c r="S27" s="771">
        <f t="shared" si="12"/>
        <v>100</v>
      </c>
      <c r="T27" s="770" t="s">
        <v>21</v>
      </c>
      <c r="U27" s="771">
        <f t="shared" si="13"/>
        <v>100</v>
      </c>
      <c r="V27" s="770" t="s">
        <v>21</v>
      </c>
      <c r="W27" s="771">
        <f t="shared" si="14"/>
        <v>100</v>
      </c>
      <c r="X27" s="772"/>
      <c r="Y27" s="324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56"/>
      <c r="Q28" s="1813">
        <f t="shared" si="11"/>
        <v>111</v>
      </c>
      <c r="R28" s="774" t="s">
        <v>21</v>
      </c>
      <c r="S28" s="775">
        <f t="shared" si="12"/>
        <v>100</v>
      </c>
      <c r="T28" s="774" t="s">
        <v>21</v>
      </c>
      <c r="U28" s="775">
        <f t="shared" si="13"/>
        <v>100</v>
      </c>
      <c r="V28" s="774" t="s">
        <v>21</v>
      </c>
      <c r="W28" s="775">
        <f t="shared" si="14"/>
        <v>100</v>
      </c>
      <c r="X28" s="1816"/>
      <c r="Y28" s="324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56"/>
      <c r="Q29" s="1813">
        <f t="shared" si="11"/>
        <v>111</v>
      </c>
      <c r="R29" s="774" t="s">
        <v>21</v>
      </c>
      <c r="S29" s="775">
        <f t="shared" si="12"/>
        <v>100</v>
      </c>
      <c r="T29" s="774" t="s">
        <v>21</v>
      </c>
      <c r="U29" s="775">
        <f t="shared" si="13"/>
        <v>100</v>
      </c>
      <c r="V29" s="774" t="s">
        <v>21</v>
      </c>
      <c r="W29" s="775">
        <f t="shared" si="14"/>
        <v>100</v>
      </c>
      <c r="X29" s="1816"/>
      <c r="Y29" s="324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56"/>
      <c r="Q30" s="1813">
        <f t="shared" si="11"/>
        <v>111</v>
      </c>
      <c r="R30" s="774" t="s">
        <v>21</v>
      </c>
      <c r="S30" s="775">
        <f t="shared" si="12"/>
        <v>100</v>
      </c>
      <c r="T30" s="774" t="s">
        <v>21</v>
      </c>
      <c r="U30" s="775">
        <f t="shared" si="13"/>
        <v>100</v>
      </c>
      <c r="V30" s="774" t="s">
        <v>21</v>
      </c>
      <c r="W30" s="775">
        <f t="shared" si="14"/>
        <v>100</v>
      </c>
      <c r="X30" s="1816"/>
      <c r="Y30" s="324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56"/>
      <c r="Q31" s="1813">
        <f t="shared" si="11"/>
        <v>111</v>
      </c>
      <c r="R31" s="774" t="s">
        <v>21</v>
      </c>
      <c r="S31" s="775">
        <f t="shared" si="12"/>
        <v>100</v>
      </c>
      <c r="T31" s="774" t="s">
        <v>21</v>
      </c>
      <c r="U31" s="775">
        <f t="shared" si="13"/>
        <v>100</v>
      </c>
      <c r="V31" s="774" t="s">
        <v>21</v>
      </c>
      <c r="W31" s="775">
        <f t="shared" si="14"/>
        <v>100</v>
      </c>
      <c r="X31" s="1816"/>
      <c r="Y31" s="3249"/>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50" t="s">
        <v>2564</v>
      </c>
      <c r="Q32" s="1813" t="str">
        <f t="shared" si="11"/>
        <v>建筑类型</v>
      </c>
      <c r="R32" s="774" t="s">
        <v>21</v>
      </c>
      <c r="S32" s="775">
        <f t="shared" si="12"/>
        <v>100</v>
      </c>
      <c r="T32" s="774" t="s">
        <v>21</v>
      </c>
      <c r="U32" s="775">
        <f t="shared" si="13"/>
        <v>100</v>
      </c>
      <c r="V32" s="774" t="s">
        <v>21</v>
      </c>
      <c r="W32" s="775">
        <f t="shared" si="14"/>
        <v>100</v>
      </c>
      <c r="X32" s="1816"/>
      <c r="Y32" s="325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51"/>
      <c r="Q33" s="776" t="str">
        <f t="shared" si="11"/>
        <v>项目建筑规模</v>
      </c>
      <c r="R33" s="777" t="s">
        <v>21</v>
      </c>
      <c r="S33" s="778" t="e">
        <f t="shared" si="12"/>
        <v>#N/A</v>
      </c>
      <c r="T33" s="777" t="s">
        <v>21</v>
      </c>
      <c r="U33" s="778" t="e">
        <f t="shared" si="13"/>
        <v>#N/A</v>
      </c>
      <c r="V33" s="777" t="s">
        <v>21</v>
      </c>
      <c r="W33" s="778" t="e">
        <f t="shared" si="14"/>
        <v>#N/A</v>
      </c>
      <c r="X33" s="779"/>
      <c r="Y33" s="3253"/>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51"/>
      <c r="Q34" s="1813" t="str">
        <f t="shared" si="11"/>
        <v>建筑结构</v>
      </c>
      <c r="R34" s="774" t="s">
        <v>21</v>
      </c>
      <c r="S34" s="775">
        <f t="shared" si="12"/>
        <v>100</v>
      </c>
      <c r="T34" s="774" t="s">
        <v>21</v>
      </c>
      <c r="U34" s="775">
        <f t="shared" si="13"/>
        <v>100</v>
      </c>
      <c r="V34" s="774" t="s">
        <v>21</v>
      </c>
      <c r="W34" s="775">
        <f t="shared" si="14"/>
        <v>100</v>
      </c>
      <c r="X34" s="1816"/>
      <c r="Y34" s="3253"/>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51"/>
      <c r="Q35" s="1813" t="str">
        <f t="shared" si="11"/>
        <v>建筑品质</v>
      </c>
      <c r="R35" s="774" t="s">
        <v>21</v>
      </c>
      <c r="S35" s="775">
        <f t="shared" si="12"/>
        <v>100</v>
      </c>
      <c r="T35" s="774" t="s">
        <v>21</v>
      </c>
      <c r="U35" s="775">
        <f t="shared" si="13"/>
        <v>100</v>
      </c>
      <c r="V35" s="774" t="s">
        <v>21</v>
      </c>
      <c r="W35" s="775">
        <f t="shared" si="14"/>
        <v>100</v>
      </c>
      <c r="X35" s="1816"/>
      <c r="Y35" s="3253"/>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51"/>
      <c r="Q36" s="1813" t="str">
        <f t="shared" si="11"/>
        <v>公共部分装修</v>
      </c>
      <c r="R36" s="774" t="s">
        <v>21</v>
      </c>
      <c r="S36" s="775">
        <f t="shared" si="12"/>
        <v>100</v>
      </c>
      <c r="T36" s="774" t="s">
        <v>21</v>
      </c>
      <c r="U36" s="775">
        <f t="shared" si="13"/>
        <v>100</v>
      </c>
      <c r="V36" s="774" t="s">
        <v>21</v>
      </c>
      <c r="W36" s="775">
        <f t="shared" si="14"/>
        <v>100</v>
      </c>
      <c r="X36" s="1816"/>
      <c r="Y36" s="325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1"/>
      <c r="Q37" s="1798" t="str">
        <f t="shared" si="11"/>
        <v>成新度</v>
      </c>
      <c r="R37" s="770" t="s">
        <v>21</v>
      </c>
      <c r="S37" s="771" t="e">
        <f t="shared" si="12"/>
        <v>#N/A</v>
      </c>
      <c r="T37" s="770" t="s">
        <v>21</v>
      </c>
      <c r="U37" s="771" t="e">
        <f t="shared" si="13"/>
        <v>#N/A</v>
      </c>
      <c r="V37" s="770" t="s">
        <v>21</v>
      </c>
      <c r="W37" s="771" t="e">
        <f t="shared" si="14"/>
        <v>#N/A</v>
      </c>
      <c r="X37" s="772"/>
      <c r="Y37" s="3253"/>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51" t="s">
        <v>2564</v>
      </c>
      <c r="Q38" s="1813" t="str">
        <f t="shared" si="11"/>
        <v>物业管理</v>
      </c>
      <c r="R38" s="774" t="s">
        <v>21</v>
      </c>
      <c r="S38" s="775">
        <f t="shared" si="12"/>
        <v>100</v>
      </c>
      <c r="T38" s="774" t="s">
        <v>21</v>
      </c>
      <c r="U38" s="775">
        <f t="shared" si="13"/>
        <v>100</v>
      </c>
      <c r="V38" s="774" t="s">
        <v>21</v>
      </c>
      <c r="W38" s="775">
        <f t="shared" si="14"/>
        <v>100</v>
      </c>
      <c r="X38" s="1816"/>
      <c r="Y38" s="3253"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51"/>
      <c r="Q39" s="1813" t="str">
        <f t="shared" si="11"/>
        <v>市政基础设施</v>
      </c>
      <c r="R39" s="774" t="s">
        <v>21</v>
      </c>
      <c r="S39" s="775">
        <f t="shared" si="12"/>
        <v>100</v>
      </c>
      <c r="T39" s="774" t="s">
        <v>21</v>
      </c>
      <c r="U39" s="775">
        <f t="shared" si="13"/>
        <v>100</v>
      </c>
      <c r="V39" s="774" t="s">
        <v>21</v>
      </c>
      <c r="W39" s="775">
        <f t="shared" si="14"/>
        <v>100</v>
      </c>
      <c r="X39" s="1816"/>
      <c r="Y39" s="3253"/>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51"/>
      <c r="Q40" s="1813" t="str">
        <f t="shared" si="11"/>
        <v>房型</v>
      </c>
      <c r="R40" s="774" t="s">
        <v>21</v>
      </c>
      <c r="S40" s="775">
        <f t="shared" si="12"/>
        <v>100</v>
      </c>
      <c r="T40" s="774" t="s">
        <v>21</v>
      </c>
      <c r="U40" s="775">
        <f t="shared" si="13"/>
        <v>100</v>
      </c>
      <c r="V40" s="774" t="s">
        <v>21</v>
      </c>
      <c r="W40" s="775">
        <f t="shared" si="14"/>
        <v>100</v>
      </c>
      <c r="X40" s="1816"/>
      <c r="Y40" s="325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51"/>
      <c r="Q41" s="776" t="str">
        <f t="shared" si="11"/>
        <v>单套/主力户型建筑面积</v>
      </c>
      <c r="R41" s="777" t="s">
        <v>21</v>
      </c>
      <c r="S41" s="778">
        <f t="shared" si="12"/>
        <v>100</v>
      </c>
      <c r="T41" s="777" t="s">
        <v>21</v>
      </c>
      <c r="U41" s="778">
        <f t="shared" si="13"/>
        <v>100</v>
      </c>
      <c r="V41" s="777" t="s">
        <v>21</v>
      </c>
      <c r="W41" s="778">
        <f t="shared" si="14"/>
        <v>100</v>
      </c>
      <c r="X41" s="779"/>
      <c r="Y41" s="3253"/>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51"/>
      <c r="Q42" s="1813" t="str">
        <f t="shared" si="11"/>
        <v>内部装修</v>
      </c>
      <c r="R42" s="774" t="s">
        <v>21</v>
      </c>
      <c r="S42" s="775">
        <f t="shared" si="12"/>
        <v>100</v>
      </c>
      <c r="T42" s="774" t="s">
        <v>21</v>
      </c>
      <c r="U42" s="775">
        <f t="shared" si="13"/>
        <v>100</v>
      </c>
      <c r="V42" s="774" t="s">
        <v>21</v>
      </c>
      <c r="W42" s="775">
        <f t="shared" si="14"/>
        <v>100</v>
      </c>
      <c r="X42" s="1816"/>
      <c r="Y42" s="3253"/>
      <c r="Z42" s="1817" t="str">
        <f t="shared" si="18"/>
        <v>内部装修</v>
      </c>
      <c r="AA42" s="1814">
        <f t="shared" si="15"/>
        <v>1</v>
      </c>
      <c r="AB42" s="1814">
        <f t="shared" si="16"/>
        <v>1</v>
      </c>
      <c r="AC42" s="1814">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51"/>
      <c r="Q43" s="1813" t="str">
        <f t="shared" si="11"/>
        <v>内部装修维护情况</v>
      </c>
      <c r="R43" s="774" t="s">
        <v>21</v>
      </c>
      <c r="S43" s="775">
        <f t="shared" si="12"/>
        <v>100</v>
      </c>
      <c r="T43" s="774" t="s">
        <v>21</v>
      </c>
      <c r="U43" s="775">
        <f t="shared" si="13"/>
        <v>100</v>
      </c>
      <c r="V43" s="774" t="s">
        <v>21</v>
      </c>
      <c r="W43" s="775">
        <f t="shared" si="14"/>
        <v>100</v>
      </c>
      <c r="X43" s="1816"/>
      <c r="Y43" s="325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51"/>
      <c r="Q44" s="1798">
        <f t="shared" si="11"/>
        <v>111</v>
      </c>
      <c r="R44" s="770" t="s">
        <v>21</v>
      </c>
      <c r="S44" s="771">
        <f t="shared" si="12"/>
        <v>100</v>
      </c>
      <c r="T44" s="770" t="s">
        <v>21</v>
      </c>
      <c r="U44" s="771">
        <f t="shared" si="13"/>
        <v>100</v>
      </c>
      <c r="V44" s="770" t="s">
        <v>21</v>
      </c>
      <c r="W44" s="771">
        <f t="shared" si="14"/>
        <v>100</v>
      </c>
      <c r="X44" s="772"/>
      <c r="Y44" s="325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51"/>
      <c r="Q45" s="1813">
        <f t="shared" si="11"/>
        <v>111</v>
      </c>
      <c r="R45" s="774" t="s">
        <v>21</v>
      </c>
      <c r="S45" s="775">
        <f t="shared" si="12"/>
        <v>100</v>
      </c>
      <c r="T45" s="774" t="s">
        <v>21</v>
      </c>
      <c r="U45" s="775">
        <f t="shared" si="13"/>
        <v>100</v>
      </c>
      <c r="V45" s="774" t="s">
        <v>21</v>
      </c>
      <c r="W45" s="775">
        <f t="shared" si="14"/>
        <v>100</v>
      </c>
      <c r="X45" s="1816"/>
      <c r="Y45" s="3253"/>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52"/>
      <c r="Q46" s="1813">
        <f t="shared" si="11"/>
        <v>111</v>
      </c>
      <c r="R46" s="774" t="s">
        <v>20</v>
      </c>
      <c r="S46" s="775">
        <f t="shared" si="12"/>
        <v>100</v>
      </c>
      <c r="T46" s="774" t="s">
        <v>20</v>
      </c>
      <c r="U46" s="775">
        <f t="shared" si="13"/>
        <v>100</v>
      </c>
      <c r="V46" s="774" t="s">
        <v>20</v>
      </c>
      <c r="W46" s="775">
        <f t="shared" si="14"/>
        <v>100</v>
      </c>
      <c r="X46" s="1816"/>
      <c r="Y46" s="3254"/>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4"/>
      <c r="L47" s="1146"/>
      <c r="M47" s="1147"/>
      <c r="N47" s="1134"/>
      <c r="O47" s="1147"/>
      <c r="P47" s="3246" t="str">
        <f>A47</f>
        <v>成交单价（元/平方米）</v>
      </c>
      <c r="Q47" s="3246"/>
      <c r="R47" s="3247">
        <f>E47</f>
        <v>0</v>
      </c>
      <c r="S47" s="3247"/>
      <c r="T47" s="3247">
        <f>G47</f>
        <v>0</v>
      </c>
      <c r="U47" s="3247"/>
      <c r="V47" s="3247">
        <f>I47</f>
        <v>0</v>
      </c>
      <c r="W47" s="3247"/>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6"/>
      <c r="L49" s="1146"/>
      <c r="M49" s="1147"/>
      <c r="N49" s="1147"/>
      <c r="O49" s="1147"/>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9"/>
      <c r="Q57" s="504"/>
    </row>
    <row r="58" spans="1:29" s="508" customFormat="1" ht="15">
      <c r="A58" s="505" t="s">
        <v>2583</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2603</v>
      </c>
      <c r="D82" s="539" t="s">
        <v>2604</v>
      </c>
      <c r="E82" s="539" t="s">
        <v>2605</v>
      </c>
      <c r="F82" s="539" t="s">
        <v>2606</v>
      </c>
      <c r="G82" s="539" t="s">
        <v>2607</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2610</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2562</v>
      </c>
      <c r="B100" s="528" t="s">
        <v>2611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5.75"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2326</v>
      </c>
      <c r="B2" s="1421" t="e">
        <f ca="1">IF(C2="——",ROUND(C49*D3/10000,0),ROUND(C49*D3/10000,0)-D2)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2328</v>
      </c>
      <c r="B3" s="609" t="e">
        <f ca="1">IF(C2="——",C49,ROUND(B2*10000/D3,0))</f>
        <v>#DIV/0!</v>
      </c>
      <c r="C3" s="400" t="s">
        <v>2643</v>
      </c>
      <c r="D3" s="399">
        <f>IF(D1="",'数据-汇总表'!E3,SUMIF('数据-汇总表'!$C19:$C33,D1,'数据-汇总表'!$E19:$E33))</f>
        <v>15902.38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41" t="s">
        <v>2647</v>
      </c>
      <c r="AC4" s="3211" t="s">
        <v>2648</v>
      </c>
    </row>
    <row r="5" spans="1:29" ht="15">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41"/>
      <c r="AC5" s="3212"/>
    </row>
    <row r="6" spans="1:29" ht="15.7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41"/>
      <c r="AC6" s="3213"/>
    </row>
    <row r="7" spans="1:29" s="117" customFormat="1" ht="15.75" thickBot="1">
      <c r="A7" s="408" t="s">
        <v>2547</v>
      </c>
      <c r="B7" s="409"/>
      <c r="C7" s="410">
        <f>'数据-取费表'!B2</f>
        <v>43371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8"/>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8"/>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8"/>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8"/>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5" t="s">
        <v>2559</v>
      </c>
      <c r="Q15" s="1813" t="str">
        <f t="shared" si="6"/>
        <v>商业繁华度</v>
      </c>
      <c r="R15" s="774" t="s">
        <v>17</v>
      </c>
      <c r="S15" s="775">
        <f t="shared" si="0"/>
        <v>100</v>
      </c>
      <c r="T15" s="774" t="s">
        <v>17</v>
      </c>
      <c r="U15" s="775">
        <f t="shared" si="1"/>
        <v>100</v>
      </c>
      <c r="V15" s="774" t="s">
        <v>17</v>
      </c>
      <c r="W15" s="775">
        <f t="shared" si="2"/>
        <v>100</v>
      </c>
      <c r="X15" s="1816"/>
      <c r="Y15" s="324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6"/>
      <c r="Q16" s="1813"/>
      <c r="R16" s="774"/>
      <c r="S16" s="775"/>
      <c r="T16" s="774"/>
      <c r="U16" s="775"/>
      <c r="V16" s="774"/>
      <c r="W16" s="775"/>
      <c r="X16" s="1816"/>
      <c r="Y16" s="3249"/>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6"/>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56"/>
      <c r="Q18" s="1813"/>
      <c r="R18" s="774"/>
      <c r="S18" s="775"/>
      <c r="T18" s="774"/>
      <c r="U18" s="775"/>
      <c r="V18" s="774"/>
      <c r="W18" s="775"/>
      <c r="X18" s="1816"/>
      <c r="Y18" s="3249"/>
      <c r="Z18" s="1817"/>
      <c r="AA18" s="1814">
        <v>1</v>
      </c>
      <c r="AB18" s="1814">
        <v>1</v>
      </c>
      <c r="AC18" s="1814">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6"/>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56"/>
      <c r="Q20" s="1813"/>
      <c r="R20" s="774"/>
      <c r="S20" s="775"/>
      <c r="T20" s="774"/>
      <c r="U20" s="775"/>
      <c r="V20" s="774"/>
      <c r="W20" s="775"/>
      <c r="X20" s="1816"/>
      <c r="Y20" s="3249"/>
      <c r="Z20" s="1817"/>
      <c r="AA20" s="1814">
        <v>1</v>
      </c>
      <c r="AB20" s="1814">
        <v>1</v>
      </c>
      <c r="AC20" s="1814">
        <v>1</v>
      </c>
    </row>
    <row r="21" spans="1:29" ht="28.5">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56"/>
      <c r="Q22" s="1813"/>
      <c r="R22" s="774"/>
      <c r="S22" s="775"/>
      <c r="T22" s="774"/>
      <c r="U22" s="775"/>
      <c r="V22" s="774"/>
      <c r="W22" s="775"/>
      <c r="X22" s="1816"/>
      <c r="Y22" s="3249"/>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6"/>
      <c r="Q23" s="1813" t="str">
        <f>B23</f>
        <v>自然及人文环境</v>
      </c>
      <c r="R23" s="774" t="s">
        <v>17</v>
      </c>
      <c r="S23" s="775">
        <f>F23</f>
        <v>100</v>
      </c>
      <c r="T23" s="774" t="s">
        <v>17</v>
      </c>
      <c r="U23" s="775">
        <f>H23</f>
        <v>100</v>
      </c>
      <c r="V23" s="774" t="s">
        <v>17</v>
      </c>
      <c r="W23" s="775">
        <f>J23</f>
        <v>100</v>
      </c>
      <c r="X23" s="1816"/>
      <c r="Y23" s="3249"/>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56"/>
      <c r="Q24" s="1813"/>
      <c r="R24" s="774"/>
      <c r="S24" s="775"/>
      <c r="T24" s="774"/>
      <c r="U24" s="775"/>
      <c r="V24" s="774"/>
      <c r="W24" s="775"/>
      <c r="X24" s="1816"/>
      <c r="Y24" s="324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6"/>
      <c r="Q25" s="1813" t="str">
        <f t="shared" ref="Q25:Q46" si="11">B25</f>
        <v>临街状况</v>
      </c>
      <c r="R25" s="774" t="s">
        <v>17</v>
      </c>
      <c r="S25" s="775">
        <f>F25</f>
        <v>100</v>
      </c>
      <c r="T25" s="774" t="s">
        <v>17</v>
      </c>
      <c r="U25" s="775">
        <f>H25</f>
        <v>100</v>
      </c>
      <c r="V25" s="774" t="s">
        <v>17</v>
      </c>
      <c r="W25" s="775">
        <f>J25</f>
        <v>100</v>
      </c>
      <c r="X25" s="1816"/>
      <c r="Y25" s="324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6"/>
      <c r="Q26" s="1813" t="str">
        <f t="shared" si="11"/>
        <v>平面位置/可视性</v>
      </c>
      <c r="R26" s="774" t="s">
        <v>17</v>
      </c>
      <c r="S26" s="775">
        <f>F26</f>
        <v>100</v>
      </c>
      <c r="T26" s="774" t="s">
        <v>17</v>
      </c>
      <c r="U26" s="775">
        <f>H26</f>
        <v>100</v>
      </c>
      <c r="V26" s="774" t="s">
        <v>17</v>
      </c>
      <c r="W26" s="775">
        <f>J26</f>
        <v>100</v>
      </c>
      <c r="X26" s="1816"/>
      <c r="Y26" s="3249"/>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56"/>
      <c r="Q27" s="1798" t="str">
        <f t="shared" si="11"/>
        <v>人流量</v>
      </c>
      <c r="R27" s="770" t="s">
        <v>17</v>
      </c>
      <c r="S27" s="771">
        <f>F27</f>
        <v>100</v>
      </c>
      <c r="T27" s="770" t="s">
        <v>17</v>
      </c>
      <c r="U27" s="771">
        <f>H27</f>
        <v>100</v>
      </c>
      <c r="V27" s="770" t="s">
        <v>17</v>
      </c>
      <c r="W27" s="771">
        <f>J27</f>
        <v>100</v>
      </c>
      <c r="X27" s="772"/>
      <c r="Y27" s="324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6"/>
      <c r="Q29" s="1813">
        <f t="shared" si="11"/>
        <v>111</v>
      </c>
      <c r="R29" s="774" t="s">
        <v>17</v>
      </c>
      <c r="S29" s="775">
        <f t="shared" si="12"/>
        <v>100</v>
      </c>
      <c r="T29" s="774" t="s">
        <v>17</v>
      </c>
      <c r="U29" s="775">
        <f t="shared" si="13"/>
        <v>100</v>
      </c>
      <c r="V29" s="774" t="s">
        <v>17</v>
      </c>
      <c r="W29" s="775">
        <f t="shared" si="14"/>
        <v>100</v>
      </c>
      <c r="X29" s="1816"/>
      <c r="Y29" s="324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6"/>
      <c r="Q30" s="1813">
        <f t="shared" si="11"/>
        <v>111</v>
      </c>
      <c r="R30" s="774" t="s">
        <v>17</v>
      </c>
      <c r="S30" s="775">
        <f t="shared" si="12"/>
        <v>100</v>
      </c>
      <c r="T30" s="774" t="s">
        <v>17</v>
      </c>
      <c r="U30" s="775">
        <f t="shared" si="13"/>
        <v>100</v>
      </c>
      <c r="V30" s="774" t="s">
        <v>17</v>
      </c>
      <c r="W30" s="775">
        <f t="shared" si="14"/>
        <v>100</v>
      </c>
      <c r="X30" s="1816"/>
      <c r="Y30" s="324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6"/>
      <c r="Q31" s="1813">
        <f t="shared" si="11"/>
        <v>111</v>
      </c>
      <c r="R31" s="774" t="s">
        <v>17</v>
      </c>
      <c r="S31" s="775">
        <f t="shared" si="12"/>
        <v>100</v>
      </c>
      <c r="T31" s="774" t="s">
        <v>17</v>
      </c>
      <c r="U31" s="775">
        <f t="shared" si="13"/>
        <v>100</v>
      </c>
      <c r="V31" s="774" t="s">
        <v>17</v>
      </c>
      <c r="W31" s="775">
        <f t="shared" si="14"/>
        <v>100</v>
      </c>
      <c r="X31" s="1816"/>
      <c r="Y31" s="3249"/>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50" t="s">
        <v>2564</v>
      </c>
      <c r="Q32" s="1813" t="str">
        <f t="shared" si="11"/>
        <v>商业类型</v>
      </c>
      <c r="R32" s="774" t="s">
        <v>17</v>
      </c>
      <c r="S32" s="775">
        <f t="shared" si="12"/>
        <v>100</v>
      </c>
      <c r="T32" s="774" t="s">
        <v>17</v>
      </c>
      <c r="U32" s="775">
        <f t="shared" si="13"/>
        <v>100</v>
      </c>
      <c r="V32" s="774" t="s">
        <v>17</v>
      </c>
      <c r="W32" s="775">
        <f t="shared" si="14"/>
        <v>100</v>
      </c>
      <c r="X32" s="1816"/>
      <c r="Y32" s="325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1"/>
      <c r="Q33" s="776" t="str">
        <f t="shared" si="11"/>
        <v>项目建筑规模</v>
      </c>
      <c r="R33" s="777" t="s">
        <v>17</v>
      </c>
      <c r="S33" s="778" t="e">
        <f t="shared" si="12"/>
        <v>#N/A</v>
      </c>
      <c r="T33" s="777" t="s">
        <v>17</v>
      </c>
      <c r="U33" s="778" t="e">
        <f t="shared" si="13"/>
        <v>#N/A</v>
      </c>
      <c r="V33" s="777" t="s">
        <v>17</v>
      </c>
      <c r="W33" s="778" t="e">
        <f t="shared" si="14"/>
        <v>#N/A</v>
      </c>
      <c r="X33" s="779"/>
      <c r="Y33" s="3253"/>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51"/>
      <c r="Q34" s="1813" t="str">
        <f t="shared" si="11"/>
        <v>建筑结构</v>
      </c>
      <c r="R34" s="774" t="s">
        <v>17</v>
      </c>
      <c r="S34" s="775">
        <f t="shared" si="12"/>
        <v>100</v>
      </c>
      <c r="T34" s="774" t="s">
        <v>17</v>
      </c>
      <c r="U34" s="775">
        <f t="shared" si="13"/>
        <v>100</v>
      </c>
      <c r="V34" s="774" t="s">
        <v>17</v>
      </c>
      <c r="W34" s="775">
        <f t="shared" si="14"/>
        <v>100</v>
      </c>
      <c r="X34" s="1816"/>
      <c r="Y34" s="3253"/>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51"/>
      <c r="Q35" s="1813" t="str">
        <f t="shared" si="11"/>
        <v>公共部分装修</v>
      </c>
      <c r="R35" s="774" t="s">
        <v>17</v>
      </c>
      <c r="S35" s="775">
        <f t="shared" si="12"/>
        <v>100</v>
      </c>
      <c r="T35" s="774" t="s">
        <v>17</v>
      </c>
      <c r="U35" s="775">
        <f t="shared" si="13"/>
        <v>100</v>
      </c>
      <c r="V35" s="774" t="s">
        <v>17</v>
      </c>
      <c r="W35" s="775">
        <f t="shared" si="14"/>
        <v>100</v>
      </c>
      <c r="X35" s="1816"/>
      <c r="Y35" s="325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1"/>
      <c r="Q36" s="1813" t="str">
        <f t="shared" si="11"/>
        <v>成新度</v>
      </c>
      <c r="R36" s="774" t="s">
        <v>17</v>
      </c>
      <c r="S36" s="775" t="e">
        <f t="shared" si="12"/>
        <v>#N/A</v>
      </c>
      <c r="T36" s="774" t="s">
        <v>17</v>
      </c>
      <c r="U36" s="775" t="e">
        <f t="shared" si="13"/>
        <v>#N/A</v>
      </c>
      <c r="V36" s="774" t="s">
        <v>17</v>
      </c>
      <c r="W36" s="775" t="e">
        <f t="shared" si="14"/>
        <v>#N/A</v>
      </c>
      <c r="X36" s="1816"/>
      <c r="Y36" s="3253"/>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51"/>
      <c r="Q37" s="1798" t="str">
        <f t="shared" si="11"/>
        <v>市政基础设施</v>
      </c>
      <c r="R37" s="770" t="s">
        <v>17</v>
      </c>
      <c r="S37" s="771">
        <f t="shared" si="12"/>
        <v>100</v>
      </c>
      <c r="T37" s="770" t="s">
        <v>17</v>
      </c>
      <c r="U37" s="771">
        <f t="shared" si="13"/>
        <v>100</v>
      </c>
      <c r="V37" s="770" t="s">
        <v>17</v>
      </c>
      <c r="W37" s="771">
        <f t="shared" si="14"/>
        <v>100</v>
      </c>
      <c r="X37" s="772"/>
      <c r="Y37" s="3253"/>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51" t="s">
        <v>2564</v>
      </c>
      <c r="Q38" s="1813" t="str">
        <f t="shared" si="11"/>
        <v>业态</v>
      </c>
      <c r="R38" s="774" t="s">
        <v>17</v>
      </c>
      <c r="S38" s="775">
        <f t="shared" si="12"/>
        <v>100</v>
      </c>
      <c r="T38" s="774" t="s">
        <v>17</v>
      </c>
      <c r="U38" s="775">
        <f t="shared" si="13"/>
        <v>100</v>
      </c>
      <c r="V38" s="774" t="s">
        <v>17</v>
      </c>
      <c r="W38" s="775">
        <f t="shared" si="14"/>
        <v>100</v>
      </c>
      <c r="X38" s="1816"/>
      <c r="Y38" s="3253"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51"/>
      <c r="Q39" s="1813" t="str">
        <f t="shared" si="11"/>
        <v>层高</v>
      </c>
      <c r="R39" s="774" t="s">
        <v>17</v>
      </c>
      <c r="S39" s="775">
        <f t="shared" si="12"/>
        <v>100</v>
      </c>
      <c r="T39" s="774" t="s">
        <v>17</v>
      </c>
      <c r="U39" s="775">
        <f t="shared" si="13"/>
        <v>100</v>
      </c>
      <c r="V39" s="774" t="s">
        <v>17</v>
      </c>
      <c r="W39" s="775">
        <f t="shared" si="14"/>
        <v>100</v>
      </c>
      <c r="X39" s="1816"/>
      <c r="Y39" s="325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1"/>
      <c r="Q40" s="1813" t="str">
        <f t="shared" si="11"/>
        <v>单套建筑面积</v>
      </c>
      <c r="R40" s="774" t="s">
        <v>17</v>
      </c>
      <c r="S40" s="775">
        <f t="shared" si="12"/>
        <v>100</v>
      </c>
      <c r="T40" s="774" t="s">
        <v>17</v>
      </c>
      <c r="U40" s="775">
        <f t="shared" si="13"/>
        <v>100</v>
      </c>
      <c r="V40" s="774" t="s">
        <v>17</v>
      </c>
      <c r="W40" s="775">
        <f t="shared" si="14"/>
        <v>100</v>
      </c>
      <c r="X40" s="1816"/>
      <c r="Y40" s="325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1"/>
      <c r="Q41" s="776" t="str">
        <f t="shared" si="11"/>
        <v>进深比</v>
      </c>
      <c r="R41" s="777" t="s">
        <v>17</v>
      </c>
      <c r="S41" s="778">
        <f t="shared" si="12"/>
        <v>100</v>
      </c>
      <c r="T41" s="777" t="s">
        <v>17</v>
      </c>
      <c r="U41" s="778">
        <f t="shared" si="13"/>
        <v>100</v>
      </c>
      <c r="V41" s="777" t="s">
        <v>17</v>
      </c>
      <c r="W41" s="778">
        <f t="shared" si="14"/>
        <v>100</v>
      </c>
      <c r="X41" s="779"/>
      <c r="Y41" s="3253"/>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51"/>
      <c r="Q42" s="1813" t="str">
        <f t="shared" si="11"/>
        <v>内部装修</v>
      </c>
      <c r="R42" s="774" t="s">
        <v>17</v>
      </c>
      <c r="S42" s="775">
        <f t="shared" si="12"/>
        <v>100</v>
      </c>
      <c r="T42" s="774" t="s">
        <v>17</v>
      </c>
      <c r="U42" s="775">
        <f t="shared" si="13"/>
        <v>100</v>
      </c>
      <c r="V42" s="774" t="s">
        <v>17</v>
      </c>
      <c r="W42" s="775">
        <f t="shared" si="14"/>
        <v>100</v>
      </c>
      <c r="X42" s="1816"/>
      <c r="Y42" s="3253"/>
      <c r="Z42" s="1817" t="str">
        <f t="shared" si="15"/>
        <v>内部装修</v>
      </c>
      <c r="AA42" s="1814">
        <f t="shared" si="3"/>
        <v>1</v>
      </c>
      <c r="AB42" s="1814">
        <f t="shared" si="4"/>
        <v>1</v>
      </c>
      <c r="AC42" s="1814">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51"/>
      <c r="Q43" s="1813" t="str">
        <f t="shared" si="11"/>
        <v>内部装修维护情况</v>
      </c>
      <c r="R43" s="774" t="s">
        <v>17</v>
      </c>
      <c r="S43" s="775">
        <f t="shared" si="12"/>
        <v>100</v>
      </c>
      <c r="T43" s="774" t="s">
        <v>17</v>
      </c>
      <c r="U43" s="775">
        <f t="shared" si="13"/>
        <v>100</v>
      </c>
      <c r="V43" s="774" t="s">
        <v>17</v>
      </c>
      <c r="W43" s="775">
        <f t="shared" si="14"/>
        <v>100</v>
      </c>
      <c r="X43" s="1816"/>
      <c r="Y43" s="325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1"/>
      <c r="Q44" s="1798">
        <f t="shared" si="11"/>
        <v>111</v>
      </c>
      <c r="R44" s="770" t="s">
        <v>17</v>
      </c>
      <c r="S44" s="771">
        <f t="shared" si="12"/>
        <v>100</v>
      </c>
      <c r="T44" s="770" t="s">
        <v>17</v>
      </c>
      <c r="U44" s="771">
        <f t="shared" si="13"/>
        <v>100</v>
      </c>
      <c r="V44" s="770" t="s">
        <v>17</v>
      </c>
      <c r="W44" s="771">
        <f t="shared" si="14"/>
        <v>100</v>
      </c>
      <c r="X44" s="772"/>
      <c r="Y44" s="325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1"/>
      <c r="Q45" s="1813">
        <f t="shared" si="11"/>
        <v>111</v>
      </c>
      <c r="R45" s="774" t="s">
        <v>17</v>
      </c>
      <c r="S45" s="775">
        <f t="shared" si="12"/>
        <v>100</v>
      </c>
      <c r="T45" s="774" t="s">
        <v>17</v>
      </c>
      <c r="U45" s="775">
        <f t="shared" si="13"/>
        <v>100</v>
      </c>
      <c r="V45" s="774" t="s">
        <v>17</v>
      </c>
      <c r="W45" s="775">
        <f t="shared" si="14"/>
        <v>100</v>
      </c>
      <c r="X45" s="1816"/>
      <c r="Y45" s="3253"/>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2"/>
      <c r="Q46" s="1813">
        <f t="shared" si="11"/>
        <v>111</v>
      </c>
      <c r="R46" s="774" t="s">
        <v>17</v>
      </c>
      <c r="S46" s="775">
        <f t="shared" si="12"/>
        <v>100</v>
      </c>
      <c r="T46" s="774" t="s">
        <v>17</v>
      </c>
      <c r="U46" s="775">
        <f t="shared" si="13"/>
        <v>100</v>
      </c>
      <c r="V46" s="774" t="s">
        <v>17</v>
      </c>
      <c r="W46" s="775">
        <f t="shared" si="14"/>
        <v>100</v>
      </c>
      <c r="X46" s="1816"/>
      <c r="Y46" s="3254"/>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46" t="str">
        <f>A47</f>
        <v>成交单价（元/平方米）</v>
      </c>
      <c r="Q47" s="3246"/>
      <c r="R47" s="3241">
        <f>E47</f>
        <v>0</v>
      </c>
      <c r="S47" s="3241"/>
      <c r="T47" s="3241">
        <f>G47</f>
        <v>0</v>
      </c>
      <c r="U47" s="3241"/>
      <c r="V47" s="3241">
        <f>I47</f>
        <v>0</v>
      </c>
      <c r="W47" s="3241"/>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2547</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2562</v>
      </c>
      <c r="B100" s="528" t="s">
        <v>2680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K53" sqref="K53:K5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2685</v>
      </c>
      <c r="C1" s="1623" t="s">
        <v>2529</v>
      </c>
      <c r="D1" s="1624" t="s">
        <v>3075</v>
      </c>
      <c r="E1" s="1633"/>
      <c r="F1" s="2587" t="s">
        <v>3236</v>
      </c>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f>IF(C2="——",ROUND(C50*D3/10000,0),ROUND(C50*D3/10000,0)-D2)</f>
        <v>59745</v>
      </c>
      <c r="C2" s="2589" t="s">
        <v>70</v>
      </c>
      <c r="D2" s="1368"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37570</v>
      </c>
      <c r="C3" s="400" t="s">
        <v>2643</v>
      </c>
      <c r="D3" s="399">
        <f>IF(D1="",'数据-汇总表'!E3,SUMIF('数据-汇总表'!$C19:$C33,D1,'数据-汇总表'!$E19:$E33))</f>
        <v>15902.38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29" t="s">
        <v>2645</v>
      </c>
      <c r="D4" s="3230"/>
      <c r="E4" s="3231" t="s">
        <v>2646</v>
      </c>
      <c r="F4" s="3232"/>
      <c r="G4" s="3229" t="s">
        <v>2647</v>
      </c>
      <c r="H4" s="3230"/>
      <c r="I4" s="3229" t="s">
        <v>2648</v>
      </c>
      <c r="J4" s="3230"/>
      <c r="K4" s="610" t="s">
        <v>2649</v>
      </c>
      <c r="L4" s="1133"/>
      <c r="M4" s="1134"/>
      <c r="N4" s="1134"/>
      <c r="O4" s="1134"/>
      <c r="P4" s="3265" t="s">
        <v>2650</v>
      </c>
      <c r="Q4" s="3266"/>
      <c r="R4" s="3258" t="s">
        <v>2646</v>
      </c>
      <c r="S4" s="3259"/>
      <c r="T4" s="3258" t="s">
        <v>2647</v>
      </c>
      <c r="U4" s="3259"/>
      <c r="V4" s="3269" t="s">
        <v>2648</v>
      </c>
      <c r="W4" s="3269"/>
      <c r="X4" s="2673"/>
      <c r="Y4" s="3258" t="s">
        <v>2650</v>
      </c>
      <c r="Z4" s="3259"/>
      <c r="AA4" s="3257" t="s">
        <v>2646</v>
      </c>
      <c r="AB4" s="3257" t="s">
        <v>2647</v>
      </c>
      <c r="AC4" s="3262" t="s">
        <v>2648</v>
      </c>
    </row>
    <row r="5" spans="1:29" ht="15">
      <c r="A5" s="404"/>
      <c r="B5" s="405"/>
      <c r="C5" s="3260" t="s">
        <v>3245</v>
      </c>
      <c r="D5" s="3223"/>
      <c r="E5" s="3260" t="s">
        <v>3238</v>
      </c>
      <c r="F5" s="3223"/>
      <c r="G5" s="3260" t="s">
        <v>3238</v>
      </c>
      <c r="H5" s="3223"/>
      <c r="I5" s="3260" t="s">
        <v>3238</v>
      </c>
      <c r="J5" s="3223"/>
      <c r="K5" s="610"/>
      <c r="L5" s="1133"/>
      <c r="M5" s="1134"/>
      <c r="N5" s="1134"/>
      <c r="O5" s="1134"/>
      <c r="P5" s="3267"/>
      <c r="Q5" s="3236"/>
      <c r="R5" s="3218"/>
      <c r="S5" s="3219"/>
      <c r="T5" s="3218"/>
      <c r="U5" s="3219"/>
      <c r="V5" s="3241"/>
      <c r="W5" s="3241"/>
      <c r="X5" s="1816"/>
      <c r="Y5" s="3218"/>
      <c r="Z5" s="3219"/>
      <c r="AA5" s="3212"/>
      <c r="AB5" s="3212"/>
      <c r="AC5" s="3263"/>
    </row>
    <row r="6" spans="1:29" ht="15.75" thickBot="1">
      <c r="A6" s="406"/>
      <c r="B6" s="407"/>
      <c r="C6" s="3261" t="s">
        <v>3244</v>
      </c>
      <c r="D6" s="3225"/>
      <c r="E6" s="3261" t="s">
        <v>3246</v>
      </c>
      <c r="F6" s="3225"/>
      <c r="G6" s="3224"/>
      <c r="H6" s="3225"/>
      <c r="I6" s="3224"/>
      <c r="J6" s="3225"/>
      <c r="K6" s="610" t="s">
        <v>2546</v>
      </c>
      <c r="L6" s="1133"/>
      <c r="M6" s="1134"/>
      <c r="N6" s="1134"/>
      <c r="O6" s="1134"/>
      <c r="P6" s="3268"/>
      <c r="Q6" s="3238"/>
      <c r="R6" s="3218"/>
      <c r="S6" s="3219"/>
      <c r="T6" s="3239"/>
      <c r="U6" s="3240"/>
      <c r="V6" s="3241"/>
      <c r="W6" s="3241"/>
      <c r="X6" s="1816"/>
      <c r="Y6" s="3239"/>
      <c r="Z6" s="3240"/>
      <c r="AA6" s="3213"/>
      <c r="AB6" s="3213"/>
      <c r="AC6" s="3264"/>
    </row>
    <row r="7" spans="1:29" s="117" customFormat="1" ht="15.75" thickBot="1">
      <c r="A7" s="408" t="s">
        <v>2547</v>
      </c>
      <c r="B7" s="409"/>
      <c r="C7" s="410">
        <f>'数据-取费表'!B2</f>
        <v>43371</v>
      </c>
      <c r="D7" s="411">
        <v>100</v>
      </c>
      <c r="E7" s="412">
        <v>43344</v>
      </c>
      <c r="F7" s="413">
        <f>SUMIF(59:59,YEAR(E7)&amp;"-"&amp;MONTH(E7),60:60)</f>
        <v>100</v>
      </c>
      <c r="G7" s="412">
        <v>43282</v>
      </c>
      <c r="H7" s="411">
        <f>SUMIF(59:59,YEAR(G7)&amp;"-"&amp;MONTH(G7),60:60)</f>
        <v>100</v>
      </c>
      <c r="I7" s="412">
        <v>43344</v>
      </c>
      <c r="J7" s="411">
        <f>SUMIF(59:59,YEAR(I7)&amp;"-"&amp;MONTH(I7),60:60)</f>
        <v>100</v>
      </c>
      <c r="K7" s="611"/>
      <c r="L7" s="1135"/>
      <c r="M7" s="1136"/>
      <c r="N7" s="1136"/>
      <c r="O7" s="1136"/>
      <c r="P7" s="3270" t="s">
        <v>2548</v>
      </c>
      <c r="Q7" s="3242"/>
      <c r="R7" s="770" t="s">
        <v>17</v>
      </c>
      <c r="S7" s="771">
        <f t="shared" ref="S7:S15" si="0">F7</f>
        <v>100</v>
      </c>
      <c r="T7" s="770" t="s">
        <v>17</v>
      </c>
      <c r="U7" s="771">
        <f t="shared" ref="U7:U15" si="1">H7</f>
        <v>100</v>
      </c>
      <c r="V7" s="770" t="s">
        <v>17</v>
      </c>
      <c r="W7" s="771">
        <f t="shared" ref="W7:W15" si="2">J7</f>
        <v>100</v>
      </c>
      <c r="X7" s="772"/>
      <c r="Y7" s="3214" t="s">
        <v>2548</v>
      </c>
      <c r="Z7" s="3215"/>
      <c r="AA7" s="773">
        <f>D7/F7</f>
        <v>1</v>
      </c>
      <c r="AB7" s="773">
        <f>D7/H7</f>
        <v>1</v>
      </c>
      <c r="AC7" s="2674">
        <f>D7/J7</f>
        <v>1</v>
      </c>
    </row>
    <row r="8" spans="1:29" s="117" customFormat="1" ht="15.7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5"/>
      <c r="M8" s="1136"/>
      <c r="N8" s="1136"/>
      <c r="O8" s="1136"/>
      <c r="P8" s="3270" t="s">
        <v>2551</v>
      </c>
      <c r="Q8" s="3215"/>
      <c r="R8" s="770" t="s">
        <v>17</v>
      </c>
      <c r="S8" s="771">
        <f t="shared" si="0"/>
        <v>100</v>
      </c>
      <c r="T8" s="770" t="s">
        <v>17</v>
      </c>
      <c r="U8" s="771">
        <f t="shared" si="1"/>
        <v>100</v>
      </c>
      <c r="V8" s="770" t="s">
        <v>17</v>
      </c>
      <c r="W8" s="771">
        <f t="shared" si="2"/>
        <v>100</v>
      </c>
      <c r="X8" s="772"/>
      <c r="Y8" s="3214" t="s">
        <v>2551</v>
      </c>
      <c r="Z8" s="3215"/>
      <c r="AA8" s="773">
        <f t="shared" ref="AA8:AA47" si="3">D8/F8</f>
        <v>1</v>
      </c>
      <c r="AB8" s="773">
        <f t="shared" ref="AB8:AB47" si="4">D8/H8</f>
        <v>1</v>
      </c>
      <c r="AC8" s="2674">
        <f t="shared" ref="AC8:AC47" si="5">D8/J8</f>
        <v>1</v>
      </c>
    </row>
    <row r="9" spans="1:29" s="117" customFormat="1">
      <c r="A9" s="415" t="s">
        <v>2552</v>
      </c>
      <c r="B9" s="71" t="s">
        <v>2553</v>
      </c>
      <c r="C9" s="2981" t="s">
        <v>3240</v>
      </c>
      <c r="D9" s="135">
        <v>100</v>
      </c>
      <c r="E9" s="419" t="s">
        <v>6</v>
      </c>
      <c r="F9" s="135">
        <f>SUMIF(64:64,E9,65:65)-SUMIF(64:64,C9,65:65)+100</f>
        <v>100</v>
      </c>
      <c r="G9" s="419" t="s">
        <v>6</v>
      </c>
      <c r="H9" s="135">
        <f>SUMIF(64:64,G9,65:65)-SUMIF(64:64,C9,65:65)+100</f>
        <v>100</v>
      </c>
      <c r="I9" s="419" t="s">
        <v>6</v>
      </c>
      <c r="J9" s="135">
        <f>SUMIF(64:64,I9,65:65)-SUMIF(64:64,C9,65:65)+100</f>
        <v>100</v>
      </c>
      <c r="K9" s="611"/>
      <c r="L9" s="1135"/>
      <c r="M9" s="1136" t="s">
        <v>3279</v>
      </c>
      <c r="N9" s="1136"/>
      <c r="O9" s="1136"/>
      <c r="P9" s="322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2674">
        <f t="shared" si="5"/>
        <v>1</v>
      </c>
    </row>
    <row r="10" spans="1:29" s="427" customFormat="1" ht="27">
      <c r="A10" s="421"/>
      <c r="B10" s="422" t="s">
        <v>2556</v>
      </c>
      <c r="C10" s="423" t="s">
        <v>3241</v>
      </c>
      <c r="D10" s="136">
        <v>100</v>
      </c>
      <c r="E10" s="423" t="s">
        <v>3241</v>
      </c>
      <c r="F10" s="136">
        <f>SUMIF(66:66,E10,67:67)-SUMIF(66:66,C10,67:67)+100</f>
        <v>100</v>
      </c>
      <c r="G10" s="423" t="s">
        <v>3241</v>
      </c>
      <c r="H10" s="136">
        <f>SUMIF(66:66,G10,67:67)-SUMIF(66:66,C10,67:67)+100</f>
        <v>100</v>
      </c>
      <c r="I10" s="423" t="s">
        <v>3241</v>
      </c>
      <c r="J10" s="136">
        <f>SUMIF(66:66,I10,67:67)-SUMIF(66:66,C10,67:67)+100</f>
        <v>100</v>
      </c>
      <c r="K10" s="612"/>
      <c r="L10" s="1138"/>
      <c r="M10" s="1139" t="s">
        <v>3280</v>
      </c>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4">
        <f t="shared" si="5"/>
        <v>1</v>
      </c>
    </row>
    <row r="11" spans="1:29" ht="15">
      <c r="A11" s="428"/>
      <c r="B11" s="422" t="s">
        <v>2557</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28"/>
      <c r="Q11" s="1798" t="str">
        <f t="shared" si="6"/>
        <v>容积率</v>
      </c>
      <c r="R11" s="770" t="s">
        <v>17</v>
      </c>
      <c r="S11" s="771">
        <f t="shared" si="0"/>
        <v>100</v>
      </c>
      <c r="T11" s="770" t="s">
        <v>17</v>
      </c>
      <c r="U11" s="771">
        <f t="shared" si="1"/>
        <v>100</v>
      </c>
      <c r="V11" s="770" t="s">
        <v>17</v>
      </c>
      <c r="W11" s="771">
        <f t="shared" si="2"/>
        <v>100</v>
      </c>
      <c r="X11" s="772"/>
      <c r="Y11" s="3061"/>
      <c r="Z11" s="55" t="str">
        <f t="shared" si="7"/>
        <v>容积率</v>
      </c>
      <c r="AA11" s="773">
        <f t="shared" si="3"/>
        <v>1</v>
      </c>
      <c r="AB11" s="773">
        <f t="shared" si="4"/>
        <v>1</v>
      </c>
      <c r="AC11" s="2674">
        <f t="shared" si="5"/>
        <v>1</v>
      </c>
    </row>
    <row r="12" spans="1:29" s="117" customFormat="1" ht="15">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8"/>
      <c r="Q12" s="1798">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2674">
        <f>D12/J12</f>
        <v>1</v>
      </c>
    </row>
    <row r="13" spans="1:29" ht="15">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8"/>
      <c r="Q13" s="1798">
        <f t="shared" si="6"/>
        <v>0</v>
      </c>
      <c r="R13" s="770" t="s">
        <v>17</v>
      </c>
      <c r="S13" s="771">
        <f t="shared" si="0"/>
        <v>100</v>
      </c>
      <c r="T13" s="770" t="s">
        <v>17</v>
      </c>
      <c r="U13" s="771">
        <f t="shared" si="1"/>
        <v>100</v>
      </c>
      <c r="V13" s="770" t="s">
        <v>17</v>
      </c>
      <c r="W13" s="771">
        <f t="shared" si="2"/>
        <v>100</v>
      </c>
      <c r="X13" s="772"/>
      <c r="Y13" s="3061"/>
      <c r="Z13" s="55">
        <f t="shared" si="7"/>
        <v>0</v>
      </c>
      <c r="AA13" s="773">
        <f t="shared" si="3"/>
        <v>1</v>
      </c>
      <c r="AB13" s="773">
        <f t="shared" si="4"/>
        <v>1</v>
      </c>
      <c r="AC13" s="2674">
        <f t="shared" si="5"/>
        <v>1</v>
      </c>
    </row>
    <row r="14" spans="1:29" ht="15.75"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8"/>
      <c r="Q14" s="1798">
        <f t="shared" si="6"/>
        <v>0</v>
      </c>
      <c r="R14" s="770" t="s">
        <v>17</v>
      </c>
      <c r="S14" s="771">
        <f t="shared" si="0"/>
        <v>100</v>
      </c>
      <c r="T14" s="770" t="s">
        <v>17</v>
      </c>
      <c r="U14" s="771">
        <f t="shared" si="1"/>
        <v>100</v>
      </c>
      <c r="V14" s="770" t="s">
        <v>17</v>
      </c>
      <c r="W14" s="771">
        <f t="shared" si="2"/>
        <v>100</v>
      </c>
      <c r="X14" s="772"/>
      <c r="Y14" s="3061"/>
      <c r="Z14" s="55">
        <f t="shared" si="7"/>
        <v>0</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55" t="s">
        <v>2559</v>
      </c>
      <c r="Q15" s="1813" t="str">
        <f t="shared" si="6"/>
        <v>办公集聚程度</v>
      </c>
      <c r="R15" s="774" t="s">
        <v>17</v>
      </c>
      <c r="S15" s="775">
        <f t="shared" si="0"/>
        <v>100</v>
      </c>
      <c r="T15" s="774" t="s">
        <v>17</v>
      </c>
      <c r="U15" s="775">
        <f t="shared" si="1"/>
        <v>100</v>
      </c>
      <c r="V15" s="774" t="s">
        <v>17</v>
      </c>
      <c r="W15" s="775">
        <f t="shared" si="2"/>
        <v>100</v>
      </c>
      <c r="X15" s="1816"/>
      <c r="Y15" s="3248" t="s">
        <v>2559</v>
      </c>
      <c r="Z15" s="1817" t="str">
        <f t="shared" si="7"/>
        <v>办公集聚程度</v>
      </c>
      <c r="AA15" s="1814">
        <f t="shared" si="3"/>
        <v>1</v>
      </c>
      <c r="AB15" s="1814">
        <f t="shared" si="4"/>
        <v>1</v>
      </c>
      <c r="AC15" s="2677">
        <f t="shared" si="5"/>
        <v>1</v>
      </c>
    </row>
    <row r="16" spans="1:29" ht="15">
      <c r="A16" s="428"/>
      <c r="B16" s="630"/>
      <c r="C16" s="2614" t="s">
        <v>3079</v>
      </c>
      <c r="D16" s="448"/>
      <c r="E16" s="2614" t="s">
        <v>3079</v>
      </c>
      <c r="F16" s="448"/>
      <c r="G16" s="2614" t="s">
        <v>3079</v>
      </c>
      <c r="H16" s="450"/>
      <c r="I16" s="2614" t="s">
        <v>3079</v>
      </c>
      <c r="J16" s="448"/>
      <c r="K16" s="615"/>
      <c r="L16" s="1143"/>
      <c r="M16" s="1134"/>
      <c r="N16" s="1134"/>
      <c r="O16" s="1134"/>
      <c r="P16" s="3256"/>
      <c r="Q16" s="1813"/>
      <c r="R16" s="774"/>
      <c r="S16" s="775"/>
      <c r="T16" s="774"/>
      <c r="U16" s="775"/>
      <c r="V16" s="774"/>
      <c r="W16" s="775"/>
      <c r="X16" s="1816"/>
      <c r="Y16" s="3249"/>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6"/>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2677">
        <f t="shared" si="5"/>
        <v>1</v>
      </c>
    </row>
    <row r="18" spans="1:29" ht="15">
      <c r="A18" s="428"/>
      <c r="B18" s="632"/>
      <c r="C18" s="2679" t="s">
        <v>3079</v>
      </c>
      <c r="D18" s="450"/>
      <c r="E18" s="2614" t="s">
        <v>3079</v>
      </c>
      <c r="F18" s="450"/>
      <c r="G18" s="2614" t="s">
        <v>3079</v>
      </c>
      <c r="H18" s="448"/>
      <c r="I18" s="2614" t="s">
        <v>3079</v>
      </c>
      <c r="J18" s="448"/>
      <c r="K18" s="615"/>
      <c r="L18" s="1143"/>
      <c r="M18" s="1134"/>
      <c r="N18" s="1134"/>
      <c r="O18" s="1134"/>
      <c r="P18" s="3256"/>
      <c r="Q18" s="1813"/>
      <c r="R18" s="774"/>
      <c r="S18" s="775"/>
      <c r="T18" s="774"/>
      <c r="U18" s="775"/>
      <c r="V18" s="774"/>
      <c r="W18" s="775"/>
      <c r="X18" s="1816"/>
      <c r="Y18" s="3249"/>
      <c r="Z18" s="1817"/>
      <c r="AA18" s="1814">
        <v>1</v>
      </c>
      <c r="AB18" s="1814">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56"/>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2677">
        <f t="shared" si="5"/>
        <v>1</v>
      </c>
    </row>
    <row r="20" spans="1:29" ht="15">
      <c r="A20" s="428"/>
      <c r="B20" s="632"/>
      <c r="C20" s="2614" t="s">
        <v>3079</v>
      </c>
      <c r="D20" s="448"/>
      <c r="E20" s="2614" t="s">
        <v>3079</v>
      </c>
      <c r="F20" s="448"/>
      <c r="G20" s="2614" t="s">
        <v>3079</v>
      </c>
      <c r="H20" s="448"/>
      <c r="I20" s="2614" t="s">
        <v>3079</v>
      </c>
      <c r="J20" s="448"/>
      <c r="K20" s="615"/>
      <c r="L20" s="1143"/>
      <c r="M20" s="1134"/>
      <c r="N20" s="1134"/>
      <c r="O20" s="1134"/>
      <c r="P20" s="3256"/>
      <c r="Q20" s="1813"/>
      <c r="R20" s="774"/>
      <c r="S20" s="775"/>
      <c r="T20" s="774"/>
      <c r="U20" s="775"/>
      <c r="V20" s="774"/>
      <c r="W20" s="775"/>
      <c r="X20" s="1816"/>
      <c r="Y20" s="3249"/>
      <c r="Z20" s="1817"/>
      <c r="AA20" s="1814">
        <v>1</v>
      </c>
      <c r="AB20" s="1814">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2677">
        <f t="shared" ref="AC21" si="10">D21/J21</f>
        <v>1</v>
      </c>
    </row>
    <row r="22" spans="1:29" ht="15">
      <c r="A22" s="428"/>
      <c r="B22" s="633"/>
      <c r="C22" s="2679" t="s">
        <v>3237</v>
      </c>
      <c r="D22" s="448"/>
      <c r="E22" s="2679" t="s">
        <v>3237</v>
      </c>
      <c r="F22" s="448"/>
      <c r="G22" s="2679" t="s">
        <v>3237</v>
      </c>
      <c r="H22" s="448"/>
      <c r="I22" s="2679" t="s">
        <v>3237</v>
      </c>
      <c r="J22" s="448"/>
      <c r="K22" s="1386"/>
      <c r="L22" s="1143"/>
      <c r="M22" s="1134"/>
      <c r="N22" s="1134"/>
      <c r="O22" s="1134"/>
      <c r="P22" s="3256"/>
      <c r="Q22" s="1813"/>
      <c r="R22" s="774"/>
      <c r="S22" s="775"/>
      <c r="T22" s="774"/>
      <c r="U22" s="775"/>
      <c r="V22" s="774"/>
      <c r="W22" s="775"/>
      <c r="X22" s="1816"/>
      <c r="Y22" s="3249"/>
      <c r="Z22" s="1817"/>
      <c r="AA22" s="1814">
        <v>1</v>
      </c>
      <c r="AB22" s="1814">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56"/>
      <c r="Q23" s="1813" t="str">
        <f>B23</f>
        <v>环境质量</v>
      </c>
      <c r="R23" s="774" t="s">
        <v>17</v>
      </c>
      <c r="S23" s="775">
        <f>F23</f>
        <v>100</v>
      </c>
      <c r="T23" s="774" t="s">
        <v>17</v>
      </c>
      <c r="U23" s="775">
        <f>H23</f>
        <v>100</v>
      </c>
      <c r="V23" s="774" t="s">
        <v>17</v>
      </c>
      <c r="W23" s="775">
        <f>J23</f>
        <v>100</v>
      </c>
      <c r="X23" s="1816"/>
      <c r="Y23" s="3249"/>
      <c r="Z23" s="1817" t="str">
        <f>Q23</f>
        <v>环境质量</v>
      </c>
      <c r="AA23" s="1814">
        <f t="shared" si="3"/>
        <v>1</v>
      </c>
      <c r="AB23" s="1814">
        <f t="shared" si="4"/>
        <v>1</v>
      </c>
      <c r="AC23" s="2677">
        <f t="shared" si="5"/>
        <v>1</v>
      </c>
    </row>
    <row r="24" spans="1:29" ht="15">
      <c r="A24" s="428"/>
      <c r="B24" s="633"/>
      <c r="C24" s="2614" t="s">
        <v>3079</v>
      </c>
      <c r="D24" s="448"/>
      <c r="E24" s="2614" t="s">
        <v>3079</v>
      </c>
      <c r="F24" s="448"/>
      <c r="G24" s="2614" t="s">
        <v>3079</v>
      </c>
      <c r="H24" s="448"/>
      <c r="I24" s="2614" t="s">
        <v>3079</v>
      </c>
      <c r="J24" s="448"/>
      <c r="K24" s="615"/>
      <c r="L24" s="1143"/>
      <c r="M24" s="1134"/>
      <c r="N24" s="1134"/>
      <c r="O24" s="1134"/>
      <c r="P24" s="3256"/>
      <c r="Q24" s="1813"/>
      <c r="R24" s="774"/>
      <c r="S24" s="775"/>
      <c r="T24" s="774"/>
      <c r="U24" s="775"/>
      <c r="V24" s="774"/>
      <c r="W24" s="775"/>
      <c r="X24" s="1816"/>
      <c r="Y24" s="3249"/>
      <c r="Z24" s="1817"/>
      <c r="AA24" s="1814">
        <v>1</v>
      </c>
      <c r="AB24" s="1814">
        <v>1</v>
      </c>
      <c r="AC24" s="2677">
        <v>1</v>
      </c>
    </row>
    <row r="25" spans="1:29" ht="27">
      <c r="A25" s="404"/>
      <c r="B25" s="631" t="s">
        <v>2690</v>
      </c>
      <c r="C25" s="2983" t="s">
        <v>3250</v>
      </c>
      <c r="D25" s="435">
        <v>100</v>
      </c>
      <c r="E25" s="2993" t="s">
        <v>3250</v>
      </c>
      <c r="F25" s="435">
        <f>SUMIF(87:87,E26,88:88)-SUMIF(87:87,C26,88:88)+100</f>
        <v>100</v>
      </c>
      <c r="G25" s="2985" t="s">
        <v>3268</v>
      </c>
      <c r="H25" s="435">
        <f>SUMIF(87:87,G26,88:88)-SUMIF(87:87,C26,88:88)+100</f>
        <v>99</v>
      </c>
      <c r="I25" s="2985" t="s">
        <v>3268</v>
      </c>
      <c r="J25" s="435">
        <f>SUMIF(87:87,I26,88:88)-SUMIF(87:87,C26,88:88)+100</f>
        <v>99</v>
      </c>
      <c r="K25" s="614">
        <v>1</v>
      </c>
      <c r="L25" s="1143"/>
      <c r="M25" s="1134"/>
      <c r="N25" s="1134"/>
      <c r="O25" s="1134"/>
      <c r="P25" s="3256"/>
      <c r="Q25" s="1813" t="str">
        <f>B25</f>
        <v>毗邻道路的类型与等级</v>
      </c>
      <c r="R25" s="774" t="s">
        <v>17</v>
      </c>
      <c r="S25" s="775">
        <f>F25</f>
        <v>100</v>
      </c>
      <c r="T25" s="774" t="s">
        <v>17</v>
      </c>
      <c r="U25" s="775">
        <f>H25</f>
        <v>99</v>
      </c>
      <c r="V25" s="774" t="s">
        <v>17</v>
      </c>
      <c r="W25" s="775">
        <f>J25</f>
        <v>99</v>
      </c>
      <c r="X25" s="1816"/>
      <c r="Y25" s="3249"/>
      <c r="Z25" s="1817" t="str">
        <f>Q25</f>
        <v>毗邻道路的类型与等级</v>
      </c>
      <c r="AA25" s="1814">
        <f t="shared" si="3"/>
        <v>1</v>
      </c>
      <c r="AB25" s="1814">
        <f t="shared" si="4"/>
        <v>1.0101010101010102</v>
      </c>
      <c r="AC25" s="2677">
        <f t="shared" si="5"/>
        <v>1.0101010101010102</v>
      </c>
    </row>
    <row r="26" spans="1:29" ht="15">
      <c r="A26" s="404"/>
      <c r="B26" s="632"/>
      <c r="C26" s="634" t="s">
        <v>3247</v>
      </c>
      <c r="D26" s="435"/>
      <c r="E26" s="2994" t="s">
        <v>3247</v>
      </c>
      <c r="F26" s="435"/>
      <c r="G26" s="616" t="s">
        <v>3274</v>
      </c>
      <c r="H26" s="435"/>
      <c r="I26" s="616" t="s">
        <v>3274</v>
      </c>
      <c r="J26" s="435"/>
      <c r="K26" s="615"/>
      <c r="L26" s="1143"/>
      <c r="M26" s="1134"/>
      <c r="N26" s="1134"/>
      <c r="O26" s="1134"/>
      <c r="P26" s="3256"/>
      <c r="Q26" s="1813"/>
      <c r="R26" s="774"/>
      <c r="S26" s="775"/>
      <c r="T26" s="774"/>
      <c r="U26" s="775"/>
      <c r="V26" s="774"/>
      <c r="W26" s="775"/>
      <c r="X26" s="1816"/>
      <c r="Y26" s="3249"/>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6"/>
      <c r="Q27" s="1813" t="str">
        <f t="shared" ref="Q27:Q47" si="11">B27</f>
        <v>楼层</v>
      </c>
      <c r="R27" s="774" t="s">
        <v>17</v>
      </c>
      <c r="S27" s="775">
        <f>F27</f>
        <v>100</v>
      </c>
      <c r="T27" s="774" t="s">
        <v>17</v>
      </c>
      <c r="U27" s="775">
        <f>H27</f>
        <v>100</v>
      </c>
      <c r="V27" s="774" t="s">
        <v>17</v>
      </c>
      <c r="W27" s="775">
        <f>J27</f>
        <v>100</v>
      </c>
      <c r="X27" s="1816"/>
      <c r="Y27" s="3249"/>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56"/>
      <c r="Q28" s="1798" t="str">
        <f t="shared" si="11"/>
        <v>朝向</v>
      </c>
      <c r="R28" s="770" t="s">
        <v>17</v>
      </c>
      <c r="S28" s="771">
        <f>F28</f>
        <v>100</v>
      </c>
      <c r="T28" s="770" t="s">
        <v>17</v>
      </c>
      <c r="U28" s="771">
        <f>H28</f>
        <v>100</v>
      </c>
      <c r="V28" s="770" t="s">
        <v>17</v>
      </c>
      <c r="W28" s="771">
        <f>J28</f>
        <v>100</v>
      </c>
      <c r="X28" s="772"/>
      <c r="Y28" s="3249"/>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56"/>
      <c r="Q29" s="1813">
        <f t="shared" si="11"/>
        <v>111</v>
      </c>
      <c r="R29" s="774" t="s">
        <v>17</v>
      </c>
      <c r="S29" s="775">
        <f t="shared" ref="S29:S47" si="12">F29</f>
        <v>100</v>
      </c>
      <c r="T29" s="774" t="s">
        <v>17</v>
      </c>
      <c r="U29" s="775">
        <f t="shared" ref="U29:U47" si="13">H29</f>
        <v>100</v>
      </c>
      <c r="V29" s="774" t="s">
        <v>17</v>
      </c>
      <c r="W29" s="775">
        <f t="shared" ref="W29:W47" si="14">J29</f>
        <v>100</v>
      </c>
      <c r="X29" s="1816"/>
      <c r="Y29" s="3249"/>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56"/>
      <c r="Q30" s="1813">
        <f t="shared" si="11"/>
        <v>111</v>
      </c>
      <c r="R30" s="774" t="s">
        <v>17</v>
      </c>
      <c r="S30" s="775">
        <f t="shared" si="12"/>
        <v>100</v>
      </c>
      <c r="T30" s="774" t="s">
        <v>17</v>
      </c>
      <c r="U30" s="775">
        <f t="shared" si="13"/>
        <v>100</v>
      </c>
      <c r="V30" s="774" t="s">
        <v>17</v>
      </c>
      <c r="W30" s="775">
        <f t="shared" si="14"/>
        <v>100</v>
      </c>
      <c r="X30" s="1816"/>
      <c r="Y30" s="3249"/>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56"/>
      <c r="Q31" s="1813">
        <f t="shared" si="11"/>
        <v>111</v>
      </c>
      <c r="R31" s="774" t="s">
        <v>17</v>
      </c>
      <c r="S31" s="775">
        <f t="shared" si="12"/>
        <v>100</v>
      </c>
      <c r="T31" s="774" t="s">
        <v>17</v>
      </c>
      <c r="U31" s="775">
        <f t="shared" si="13"/>
        <v>100</v>
      </c>
      <c r="V31" s="774" t="s">
        <v>17</v>
      </c>
      <c r="W31" s="775">
        <f t="shared" si="14"/>
        <v>100</v>
      </c>
      <c r="X31" s="1816"/>
      <c r="Y31" s="3249"/>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56"/>
      <c r="Q32" s="1813">
        <f t="shared" si="11"/>
        <v>111</v>
      </c>
      <c r="R32" s="774" t="s">
        <v>17</v>
      </c>
      <c r="S32" s="775">
        <f t="shared" si="12"/>
        <v>100</v>
      </c>
      <c r="T32" s="774" t="s">
        <v>17</v>
      </c>
      <c r="U32" s="775">
        <f t="shared" si="13"/>
        <v>100</v>
      </c>
      <c r="V32" s="774" t="s">
        <v>17</v>
      </c>
      <c r="W32" s="775">
        <f t="shared" si="14"/>
        <v>100</v>
      </c>
      <c r="X32" s="1816"/>
      <c r="Y32" s="3249"/>
      <c r="Z32" s="1817">
        <f t="shared" si="15"/>
        <v>111</v>
      </c>
      <c r="AA32" s="1814">
        <f t="shared" si="3"/>
        <v>1</v>
      </c>
      <c r="AB32" s="1814">
        <f t="shared" si="4"/>
        <v>1</v>
      </c>
      <c r="AC32" s="2677">
        <f t="shared" si="5"/>
        <v>1</v>
      </c>
    </row>
    <row r="33" spans="1:29" ht="15">
      <c r="A33" s="440" t="s">
        <v>2562</v>
      </c>
      <c r="B33" s="71" t="s">
        <v>2692</v>
      </c>
      <c r="C33" s="2682" t="s">
        <v>3270</v>
      </c>
      <c r="D33" s="467">
        <v>100</v>
      </c>
      <c r="E33" s="2682" t="s">
        <v>3270</v>
      </c>
      <c r="F33" s="461">
        <f>SUMIF(101:101,E33,102:102)-SUMIF(101:101,C33,102:102)+100</f>
        <v>100</v>
      </c>
      <c r="G33" s="2682" t="s">
        <v>3269</v>
      </c>
      <c r="H33" s="435">
        <f>SUMIF(101:101,G33,102:102)-SUMIF(101:101,C33,102:102)+100</f>
        <v>95</v>
      </c>
      <c r="I33" s="2682" t="s">
        <v>3269</v>
      </c>
      <c r="J33" s="467">
        <f>SUMIF(101:101,I33,102:102)-SUMIF(101:101,C33,102:102)+100</f>
        <v>95</v>
      </c>
      <c r="K33" s="612">
        <v>5</v>
      </c>
      <c r="L33" s="1143"/>
      <c r="M33" s="1134"/>
      <c r="N33" s="1134"/>
      <c r="O33" s="1134"/>
      <c r="P33" s="3250" t="s">
        <v>2564</v>
      </c>
      <c r="Q33" s="1813" t="str">
        <f t="shared" si="11"/>
        <v>建筑类型</v>
      </c>
      <c r="R33" s="774" t="s">
        <v>17</v>
      </c>
      <c r="S33" s="775">
        <f t="shared" si="12"/>
        <v>100</v>
      </c>
      <c r="T33" s="774" t="s">
        <v>17</v>
      </c>
      <c r="U33" s="775">
        <f t="shared" si="13"/>
        <v>95</v>
      </c>
      <c r="V33" s="774" t="s">
        <v>17</v>
      </c>
      <c r="W33" s="775">
        <f t="shared" si="14"/>
        <v>95</v>
      </c>
      <c r="X33" s="1816"/>
      <c r="Y33" s="3253" t="s">
        <v>2564</v>
      </c>
      <c r="Z33" s="1817" t="str">
        <f t="shared" si="15"/>
        <v>建筑类型</v>
      </c>
      <c r="AA33" s="1814">
        <f t="shared" si="3"/>
        <v>1</v>
      </c>
      <c r="AB33" s="1814">
        <f t="shared" si="4"/>
        <v>1.0526315789473684</v>
      </c>
      <c r="AC33" s="2677">
        <f t="shared" si="5"/>
        <v>1.0526315789473684</v>
      </c>
    </row>
    <row r="34" spans="1:29" s="471" customFormat="1" ht="15">
      <c r="A34" s="468"/>
      <c r="B34" s="422" t="s">
        <v>2565</v>
      </c>
      <c r="C34" s="469">
        <v>15902.38</v>
      </c>
      <c r="D34" s="136">
        <v>100</v>
      </c>
      <c r="E34" s="430">
        <v>15880</v>
      </c>
      <c r="F34" s="425">
        <f>LOOKUP(E34,104:104,105:105)-LOOKUP(C34,104:104,105:105)+100</f>
        <v>100</v>
      </c>
      <c r="G34" s="430">
        <v>1642.8</v>
      </c>
      <c r="H34" s="136">
        <f>LOOKUP(G34,104:104,105:105)-LOOKUP(C34,104:104,105:105)+100</f>
        <v>103</v>
      </c>
      <c r="I34" s="429">
        <v>3626</v>
      </c>
      <c r="J34" s="136">
        <f>LOOKUP(I34,104:104,105:105)-LOOKUP(C34,104:104,105:105)+100</f>
        <v>102</v>
      </c>
      <c r="K34" s="613"/>
      <c r="L34" s="1141"/>
      <c r="M34" s="1144"/>
      <c r="N34" s="1144"/>
      <c r="O34" s="1144"/>
      <c r="P34" s="3251"/>
      <c r="Q34" s="776" t="str">
        <f t="shared" si="11"/>
        <v>项目建筑规模</v>
      </c>
      <c r="R34" s="777" t="s">
        <v>17</v>
      </c>
      <c r="S34" s="778">
        <f t="shared" si="12"/>
        <v>100</v>
      </c>
      <c r="T34" s="777" t="s">
        <v>17</v>
      </c>
      <c r="U34" s="778">
        <f t="shared" si="13"/>
        <v>103</v>
      </c>
      <c r="V34" s="777" t="s">
        <v>17</v>
      </c>
      <c r="W34" s="778">
        <f t="shared" si="14"/>
        <v>102</v>
      </c>
      <c r="X34" s="779"/>
      <c r="Y34" s="3253"/>
      <c r="Z34" s="780" t="str">
        <f t="shared" si="15"/>
        <v>项目建筑规模</v>
      </c>
      <c r="AA34" s="1814">
        <f t="shared" si="3"/>
        <v>1</v>
      </c>
      <c r="AB34" s="1814">
        <f t="shared" si="4"/>
        <v>0.970873786407767</v>
      </c>
      <c r="AC34" s="2677">
        <f t="shared" si="5"/>
        <v>0.98039215686274506</v>
      </c>
    </row>
    <row r="35" spans="1:29" ht="15">
      <c r="A35" s="472"/>
      <c r="B35" s="422" t="s">
        <v>2566</v>
      </c>
      <c r="C35" s="460" t="s">
        <v>3234</v>
      </c>
      <c r="D35" s="435">
        <v>100</v>
      </c>
      <c r="E35" s="460" t="s">
        <v>3234</v>
      </c>
      <c r="F35" s="461">
        <f>SUMIF(106:106,E35,107:107)-SUMIF(106:106,C35,107:107)+100</f>
        <v>100</v>
      </c>
      <c r="G35" s="460" t="s">
        <v>3234</v>
      </c>
      <c r="H35" s="435">
        <f>SUMIF(106:106,G35,107:107)-SUMIF(106:106,C35,107:107)+100</f>
        <v>100</v>
      </c>
      <c r="I35" s="460" t="s">
        <v>3234</v>
      </c>
      <c r="J35" s="435">
        <f>SUMIF(106:106,I35,107:107)-SUMIF(106:106,C35,107:107)+100</f>
        <v>100</v>
      </c>
      <c r="K35" s="612">
        <v>1</v>
      </c>
      <c r="L35" s="1143"/>
      <c r="M35" s="1134"/>
      <c r="N35" s="1134"/>
      <c r="O35" s="1134"/>
      <c r="P35" s="3251"/>
      <c r="Q35" s="1813" t="str">
        <f t="shared" si="11"/>
        <v>建筑结构</v>
      </c>
      <c r="R35" s="774" t="s">
        <v>17</v>
      </c>
      <c r="S35" s="775">
        <f t="shared" si="12"/>
        <v>100</v>
      </c>
      <c r="T35" s="774" t="s">
        <v>17</v>
      </c>
      <c r="U35" s="775">
        <f t="shared" si="13"/>
        <v>100</v>
      </c>
      <c r="V35" s="774" t="s">
        <v>17</v>
      </c>
      <c r="W35" s="775">
        <f t="shared" si="14"/>
        <v>100</v>
      </c>
      <c r="X35" s="1816"/>
      <c r="Y35" s="3253"/>
      <c r="Z35" s="1817" t="str">
        <f t="shared" si="15"/>
        <v>建筑结构</v>
      </c>
      <c r="AA35" s="1814">
        <f t="shared" si="3"/>
        <v>1</v>
      </c>
      <c r="AB35" s="1814">
        <f t="shared" si="4"/>
        <v>1</v>
      </c>
      <c r="AC35" s="2677">
        <f t="shared" si="5"/>
        <v>1</v>
      </c>
    </row>
    <row r="36" spans="1:29" ht="15">
      <c r="A36" s="472"/>
      <c r="B36" s="422" t="s">
        <v>2660</v>
      </c>
      <c r="C36" s="460" t="s">
        <v>3253</v>
      </c>
      <c r="D36" s="435">
        <v>100</v>
      </c>
      <c r="E36" s="460" t="s">
        <v>3253</v>
      </c>
      <c r="F36" s="461">
        <f>SUMIF(108:108,E36,109:109)-SUMIF(108:108,C36,109:109)+100</f>
        <v>100</v>
      </c>
      <c r="G36" s="460" t="s">
        <v>3253</v>
      </c>
      <c r="H36" s="435">
        <f>SUMIF(108:108,G36,109:109)-SUMIF(108:108,C36,109:109)+100</f>
        <v>100</v>
      </c>
      <c r="I36" s="460" t="s">
        <v>3253</v>
      </c>
      <c r="J36" s="435">
        <f>SUMIF(108:108,I36,109:109)-SUMIF(108:108,C36,109:109)+100</f>
        <v>100</v>
      </c>
      <c r="K36" s="612">
        <v>1</v>
      </c>
      <c r="L36" s="1143"/>
      <c r="M36" s="1134"/>
      <c r="N36" s="1134"/>
      <c r="O36" s="1134"/>
      <c r="P36" s="3251"/>
      <c r="Q36" s="1813" t="str">
        <f t="shared" si="11"/>
        <v>公共部分装修</v>
      </c>
      <c r="R36" s="774" t="s">
        <v>17</v>
      </c>
      <c r="S36" s="775">
        <f t="shared" si="12"/>
        <v>100</v>
      </c>
      <c r="T36" s="774" t="s">
        <v>17</v>
      </c>
      <c r="U36" s="775">
        <f t="shared" si="13"/>
        <v>100</v>
      </c>
      <c r="V36" s="774" t="s">
        <v>17</v>
      </c>
      <c r="W36" s="775">
        <f t="shared" si="14"/>
        <v>100</v>
      </c>
      <c r="X36" s="1816"/>
      <c r="Y36" s="3253"/>
      <c r="Z36" s="1817" t="str">
        <f t="shared" si="15"/>
        <v>公共部分装修</v>
      </c>
      <c r="AA36" s="1814">
        <f t="shared" si="3"/>
        <v>1</v>
      </c>
      <c r="AB36" s="1814">
        <f t="shared" si="4"/>
        <v>1</v>
      </c>
      <c r="AC36" s="2677">
        <f t="shared" si="5"/>
        <v>1</v>
      </c>
    </row>
    <row r="37" spans="1:29" ht="15">
      <c r="A37" s="472"/>
      <c r="B37" s="422" t="s">
        <v>2661</v>
      </c>
      <c r="C37" s="474">
        <f>'数据-取费表'!N6</f>
        <v>0.88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3"/>
      <c r="M37" s="1134"/>
      <c r="N37" s="1134"/>
      <c r="O37" s="1134"/>
      <c r="P37" s="3251"/>
      <c r="Q37" s="1813" t="str">
        <f t="shared" si="11"/>
        <v>成新度</v>
      </c>
      <c r="R37" s="774" t="s">
        <v>17</v>
      </c>
      <c r="S37" s="775">
        <f t="shared" si="12"/>
        <v>100</v>
      </c>
      <c r="T37" s="774" t="s">
        <v>17</v>
      </c>
      <c r="U37" s="775">
        <f t="shared" si="13"/>
        <v>100</v>
      </c>
      <c r="V37" s="774" t="s">
        <v>17</v>
      </c>
      <c r="W37" s="775">
        <f t="shared" si="14"/>
        <v>100</v>
      </c>
      <c r="X37" s="1816"/>
      <c r="Y37" s="3253"/>
      <c r="Z37" s="1817" t="str">
        <f t="shared" si="15"/>
        <v>成新度</v>
      </c>
      <c r="AA37" s="1814">
        <f t="shared" si="3"/>
        <v>1</v>
      </c>
      <c r="AB37" s="1814">
        <f t="shared" si="4"/>
        <v>1</v>
      </c>
      <c r="AC37" s="2677">
        <f t="shared" si="5"/>
        <v>1</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1"/>
      <c r="Q38" s="1798" t="str">
        <f t="shared" si="11"/>
        <v>写字楼等级</v>
      </c>
      <c r="R38" s="770" t="s">
        <v>17</v>
      </c>
      <c r="S38" s="771">
        <f t="shared" si="12"/>
        <v>100</v>
      </c>
      <c r="T38" s="770" t="s">
        <v>17</v>
      </c>
      <c r="U38" s="771">
        <f t="shared" si="13"/>
        <v>100</v>
      </c>
      <c r="V38" s="770" t="s">
        <v>17</v>
      </c>
      <c r="W38" s="771">
        <f t="shared" si="14"/>
        <v>100</v>
      </c>
      <c r="X38" s="772"/>
      <c r="Y38" s="3253"/>
      <c r="Z38" s="55" t="str">
        <f t="shared" si="15"/>
        <v>写字楼等级</v>
      </c>
      <c r="AA38" s="773">
        <f t="shared" si="3"/>
        <v>1</v>
      </c>
      <c r="AB38" s="773">
        <f t="shared" si="4"/>
        <v>1</v>
      </c>
      <c r="AC38" s="2674">
        <f t="shared" si="5"/>
        <v>1</v>
      </c>
    </row>
    <row r="39" spans="1:29" ht="15">
      <c r="A39" s="472"/>
      <c r="B39" s="422" t="s">
        <v>2694</v>
      </c>
      <c r="C39" s="460" t="s">
        <v>3259</v>
      </c>
      <c r="D39" s="435">
        <v>100</v>
      </c>
      <c r="E39" s="460" t="s">
        <v>3259</v>
      </c>
      <c r="F39" s="461">
        <f>SUMIF(115:115,E39,116:116)-SUMIF(115:115,C39,116:116)+100</f>
        <v>100</v>
      </c>
      <c r="G39" s="460" t="s">
        <v>3272</v>
      </c>
      <c r="H39" s="435">
        <f>SUMIF(115:115,G39,116:116)-SUMIF(115:115,C39,116:116)+100</f>
        <v>98</v>
      </c>
      <c r="I39" s="460" t="s">
        <v>3272</v>
      </c>
      <c r="J39" s="435">
        <f>SUMIF(115:115,I39,116:116)-SUMIF(115:115,C39,116:116)+100</f>
        <v>98</v>
      </c>
      <c r="K39" s="612">
        <v>2</v>
      </c>
      <c r="L39" s="1143"/>
      <c r="M39" s="1134"/>
      <c r="N39" s="1134"/>
      <c r="O39" s="1134"/>
      <c r="P39" s="3251" t="s">
        <v>2564</v>
      </c>
      <c r="Q39" s="1813" t="str">
        <f t="shared" si="11"/>
        <v>物业管理</v>
      </c>
      <c r="R39" s="774" t="s">
        <v>17</v>
      </c>
      <c r="S39" s="775">
        <f t="shared" si="12"/>
        <v>100</v>
      </c>
      <c r="T39" s="774" t="s">
        <v>17</v>
      </c>
      <c r="U39" s="775">
        <f t="shared" si="13"/>
        <v>98</v>
      </c>
      <c r="V39" s="774" t="s">
        <v>17</v>
      </c>
      <c r="W39" s="775">
        <f t="shared" si="14"/>
        <v>98</v>
      </c>
      <c r="X39" s="1816"/>
      <c r="Y39" s="3253" t="s">
        <v>2564</v>
      </c>
      <c r="Z39" s="1817" t="str">
        <f t="shared" si="15"/>
        <v>物业管理</v>
      </c>
      <c r="AA39" s="1814">
        <f t="shared" si="3"/>
        <v>1</v>
      </c>
      <c r="AB39" s="1814">
        <f t="shared" si="4"/>
        <v>1.0204081632653061</v>
      </c>
      <c r="AC39" s="2677">
        <f t="shared" si="5"/>
        <v>1.0204081632653061</v>
      </c>
    </row>
    <row r="40" spans="1:29" ht="15">
      <c r="A40" s="472"/>
      <c r="B40" s="422" t="s">
        <v>2662</v>
      </c>
      <c r="C40" s="460" t="s">
        <v>3263</v>
      </c>
      <c r="D40" s="435">
        <v>100</v>
      </c>
      <c r="E40" s="460" t="s">
        <v>3263</v>
      </c>
      <c r="F40" s="461">
        <f>SUMIF(117:117,E40,118:118)-SUMIF(117:117,C40,118:118)+100</f>
        <v>100</v>
      </c>
      <c r="G40" s="460" t="s">
        <v>3263</v>
      </c>
      <c r="H40" s="435">
        <f>SUMIF(117:117,G40,118:118)-SUMIF(117:117,C40,118:118)+100</f>
        <v>100</v>
      </c>
      <c r="I40" s="460" t="s">
        <v>3263</v>
      </c>
      <c r="J40" s="435">
        <f>SUMIF(117:117,I40,118:118)-SUMIF(117:117,C40,118:118)+100</f>
        <v>100</v>
      </c>
      <c r="K40" s="612">
        <v>1</v>
      </c>
      <c r="L40" s="1143"/>
      <c r="M40" s="1134"/>
      <c r="N40" s="1134"/>
      <c r="O40" s="1134"/>
      <c r="P40" s="3251"/>
      <c r="Q40" s="1813" t="str">
        <f t="shared" si="11"/>
        <v>市政基础设施</v>
      </c>
      <c r="R40" s="774" t="s">
        <v>17</v>
      </c>
      <c r="S40" s="775">
        <f t="shared" si="12"/>
        <v>100</v>
      </c>
      <c r="T40" s="774" t="s">
        <v>17</v>
      </c>
      <c r="U40" s="775">
        <f t="shared" si="13"/>
        <v>100</v>
      </c>
      <c r="V40" s="774" t="s">
        <v>17</v>
      </c>
      <c r="W40" s="775">
        <f t="shared" si="14"/>
        <v>100</v>
      </c>
      <c r="X40" s="1816"/>
      <c r="Y40" s="3253"/>
      <c r="Z40" s="1817" t="str">
        <f t="shared" si="15"/>
        <v>市政基础设施</v>
      </c>
      <c r="AA40" s="1814">
        <f t="shared" si="3"/>
        <v>1</v>
      </c>
      <c r="AB40" s="1814">
        <f t="shared" si="4"/>
        <v>1</v>
      </c>
      <c r="AC40" s="2677">
        <f t="shared" si="5"/>
        <v>1</v>
      </c>
    </row>
    <row r="41" spans="1:29" ht="15">
      <c r="A41" s="472"/>
      <c r="B41" s="422" t="s">
        <v>2664</v>
      </c>
      <c r="C41" s="616" t="s">
        <v>3265</v>
      </c>
      <c r="D41" s="435">
        <v>100</v>
      </c>
      <c r="E41" s="616" t="s">
        <v>3265</v>
      </c>
      <c r="F41" s="461">
        <f>SUMIF(119:119,E41,120:120)-SUMIF(119:119,C41,120:120)+100</f>
        <v>100</v>
      </c>
      <c r="G41" s="616" t="s">
        <v>3265</v>
      </c>
      <c r="H41" s="435">
        <f>SUMIF(119:119,G41,120:120)-SUMIF(119:119,C41,120:120)+100</f>
        <v>100</v>
      </c>
      <c r="I41" s="616" t="s">
        <v>3265</v>
      </c>
      <c r="J41" s="435">
        <f>SUMIF(119:119,I41,120:120)-SUMIF(119:119,C41,120:120)+100</f>
        <v>100</v>
      </c>
      <c r="K41" s="612">
        <v>3</v>
      </c>
      <c r="L41" s="1143"/>
      <c r="M41" s="1134"/>
      <c r="N41" s="1134"/>
      <c r="O41" s="1134"/>
      <c r="P41" s="3251"/>
      <c r="Q41" s="1813" t="str">
        <f t="shared" si="11"/>
        <v>层高</v>
      </c>
      <c r="R41" s="774" t="s">
        <v>17</v>
      </c>
      <c r="S41" s="775">
        <f t="shared" si="12"/>
        <v>100</v>
      </c>
      <c r="T41" s="774" t="s">
        <v>17</v>
      </c>
      <c r="U41" s="775">
        <f t="shared" si="13"/>
        <v>100</v>
      </c>
      <c r="V41" s="774" t="s">
        <v>17</v>
      </c>
      <c r="W41" s="775">
        <f t="shared" si="14"/>
        <v>100</v>
      </c>
      <c r="X41" s="1816"/>
      <c r="Y41" s="3253"/>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1"/>
      <c r="Q42" s="776" t="str">
        <f t="shared" si="11"/>
        <v>单套建筑面积</v>
      </c>
      <c r="R42" s="777" t="s">
        <v>17</v>
      </c>
      <c r="S42" s="778">
        <f t="shared" si="12"/>
        <v>100</v>
      </c>
      <c r="T42" s="777" t="s">
        <v>17</v>
      </c>
      <c r="U42" s="778">
        <f t="shared" si="13"/>
        <v>100</v>
      </c>
      <c r="V42" s="777" t="s">
        <v>17</v>
      </c>
      <c r="W42" s="778">
        <f t="shared" si="14"/>
        <v>100</v>
      </c>
      <c r="X42" s="779"/>
      <c r="Y42" s="3253"/>
      <c r="Z42" s="780" t="str">
        <f t="shared" si="15"/>
        <v>单套建筑面积</v>
      </c>
      <c r="AA42" s="1814">
        <f t="shared" si="3"/>
        <v>1</v>
      </c>
      <c r="AB42" s="1814">
        <f t="shared" si="4"/>
        <v>1</v>
      </c>
      <c r="AC42" s="2677">
        <f t="shared" si="5"/>
        <v>1</v>
      </c>
    </row>
    <row r="43" spans="1:29" ht="15">
      <c r="A43" s="472"/>
      <c r="B43" s="422" t="s">
        <v>2667</v>
      </c>
      <c r="C43" s="460" t="s">
        <v>3255</v>
      </c>
      <c r="D43" s="435">
        <v>100</v>
      </c>
      <c r="E43" s="460" t="s">
        <v>3253</v>
      </c>
      <c r="F43" s="461">
        <f>SUMIF(123:123,E43,124:124)-SUMIF(123:123,C43,124:124)+100</f>
        <v>102</v>
      </c>
      <c r="G43" s="460" t="s">
        <v>3255</v>
      </c>
      <c r="H43" s="435">
        <f>SUMIF(123:123,G43,124:124)-SUMIF(123:123,C43,124:124)+100</f>
        <v>100</v>
      </c>
      <c r="I43" s="460" t="s">
        <v>3255</v>
      </c>
      <c r="J43" s="435">
        <f>SUMIF(123:123,I43,124:124)-SUMIF(123:123,C43,124:124)+100</f>
        <v>100</v>
      </c>
      <c r="K43" s="612">
        <v>2</v>
      </c>
      <c r="L43" s="1143"/>
      <c r="M43" s="1134"/>
      <c r="N43" s="1134"/>
      <c r="O43" s="1134"/>
      <c r="P43" s="3251"/>
      <c r="Q43" s="1813" t="str">
        <f t="shared" si="11"/>
        <v>内部装修</v>
      </c>
      <c r="R43" s="774" t="s">
        <v>17</v>
      </c>
      <c r="S43" s="775">
        <f t="shared" si="12"/>
        <v>102</v>
      </c>
      <c r="T43" s="774" t="s">
        <v>17</v>
      </c>
      <c r="U43" s="775">
        <f t="shared" si="13"/>
        <v>100</v>
      </c>
      <c r="V43" s="774" t="s">
        <v>17</v>
      </c>
      <c r="W43" s="775">
        <f t="shared" si="14"/>
        <v>100</v>
      </c>
      <c r="X43" s="1816"/>
      <c r="Y43" s="3253"/>
      <c r="Z43" s="1817" t="str">
        <f t="shared" si="15"/>
        <v>内部装修</v>
      </c>
      <c r="AA43" s="1814">
        <f t="shared" si="3"/>
        <v>0.98039215686274506</v>
      </c>
      <c r="AB43" s="1814">
        <f t="shared" si="4"/>
        <v>1</v>
      </c>
      <c r="AC43" s="2677">
        <f t="shared" si="5"/>
        <v>1</v>
      </c>
    </row>
    <row r="44" spans="1:29" ht="15">
      <c r="A44" s="472"/>
      <c r="B44" s="422" t="s">
        <v>2575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1</v>
      </c>
      <c r="L44" s="1143"/>
      <c r="M44" s="1134"/>
      <c r="N44" s="1134"/>
      <c r="O44" s="1134"/>
      <c r="P44" s="3251"/>
      <c r="Q44" s="1813" t="str">
        <f t="shared" si="11"/>
        <v>内部装修维护情况</v>
      </c>
      <c r="R44" s="774" t="s">
        <v>17</v>
      </c>
      <c r="S44" s="775">
        <f t="shared" si="12"/>
        <v>100</v>
      </c>
      <c r="T44" s="774" t="s">
        <v>17</v>
      </c>
      <c r="U44" s="775">
        <f t="shared" si="13"/>
        <v>100</v>
      </c>
      <c r="V44" s="774" t="s">
        <v>17</v>
      </c>
      <c r="W44" s="775">
        <f t="shared" si="14"/>
        <v>100</v>
      </c>
      <c r="X44" s="1816"/>
      <c r="Y44" s="3253"/>
      <c r="Z44" s="1817" t="str">
        <f t="shared" si="15"/>
        <v>内部装修维护情况</v>
      </c>
      <c r="AA44" s="1814">
        <f t="shared" si="3"/>
        <v>1</v>
      </c>
      <c r="AB44" s="1814">
        <f t="shared" si="4"/>
        <v>1</v>
      </c>
      <c r="AC44" s="2677">
        <f t="shared" si="5"/>
        <v>1</v>
      </c>
    </row>
    <row r="45" spans="1:29" s="117" customFormat="1" ht="15">
      <c r="A45" s="473"/>
      <c r="B45" s="1389">
        <v>111</v>
      </c>
      <c r="C45" s="469" t="s">
        <v>3277</v>
      </c>
      <c r="D45" s="136">
        <v>100</v>
      </c>
      <c r="E45" s="432" t="s">
        <v>3277</v>
      </c>
      <c r="F45" s="425">
        <f>SUMIF(127:127,E45,128:128)-SUMIF(127:127,C45,128:128)+100</f>
        <v>100</v>
      </c>
      <c r="G45" s="432" t="s">
        <v>3278</v>
      </c>
      <c r="H45" s="136">
        <f>SUMIF(127:127,G45,128:128)-SUMIF(127:127,C45,128:128)+100</f>
        <v>100</v>
      </c>
      <c r="I45" s="432" t="s">
        <v>3278</v>
      </c>
      <c r="J45" s="136">
        <f>SUMIF(127:127,I45,128:128)-SUMIF(127:127,C45,128:128)+100</f>
        <v>100</v>
      </c>
      <c r="K45" s="613"/>
      <c r="L45" s="1135"/>
      <c r="M45" s="1136"/>
      <c r="N45" s="1136"/>
      <c r="O45" s="1136"/>
      <c r="P45" s="3251"/>
      <c r="Q45" s="1798">
        <f t="shared" si="11"/>
        <v>111</v>
      </c>
      <c r="R45" s="770" t="s">
        <v>17</v>
      </c>
      <c r="S45" s="771">
        <f t="shared" si="12"/>
        <v>100</v>
      </c>
      <c r="T45" s="770" t="s">
        <v>17</v>
      </c>
      <c r="U45" s="771">
        <f t="shared" si="13"/>
        <v>100</v>
      </c>
      <c r="V45" s="770" t="s">
        <v>17</v>
      </c>
      <c r="W45" s="771">
        <f t="shared" si="14"/>
        <v>100</v>
      </c>
      <c r="X45" s="772"/>
      <c r="Y45" s="3253"/>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2"/>
      <c r="Q47" s="1813">
        <f t="shared" si="11"/>
        <v>111</v>
      </c>
      <c r="R47" s="774" t="s">
        <v>17</v>
      </c>
      <c r="S47" s="775">
        <f t="shared" si="12"/>
        <v>100</v>
      </c>
      <c r="T47" s="774" t="s">
        <v>17</v>
      </c>
      <c r="U47" s="775">
        <f t="shared" si="13"/>
        <v>100</v>
      </c>
      <c r="V47" s="774" t="s">
        <v>17</v>
      </c>
      <c r="W47" s="775">
        <f t="shared" si="14"/>
        <v>100</v>
      </c>
      <c r="X47" s="1816"/>
      <c r="Y47" s="3254"/>
      <c r="Z47" s="1817">
        <f t="shared" si="15"/>
        <v>111</v>
      </c>
      <c r="AA47" s="1814">
        <f t="shared" si="3"/>
        <v>1</v>
      </c>
      <c r="AB47" s="1814">
        <f t="shared" si="4"/>
        <v>1</v>
      </c>
      <c r="AC47" s="2677">
        <f t="shared" si="5"/>
        <v>1</v>
      </c>
    </row>
    <row r="48" spans="1:29" ht="15">
      <c r="A48" s="479" t="s">
        <v>2576</v>
      </c>
      <c r="B48" s="480"/>
      <c r="C48" s="1410" t="s">
        <v>1</v>
      </c>
      <c r="D48" s="1411"/>
      <c r="E48" s="2987">
        <f>ROUND(43799*C51,0)</f>
        <v>41609</v>
      </c>
      <c r="F48" s="2988"/>
      <c r="G48" s="2987">
        <f>ROUND(36523*C51,0)</f>
        <v>34697</v>
      </c>
      <c r="H48" s="2989"/>
      <c r="I48" s="2987">
        <f>ROUND(35000*C51,0)</f>
        <v>33250</v>
      </c>
      <c r="J48" s="485"/>
      <c r="K48" s="783"/>
      <c r="L48" s="1146"/>
      <c r="M48" s="1134"/>
      <c r="N48" s="1134"/>
      <c r="O48" s="1134"/>
      <c r="P48" s="3228" t="str">
        <f>A48</f>
        <v>成交单价（元/平方米）</v>
      </c>
      <c r="Q48" s="3246"/>
      <c r="R48" s="3247">
        <f>E48</f>
        <v>41609</v>
      </c>
      <c r="S48" s="3247"/>
      <c r="T48" s="3247">
        <f>G48</f>
        <v>34697</v>
      </c>
      <c r="U48" s="3247"/>
      <c r="V48" s="3247">
        <f>I48</f>
        <v>33250</v>
      </c>
      <c r="W48" s="3247"/>
      <c r="X48" s="446"/>
      <c r="Y48" s="781"/>
      <c r="Z48" s="446"/>
      <c r="AA48" s="446"/>
      <c r="AB48" s="446"/>
      <c r="AC48" s="630"/>
    </row>
    <row r="49" spans="1:29" ht="15.75" thickBot="1">
      <c r="A49" s="486" t="s">
        <v>2668</v>
      </c>
      <c r="B49" s="487"/>
      <c r="C49" s="1416">
        <f>R50</f>
        <v>37570</v>
      </c>
      <c r="D49" s="1417"/>
      <c r="E49" s="2990">
        <f>R49</f>
        <v>40793</v>
      </c>
      <c r="F49" s="2990"/>
      <c r="G49" s="2991">
        <f>T49</f>
        <v>36549</v>
      </c>
      <c r="H49" s="2992"/>
      <c r="I49" s="2990">
        <f>V49</f>
        <v>35368</v>
      </c>
      <c r="J49" s="489"/>
      <c r="K49" s="784"/>
      <c r="L49" s="1146"/>
      <c r="M49" s="1134"/>
      <c r="N49" s="1134"/>
      <c r="O49" s="1134"/>
      <c r="P49" s="3228" t="str">
        <f>A49</f>
        <v>比较价值（元/平方米）</v>
      </c>
      <c r="Q49" s="3246"/>
      <c r="R49" s="3247">
        <f>IF(F1="售价",ROUND(PRODUCT(R48,AA7:AA47),0),ROUND(PRODUCT(R48,AA7:AA47),1))</f>
        <v>40793</v>
      </c>
      <c r="S49" s="3247"/>
      <c r="T49" s="3247">
        <f>IF(F1="售价",ROUND(PRODUCT(T48,AB7:AB47),0),ROUND(PRODUCT(T48,AB7:AB47),1))</f>
        <v>36549</v>
      </c>
      <c r="U49" s="3247"/>
      <c r="V49" s="3247">
        <f>IF(F1="售价",ROUND(PRODUCT(V48,AC7:AC47),0),ROUND(PRODUCT(V48,AC7:AC47),1))</f>
        <v>35368</v>
      </c>
      <c r="W49" s="3247"/>
      <c r="X49" s="446"/>
      <c r="Y49" s="446"/>
      <c r="Z49" s="446"/>
      <c r="AA49" s="446"/>
      <c r="AB49" s="446"/>
      <c r="AC49" s="630"/>
    </row>
    <row r="50" spans="1:29" ht="15.75" thickBot="1">
      <c r="A50" s="492" t="s">
        <v>2669</v>
      </c>
      <c r="B50" s="493"/>
      <c r="C50" s="1420">
        <f>R50</f>
        <v>37570</v>
      </c>
      <c r="D50" s="1420"/>
      <c r="E50" s="1420"/>
      <c r="F50" s="1420"/>
      <c r="G50" s="1420"/>
      <c r="H50" s="1420"/>
      <c r="I50" s="1420"/>
      <c r="J50" s="494"/>
      <c r="K50" s="785"/>
      <c r="L50" s="1146"/>
      <c r="M50" s="1134"/>
      <c r="N50" s="1134"/>
      <c r="O50" s="1134"/>
      <c r="P50" s="3271" t="str">
        <f>A50</f>
        <v>估价对象XX用房的比较价值（楼面单价，元/平方米）</v>
      </c>
      <c r="Q50" s="3272"/>
      <c r="R50" s="3273">
        <f>IF(F1="售价",ROUND(AVERAGE(R49:V49),0),ROUND(AVERAGE(R49:V49),1))</f>
        <v>37570</v>
      </c>
      <c r="S50" s="3273"/>
      <c r="T50" s="3273"/>
      <c r="U50" s="3273"/>
      <c r="V50" s="3273"/>
      <c r="W50" s="3273"/>
      <c r="X50" s="2657"/>
      <c r="Y50" s="2657"/>
      <c r="Z50" s="2657"/>
      <c r="AA50" s="2657"/>
      <c r="AB50" s="2657"/>
      <c r="AC50" s="2658"/>
    </row>
    <row r="51" spans="1:29">
      <c r="A51" s="1147"/>
      <c r="B51" s="1147"/>
      <c r="C51" s="1147">
        <v>0.95</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f>IF(E48&lt;E49,E49/E48-1,E48/E49-1)</f>
        <v>2.0003431961366003E-2</v>
      </c>
      <c r="F53" s="500" t="str">
        <f>IF(OR(E53&gt;=0.3,E53&lt;=-0.3),"超过30%","")</f>
        <v/>
      </c>
      <c r="G53" s="499">
        <f>IF(G48&lt;G49,G49/G48-1,G48/G49-1)</f>
        <v>5.3376372597054411E-2</v>
      </c>
      <c r="H53" s="500" t="str">
        <f>IF(OR(G53&gt;=0.3,G53&lt;=-0.3),"超过30%","")</f>
        <v/>
      </c>
      <c r="I53" s="499">
        <f>IF(I48&lt;I49,I49/I48-1,I48/I49-1)</f>
        <v>6.36992481203007E-2</v>
      </c>
      <c r="J53" s="500" t="str">
        <f>IF(OR(I53&gt;=0.3,I53&lt;=-0.3),"超过30%","")</f>
        <v/>
      </c>
      <c r="K53" s="1108"/>
      <c r="L53" s="1109"/>
      <c r="M53" s="1147"/>
      <c r="N53" s="1147"/>
      <c r="O53" s="1147"/>
    </row>
    <row r="54" spans="1:29" ht="13.5" customHeight="1">
      <c r="A54" s="1147"/>
      <c r="B54" s="1147"/>
      <c r="C54" s="497" t="s">
        <v>2671</v>
      </c>
      <c r="D54" s="501"/>
      <c r="E54" s="499">
        <f>IF(E49&lt;G49,G49/E49-1,E49/G49-1)</f>
        <v>0.11611808804618451</v>
      </c>
      <c r="F54" s="500" t="str">
        <f>IF(OR(E54&gt;=0.2,E54&lt;=-0.2),"超过20%","")</f>
        <v/>
      </c>
      <c r="G54" s="499">
        <f>IF(G49&lt;I49,I49/G49-1,G49/I49-1)</f>
        <v>3.3391766568649617E-2</v>
      </c>
      <c r="H54" s="500" t="str">
        <f>IF(OR(G54&gt;=0.2,G54&lt;=-0.2),"超过20%","")</f>
        <v/>
      </c>
      <c r="I54" s="499">
        <f>IF(I49&lt;E49,E49/I49-1,I49/E49-1)</f>
        <v>0.15338724270527027</v>
      </c>
      <c r="J54" s="500" t="str">
        <f>IF(OR(I54&gt;=0.2,I54&lt;=-0.2),"超过20%","")</f>
        <v/>
      </c>
      <c r="K54" s="1108"/>
      <c r="L54" s="1109"/>
      <c r="M54" s="1147"/>
      <c r="N54" s="1147"/>
      <c r="O54" s="1147"/>
    </row>
    <row r="55" spans="1:29" s="502" customFormat="1" ht="13.5" customHeight="1">
      <c r="A55" s="1148"/>
      <c r="B55" s="1148"/>
      <c r="C55" s="497" t="s">
        <v>2672</v>
      </c>
      <c r="D55" s="501"/>
      <c r="E55" s="499">
        <f>IF(E48&lt;G48,G48/E48-1,E48/G48-1)</f>
        <v>0.19921030636654469</v>
      </c>
      <c r="F55" s="500" t="str">
        <f>IF(OR(E55&gt;=0.3,E55&lt;=-0.3),"超过30%","")</f>
        <v/>
      </c>
      <c r="G55" s="499">
        <f>IF(G48&lt;I48,I48/G48-1,G48/I48-1)</f>
        <v>4.351879699248129E-2</v>
      </c>
      <c r="H55" s="500" t="str">
        <f>IF(OR(G55&gt;=0.3,G55&lt;=-0.3),"超过30%","")</f>
        <v/>
      </c>
      <c r="I55" s="499">
        <f>IF(I48&lt;E48,E48/I48-1,I48/E48-1)</f>
        <v>0.25139849624060151</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4"/>
      <c r="Q58" s="504"/>
    </row>
    <row r="59" spans="1:29" s="508" customFormat="1" ht="15">
      <c r="A59" s="505" t="s">
        <v>2547</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v>100</v>
      </c>
      <c r="E60" s="512">
        <v>100</v>
      </c>
      <c r="F60" s="512">
        <v>99</v>
      </c>
      <c r="G60" s="512">
        <v>99</v>
      </c>
      <c r="H60" s="512">
        <v>99</v>
      </c>
      <c r="I60" s="512">
        <v>98</v>
      </c>
      <c r="J60" s="512">
        <v>98</v>
      </c>
      <c r="K60" s="512">
        <v>98</v>
      </c>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2587</v>
      </c>
      <c r="B64" s="528" t="s">
        <v>2553</v>
      </c>
      <c r="C64" s="529" t="str">
        <f>C9</f>
        <v>工业</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2557</v>
      </c>
      <c r="C68" s="547" t="str">
        <f>C69&amp;"（含）"&amp;"-"&amp;D69</f>
        <v>1（含）-2</v>
      </c>
      <c r="D68" s="547" t="str">
        <f t="shared" ref="D68:L68" si="17">D69&amp;"（含）"&amp;"-"&amp;E69</f>
        <v>2（含）-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1</v>
      </c>
      <c r="D69" s="549">
        <v>2</v>
      </c>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0</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0</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0</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7"/>
      <c r="Q86" s="504"/>
    </row>
    <row r="87" spans="1:17" s="117" customFormat="1" ht="27.75" thickTop="1">
      <c r="A87" s="579"/>
      <c r="B87" s="538" t="s">
        <v>2698</v>
      </c>
      <c r="C87" s="2982" t="s">
        <v>3248</v>
      </c>
      <c r="D87" s="2982" t="s">
        <v>3249</v>
      </c>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7"/>
      <c r="Q88" s="504"/>
    </row>
    <row r="89" spans="1:17" s="117" customFormat="1" ht="15.75" thickTop="1">
      <c r="A89" s="579"/>
      <c r="B89" s="538" t="str">
        <f>B27</f>
        <v>楼层</v>
      </c>
      <c r="C89" s="554" t="s">
        <v>3251</v>
      </c>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2562</v>
      </c>
      <c r="B101" s="528" t="s">
        <v>2611</v>
      </c>
      <c r="C101" s="2986" t="s">
        <v>3271</v>
      </c>
      <c r="D101" s="2986" t="s">
        <v>3275</v>
      </c>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7"/>
      <c r="Q102" s="504"/>
    </row>
    <row r="103" spans="1:17" ht="29.25" thickTop="1">
      <c r="A103" s="534"/>
      <c r="B103" s="538" t="s">
        <v>2612</v>
      </c>
      <c r="C103" s="578" t="str">
        <f>C104&amp;"(含)"&amp;"-"&amp;D104</f>
        <v>0(含)-2000</v>
      </c>
      <c r="D103" s="578" t="str">
        <f t="shared" ref="D103:L103" si="23">D104&amp;"(含)"&amp;"-"&amp;E104</f>
        <v>2000(含)-5000</v>
      </c>
      <c r="E103" s="578" t="str">
        <f t="shared" si="23"/>
        <v>5000(含)-10000</v>
      </c>
      <c r="F103" s="578" t="str">
        <f t="shared" si="23"/>
        <v>10000(含)-20000</v>
      </c>
      <c r="G103" s="578" t="str">
        <f t="shared" si="23"/>
        <v>20000(含)-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2000</v>
      </c>
      <c r="E104" s="595">
        <v>5000</v>
      </c>
      <c r="F104" s="595">
        <v>10000</v>
      </c>
      <c r="G104" s="595">
        <v>20000</v>
      </c>
      <c r="H104" s="595"/>
      <c r="I104" s="595"/>
      <c r="J104" s="596"/>
      <c r="K104" s="596"/>
      <c r="L104" s="597"/>
      <c r="M104" s="598"/>
      <c r="N104" s="1157"/>
      <c r="O104" s="1157"/>
      <c r="P104" s="2688"/>
      <c r="Q104" s="559"/>
    </row>
    <row r="105" spans="1:17" s="471" customFormat="1" ht="15.75" thickBot="1">
      <c r="A105" s="553"/>
      <c r="B105" s="543"/>
      <c r="C105" s="560">
        <v>100</v>
      </c>
      <c r="D105" s="536">
        <v>99</v>
      </c>
      <c r="E105" s="536">
        <v>98</v>
      </c>
      <c r="F105" s="536">
        <v>97</v>
      </c>
      <c r="G105" s="536">
        <v>96</v>
      </c>
      <c r="H105" s="536"/>
      <c r="I105" s="536"/>
      <c r="J105" s="536"/>
      <c r="K105" s="536"/>
      <c r="L105" s="536"/>
      <c r="M105" s="537"/>
      <c r="N105" s="1156"/>
      <c r="O105" s="1156"/>
      <c r="P105" s="2688"/>
      <c r="Q105" s="559"/>
    </row>
    <row r="106" spans="1:17" ht="15" thickTop="1">
      <c r="A106" s="599"/>
      <c r="B106" s="538" t="s">
        <v>2613</v>
      </c>
      <c r="C106" s="2982" t="s">
        <v>3252</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2615</v>
      </c>
      <c r="C108" s="2982" t="s">
        <v>3254</v>
      </c>
      <c r="D108" s="2982" t="s">
        <v>3256</v>
      </c>
      <c r="E108" s="2982" t="s">
        <v>3257</v>
      </c>
      <c r="F108" s="2984" t="s">
        <v>3258</v>
      </c>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2616</v>
      </c>
      <c r="C115" s="2982" t="s">
        <v>3260</v>
      </c>
      <c r="D115" s="2982" t="s">
        <v>3273</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2617</v>
      </c>
      <c r="C117" s="2982" t="s">
        <v>3261</v>
      </c>
      <c r="D117" s="2982" t="s">
        <v>3262</v>
      </c>
      <c r="E117" s="2982" t="s">
        <v>3264</v>
      </c>
      <c r="F117" s="554"/>
      <c r="G117" s="554"/>
      <c r="H117" s="583"/>
      <c r="I117" s="583"/>
      <c r="J117" s="583"/>
      <c r="K117" s="584"/>
      <c r="L117" s="585"/>
      <c r="M117" s="586"/>
      <c r="N117" s="1155"/>
      <c r="O117" s="1155"/>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2700</v>
      </c>
      <c r="C119" s="2984" t="s">
        <v>3266</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2982" t="s">
        <v>3254</v>
      </c>
      <c r="D123" s="2982" t="s">
        <v>3256</v>
      </c>
      <c r="E123" s="2982" t="s">
        <v>3257</v>
      </c>
      <c r="F123" s="2984" t="s">
        <v>3267</v>
      </c>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L37" sqref="L3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2701</v>
      </c>
      <c r="C1" s="1623" t="s">
        <v>2529</v>
      </c>
      <c r="D1" s="1624" t="s">
        <v>3075</v>
      </c>
      <c r="E1" s="1633"/>
      <c r="F1" s="2587" t="s">
        <v>3236</v>
      </c>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IF(C2="——",ROUND(C43*D3/10000,0),ROUND(C43*D3/10000,0)-D2)</f>
        <v>#DIV/0!</v>
      </c>
      <c r="C2" s="2589" t="s">
        <v>70</v>
      </c>
      <c r="D2" s="1127"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IF(C2="——",C43,ROUND(B2*10000/D3,0))</f>
        <v>#DIV/0!</v>
      </c>
      <c r="C3" s="400" t="s">
        <v>2643</v>
      </c>
      <c r="D3" s="399">
        <f>IF(D1="",'数据-汇总表'!E3,SUMIF('数据-汇总表'!$C19:$C33,D1,'数据-汇总表'!$E19:$E33))</f>
        <v>15902.38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ht="15">
      <c r="A5" s="404"/>
      <c r="B5" s="405"/>
      <c r="C5" s="3274" t="s">
        <v>3243</v>
      </c>
      <c r="D5" s="3221"/>
      <c r="E5" s="3274" t="s">
        <v>3243</v>
      </c>
      <c r="F5" s="3221"/>
      <c r="G5" s="3274" t="s">
        <v>3238</v>
      </c>
      <c r="H5" s="3221"/>
      <c r="I5" s="3274" t="s">
        <v>3238</v>
      </c>
      <c r="J5" s="3221"/>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61" t="s">
        <v>3244</v>
      </c>
      <c r="D6" s="3225"/>
      <c r="E6" s="3275" t="s">
        <v>3239</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2547</v>
      </c>
      <c r="B7" s="409"/>
      <c r="C7" s="410">
        <f>'数据-取费表'!B2</f>
        <v>43371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2550</v>
      </c>
      <c r="D8" s="411">
        <v>100</v>
      </c>
      <c r="E8" s="414" t="s">
        <v>3242</v>
      </c>
      <c r="F8" s="413">
        <f>SUMIF(55:55,E8,56:56)-SUMIF(55:55,C8,56:56)+100</f>
        <v>100</v>
      </c>
      <c r="G8" s="414" t="s">
        <v>3242</v>
      </c>
      <c r="H8" s="411">
        <f>SUMIF(55:55,G8,56:56)-SUMIF(55:55,C8,56:56)+100</f>
        <v>100</v>
      </c>
      <c r="I8" s="414" t="s">
        <v>3242</v>
      </c>
      <c r="J8" s="411">
        <f>SUMIF(55:55,I8,56:56)-SUMIF(55:55,C8,56:56)+100</f>
        <v>100</v>
      </c>
      <c r="K8" s="611"/>
      <c r="L8" s="1135"/>
      <c r="M8" s="1136"/>
      <c r="N8" s="1136"/>
      <c r="O8" s="1136"/>
      <c r="P8" s="3214" t="s">
        <v>2551</v>
      </c>
      <c r="Q8" s="3215"/>
      <c r="R8" s="770" t="s">
        <v>17</v>
      </c>
      <c r="S8" s="771">
        <f t="shared" si="0"/>
        <v>100</v>
      </c>
      <c r="T8" s="770" t="s">
        <v>17</v>
      </c>
      <c r="U8" s="771">
        <f t="shared" si="1"/>
        <v>100</v>
      </c>
      <c r="V8" s="770" t="s">
        <v>17</v>
      </c>
      <c r="W8" s="771">
        <f t="shared" si="2"/>
        <v>100</v>
      </c>
      <c r="X8" s="772"/>
      <c r="Y8" s="3214" t="s">
        <v>2551</v>
      </c>
      <c r="Z8" s="3215"/>
      <c r="AA8" s="773">
        <f t="shared" ref="AA8:AA40" si="3">D8/F8</f>
        <v>1</v>
      </c>
      <c r="AB8" s="773">
        <f t="shared" ref="AB8:AB40" si="4">D8/H8</f>
        <v>1</v>
      </c>
      <c r="AC8" s="773">
        <f t="shared" ref="AC8:AC40" si="5">D8/J8</f>
        <v>1</v>
      </c>
    </row>
    <row r="9" spans="1:29" s="117" customFormat="1">
      <c r="A9" s="415" t="s">
        <v>2552</v>
      </c>
      <c r="B9" s="71" t="s">
        <v>2553</v>
      </c>
      <c r="C9" s="2981" t="s">
        <v>3240</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24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23" t="s">
        <v>3241</v>
      </c>
      <c r="D10" s="136">
        <v>100</v>
      </c>
      <c r="E10" s="423" t="s">
        <v>3241</v>
      </c>
      <c r="F10" s="136">
        <f>SUMIF(59:59,E10,60:60)-SUMIF(59:59,C10,60:60)+100</f>
        <v>100</v>
      </c>
      <c r="G10" s="423" t="s">
        <v>3241</v>
      </c>
      <c r="H10" s="136">
        <f>SUMIF(59:59,G10,60:60)-SUMIF(59:59,C10,60:60)+100</f>
        <v>100</v>
      </c>
      <c r="I10" s="423" t="s">
        <v>3241</v>
      </c>
      <c r="J10" s="136">
        <f>SUMIF(59:59,I10,60:60)-SUMIF(59:59,C10,60:60)+100</f>
        <v>100</v>
      </c>
      <c r="K10" s="61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6"/>
      <c r="Q12" s="1798">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773">
        <f>D12/J12</f>
        <v>1</v>
      </c>
    </row>
    <row r="13" spans="1:29" ht="15">
      <c r="A13" s="428"/>
      <c r="B13" s="2603"/>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6"/>
      <c r="Q13" s="1798">
        <f t="shared" si="6"/>
        <v>0</v>
      </c>
      <c r="R13" s="770" t="s">
        <v>17</v>
      </c>
      <c r="S13" s="771">
        <f t="shared" si="0"/>
        <v>100</v>
      </c>
      <c r="T13" s="770" t="s">
        <v>17</v>
      </c>
      <c r="U13" s="771">
        <f t="shared" si="1"/>
        <v>100</v>
      </c>
      <c r="V13" s="770" t="s">
        <v>17</v>
      </c>
      <c r="W13" s="771">
        <f t="shared" si="2"/>
        <v>100</v>
      </c>
      <c r="X13" s="772"/>
      <c r="Y13" s="3061"/>
      <c r="Z13" s="55">
        <f t="shared" si="7"/>
        <v>0</v>
      </c>
      <c r="AA13" s="773">
        <f t="shared" si="3"/>
        <v>1</v>
      </c>
      <c r="AB13" s="773">
        <f t="shared" si="4"/>
        <v>1</v>
      </c>
      <c r="AC13" s="773">
        <f t="shared" si="5"/>
        <v>1</v>
      </c>
    </row>
    <row r="14" spans="1:29" ht="15.75" thickBot="1">
      <c r="A14" s="436"/>
      <c r="B14" s="2605"/>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6"/>
      <c r="Q14" s="1798">
        <f t="shared" si="6"/>
        <v>0</v>
      </c>
      <c r="R14" s="770" t="s">
        <v>17</v>
      </c>
      <c r="S14" s="771">
        <f t="shared" si="0"/>
        <v>100</v>
      </c>
      <c r="T14" s="770" t="s">
        <v>17</v>
      </c>
      <c r="U14" s="771">
        <f t="shared" si="1"/>
        <v>100</v>
      </c>
      <c r="V14" s="770" t="s">
        <v>17</v>
      </c>
      <c r="W14" s="771">
        <f t="shared" si="2"/>
        <v>100</v>
      </c>
      <c r="X14" s="772"/>
      <c r="Y14" s="3061"/>
      <c r="Z14" s="55">
        <f t="shared" si="7"/>
        <v>0</v>
      </c>
      <c r="AA14" s="773">
        <f t="shared" si="3"/>
        <v>1</v>
      </c>
      <c r="AB14" s="773">
        <f t="shared" si="4"/>
        <v>1</v>
      </c>
      <c r="AC14" s="773">
        <f t="shared" si="5"/>
        <v>1</v>
      </c>
    </row>
    <row r="15" spans="1:29" ht="78" customHeight="1">
      <c r="A15" s="440" t="s">
        <v>2558</v>
      </c>
      <c r="B15" s="69" t="s">
        <v>2702</v>
      </c>
      <c r="C15" s="2696"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8" t="s">
        <v>2559</v>
      </c>
      <c r="Q15" s="1813" t="str">
        <f t="shared" si="6"/>
        <v>产业集聚程度</v>
      </c>
      <c r="R15" s="774" t="s">
        <v>17</v>
      </c>
      <c r="S15" s="775">
        <f t="shared" si="0"/>
        <v>100</v>
      </c>
      <c r="T15" s="774" t="s">
        <v>17</v>
      </c>
      <c r="U15" s="775">
        <f t="shared" si="1"/>
        <v>100</v>
      </c>
      <c r="V15" s="774" t="s">
        <v>17</v>
      </c>
      <c r="W15" s="775">
        <f t="shared" si="2"/>
        <v>100</v>
      </c>
      <c r="X15" s="1816"/>
      <c r="Y15" s="3248" t="s">
        <v>2559</v>
      </c>
      <c r="Z15" s="1817" t="str">
        <f t="shared" si="7"/>
        <v>产业集聚程度</v>
      </c>
      <c r="AA15" s="1814">
        <f t="shared" si="3"/>
        <v>1</v>
      </c>
      <c r="AB15" s="1814">
        <f t="shared" si="4"/>
        <v>1</v>
      </c>
      <c r="AC15" s="1814">
        <f t="shared" si="5"/>
        <v>1</v>
      </c>
    </row>
    <row r="16" spans="1:29" ht="15">
      <c r="A16" s="428"/>
      <c r="B16" s="446"/>
      <c r="C16" s="447" t="s">
        <v>3079</v>
      </c>
      <c r="D16" s="448"/>
      <c r="E16" s="447" t="s">
        <v>3079</v>
      </c>
      <c r="F16" s="449"/>
      <c r="G16" s="447" t="s">
        <v>3079</v>
      </c>
      <c r="H16" s="450"/>
      <c r="I16" s="447" t="s">
        <v>3079</v>
      </c>
      <c r="J16" s="448"/>
      <c r="K16" s="615"/>
      <c r="L16" s="1143"/>
      <c r="M16" s="1134"/>
      <c r="N16" s="1134"/>
      <c r="O16" s="1142"/>
      <c r="P16" s="3249"/>
      <c r="Q16" s="1813"/>
      <c r="R16" s="774"/>
      <c r="S16" s="775"/>
      <c r="T16" s="774"/>
      <c r="U16" s="775"/>
      <c r="V16" s="774"/>
      <c r="W16" s="775"/>
      <c r="X16" s="1816"/>
      <c r="Y16" s="3249"/>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9"/>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456"/>
      <c r="C18" s="2611" t="s">
        <v>3079</v>
      </c>
      <c r="D18" s="450"/>
      <c r="E18" s="2611" t="s">
        <v>3079</v>
      </c>
      <c r="F18" s="453"/>
      <c r="G18" s="2611" t="s">
        <v>3079</v>
      </c>
      <c r="H18" s="448"/>
      <c r="I18" s="2611" t="s">
        <v>3079</v>
      </c>
      <c r="J18" s="448"/>
      <c r="K18" s="615"/>
      <c r="L18" s="1143"/>
      <c r="M18" s="1134"/>
      <c r="N18" s="1134"/>
      <c r="O18" s="1142"/>
      <c r="P18" s="3249"/>
      <c r="Q18" s="1813"/>
      <c r="R18" s="774"/>
      <c r="S18" s="775"/>
      <c r="T18" s="774"/>
      <c r="U18" s="775"/>
      <c r="V18" s="774"/>
      <c r="W18" s="775"/>
      <c r="X18" s="1816"/>
      <c r="Y18" s="3249"/>
      <c r="Z18" s="1817"/>
      <c r="AA18" s="1814">
        <v>1</v>
      </c>
      <c r="AB18" s="1814">
        <v>1</v>
      </c>
      <c r="AC18" s="1814">
        <v>1</v>
      </c>
    </row>
    <row r="19" spans="1:29" ht="42.75">
      <c r="A19" s="428"/>
      <c r="B19" s="451" t="s">
        <v>2687</v>
      </c>
      <c r="C19" s="2610"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9"/>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1814">
        <f t="shared" si="5"/>
        <v>1</v>
      </c>
    </row>
    <row r="20" spans="1:29" ht="15">
      <c r="A20" s="428"/>
      <c r="B20" s="456"/>
      <c r="C20" s="447" t="s">
        <v>3079</v>
      </c>
      <c r="D20" s="448"/>
      <c r="E20" s="2611" t="s">
        <v>3079</v>
      </c>
      <c r="F20" s="449"/>
      <c r="G20" s="2611" t="s">
        <v>3079</v>
      </c>
      <c r="H20" s="448"/>
      <c r="I20" s="2611" t="s">
        <v>3079</v>
      </c>
      <c r="J20" s="448"/>
      <c r="K20" s="615"/>
      <c r="L20" s="1143"/>
      <c r="M20" s="1134"/>
      <c r="N20" s="1134"/>
      <c r="O20" s="1142"/>
      <c r="P20" s="3249"/>
      <c r="Q20" s="1813"/>
      <c r="R20" s="774"/>
      <c r="S20" s="775"/>
      <c r="T20" s="774"/>
      <c r="U20" s="775"/>
      <c r="V20" s="774"/>
      <c r="W20" s="775"/>
      <c r="X20" s="1816"/>
      <c r="Y20" s="3249"/>
      <c r="Z20" s="1817"/>
      <c r="AA20" s="1814">
        <v>1</v>
      </c>
      <c r="AB20" s="1814">
        <v>1</v>
      </c>
      <c r="AC20" s="1814">
        <v>1</v>
      </c>
    </row>
    <row r="21" spans="1:29" ht="42.75">
      <c r="A21" s="428"/>
      <c r="B21" s="1387" t="s">
        <v>2688</v>
      </c>
      <c r="C21" s="2610" t="str">
        <f>估价对象房地状况!G6</f>
        <v>估价对象所在区域基础设施水平好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9"/>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1" t="s">
        <v>3237</v>
      </c>
      <c r="D22" s="448"/>
      <c r="E22" s="2611" t="s">
        <v>3237</v>
      </c>
      <c r="F22" s="449"/>
      <c r="G22" s="2611" t="s">
        <v>3237</v>
      </c>
      <c r="H22" s="448"/>
      <c r="I22" s="2611" t="s">
        <v>3237</v>
      </c>
      <c r="J22" s="448"/>
      <c r="K22" s="1386"/>
      <c r="L22" s="1143"/>
      <c r="M22" s="1134"/>
      <c r="N22" s="1134"/>
      <c r="O22" s="1142"/>
      <c r="P22" s="3249"/>
      <c r="Q22" s="1813"/>
      <c r="R22" s="774"/>
      <c r="S22" s="775"/>
      <c r="T22" s="774"/>
      <c r="U22" s="775"/>
      <c r="V22" s="774"/>
      <c r="W22" s="775"/>
      <c r="X22" s="1816"/>
      <c r="Y22" s="3249"/>
      <c r="Z22" s="1817"/>
      <c r="AA22" s="1814">
        <v>1</v>
      </c>
      <c r="AB22" s="1814">
        <v>1</v>
      </c>
      <c r="AC22" s="1814">
        <v>1</v>
      </c>
    </row>
    <row r="23" spans="1:29" ht="71.25">
      <c r="A23" s="428"/>
      <c r="B23" s="451" t="s">
        <v>2689</v>
      </c>
      <c r="C23" s="2610"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9"/>
      <c r="Q23" s="1813" t="str">
        <f>B23</f>
        <v>环境质量</v>
      </c>
      <c r="R23" s="774" t="s">
        <v>17</v>
      </c>
      <c r="S23" s="775">
        <f>F23</f>
        <v>100</v>
      </c>
      <c r="T23" s="774" t="s">
        <v>17</v>
      </c>
      <c r="U23" s="775">
        <f>H23</f>
        <v>100</v>
      </c>
      <c r="V23" s="774" t="s">
        <v>17</v>
      </c>
      <c r="W23" s="775">
        <f>J23</f>
        <v>100</v>
      </c>
      <c r="X23" s="1816"/>
      <c r="Y23" s="3249"/>
      <c r="Z23" s="1817" t="str">
        <f>Q23</f>
        <v>环境质量</v>
      </c>
      <c r="AA23" s="1814">
        <f t="shared" si="3"/>
        <v>1</v>
      </c>
      <c r="AB23" s="1814">
        <f t="shared" si="4"/>
        <v>1</v>
      </c>
      <c r="AC23" s="1814">
        <f t="shared" si="5"/>
        <v>1</v>
      </c>
    </row>
    <row r="24" spans="1:29" ht="15">
      <c r="A24" s="428"/>
      <c r="B24" s="1387"/>
      <c r="C24" s="447" t="s">
        <v>3079</v>
      </c>
      <c r="D24" s="448"/>
      <c r="E24" s="447" t="s">
        <v>3079</v>
      </c>
      <c r="F24" s="449"/>
      <c r="G24" s="447" t="s">
        <v>3079</v>
      </c>
      <c r="H24" s="448"/>
      <c r="I24" s="447" t="s">
        <v>3079</v>
      </c>
      <c r="J24" s="448"/>
      <c r="K24" s="615"/>
      <c r="L24" s="1143"/>
      <c r="M24" s="1134"/>
      <c r="N24" s="1134"/>
      <c r="O24" s="1142"/>
      <c r="P24" s="3249"/>
      <c r="Q24" s="1813"/>
      <c r="R24" s="774"/>
      <c r="S24" s="775"/>
      <c r="T24" s="774"/>
      <c r="U24" s="775"/>
      <c r="V24" s="774"/>
      <c r="W24" s="775"/>
      <c r="X24" s="1816"/>
      <c r="Y24" s="3249"/>
      <c r="Z24" s="1817"/>
      <c r="AA24" s="1814">
        <v>1</v>
      </c>
      <c r="AB24" s="1814">
        <v>1</v>
      </c>
      <c r="AC24" s="1814">
        <v>1</v>
      </c>
    </row>
    <row r="25" spans="1:29" ht="15">
      <c r="A25" s="404"/>
      <c r="B25" s="1389"/>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9"/>
      <c r="Q25" s="1813">
        <f>B25</f>
        <v>0</v>
      </c>
      <c r="R25" s="774" t="s">
        <v>17</v>
      </c>
      <c r="S25" s="775">
        <f>F25</f>
        <v>100</v>
      </c>
      <c r="T25" s="774" t="s">
        <v>17</v>
      </c>
      <c r="U25" s="775">
        <f>H25</f>
        <v>100</v>
      </c>
      <c r="V25" s="774" t="s">
        <v>17</v>
      </c>
      <c r="W25" s="775">
        <f>J25</f>
        <v>100</v>
      </c>
      <c r="X25" s="1816"/>
      <c r="Y25" s="3249"/>
      <c r="Z25" s="1817">
        <f>Q25</f>
        <v>0</v>
      </c>
      <c r="AA25" s="1814">
        <f t="shared" si="3"/>
        <v>1</v>
      </c>
      <c r="AB25" s="1814">
        <f t="shared" si="4"/>
        <v>1</v>
      </c>
      <c r="AC25" s="1814">
        <f t="shared" si="5"/>
        <v>1</v>
      </c>
    </row>
    <row r="26" spans="1:29" ht="15">
      <c r="A26" s="428"/>
      <c r="B26" s="1389"/>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9"/>
      <c r="Q26" s="1813">
        <f t="shared" ref="Q26:Q40" si="11">B26</f>
        <v>0</v>
      </c>
      <c r="R26" s="774" t="s">
        <v>17</v>
      </c>
      <c r="S26" s="775">
        <f>F26</f>
        <v>100</v>
      </c>
      <c r="T26" s="774" t="s">
        <v>17</v>
      </c>
      <c r="U26" s="775">
        <f>H26</f>
        <v>100</v>
      </c>
      <c r="V26" s="774" t="s">
        <v>17</v>
      </c>
      <c r="W26" s="775">
        <f>J26</f>
        <v>100</v>
      </c>
      <c r="X26" s="1816"/>
      <c r="Y26" s="3249"/>
      <c r="Z26" s="1817">
        <f>Q26</f>
        <v>0</v>
      </c>
      <c r="AA26" s="1814">
        <f t="shared" si="3"/>
        <v>1</v>
      </c>
      <c r="AB26" s="1814">
        <f t="shared" si="4"/>
        <v>1</v>
      </c>
      <c r="AC26" s="1814">
        <f t="shared" si="5"/>
        <v>1</v>
      </c>
    </row>
    <row r="27" spans="1:29" s="117" customFormat="1" ht="15">
      <c r="A27" s="431"/>
      <c r="B27" s="1389"/>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9"/>
      <c r="Q27" s="1798">
        <f t="shared" si="11"/>
        <v>0</v>
      </c>
      <c r="R27" s="770" t="s">
        <v>17</v>
      </c>
      <c r="S27" s="771">
        <f>F27</f>
        <v>100</v>
      </c>
      <c r="T27" s="770" t="s">
        <v>17</v>
      </c>
      <c r="U27" s="771">
        <f>H27</f>
        <v>100</v>
      </c>
      <c r="V27" s="770" t="s">
        <v>17</v>
      </c>
      <c r="W27" s="771">
        <f>J27</f>
        <v>100</v>
      </c>
      <c r="X27" s="772"/>
      <c r="Y27" s="3249"/>
      <c r="Z27" s="55">
        <f>Q27</f>
        <v>0</v>
      </c>
      <c r="AA27" s="1814">
        <f>D27/F27</f>
        <v>1</v>
      </c>
      <c r="AB27" s="1814">
        <f>D27/H27</f>
        <v>1</v>
      </c>
      <c r="AC27" s="1814">
        <f>D27/J27</f>
        <v>1</v>
      </c>
    </row>
    <row r="28" spans="1:29" ht="15.75" thickBot="1">
      <c r="A28" s="436"/>
      <c r="B28" s="1389"/>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9"/>
      <c r="Q28" s="1813">
        <f t="shared" si="11"/>
        <v>0</v>
      </c>
      <c r="R28" s="774" t="s">
        <v>17</v>
      </c>
      <c r="S28" s="775">
        <f t="shared" ref="S28:S40" si="12">F28</f>
        <v>100</v>
      </c>
      <c r="T28" s="774" t="s">
        <v>17</v>
      </c>
      <c r="U28" s="775">
        <f t="shared" ref="U28:U40" si="13">H28</f>
        <v>100</v>
      </c>
      <c r="V28" s="774" t="s">
        <v>17</v>
      </c>
      <c r="W28" s="775">
        <f t="shared" ref="W28:W40" si="14">J28</f>
        <v>100</v>
      </c>
      <c r="X28" s="1816"/>
      <c r="Y28" s="3249"/>
      <c r="Z28" s="1817">
        <f t="shared" ref="Z28:Z40" si="15">Q28</f>
        <v>0</v>
      </c>
      <c r="AA28" s="1814">
        <f t="shared" si="3"/>
        <v>1</v>
      </c>
      <c r="AB28" s="1814">
        <f t="shared" si="4"/>
        <v>1</v>
      </c>
      <c r="AC28" s="1814">
        <f t="shared" si="5"/>
        <v>1</v>
      </c>
    </row>
    <row r="29" spans="1:29" ht="1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6" t="s">
        <v>2564</v>
      </c>
      <c r="Q29" s="1813" t="str">
        <f t="shared" si="11"/>
        <v>建筑类型</v>
      </c>
      <c r="R29" s="774" t="s">
        <v>17</v>
      </c>
      <c r="S29" s="775">
        <f t="shared" si="12"/>
        <v>100</v>
      </c>
      <c r="T29" s="774" t="s">
        <v>17</v>
      </c>
      <c r="U29" s="775">
        <f t="shared" si="13"/>
        <v>100</v>
      </c>
      <c r="V29" s="774" t="s">
        <v>17</v>
      </c>
      <c r="W29" s="775">
        <f t="shared" si="14"/>
        <v>100</v>
      </c>
      <c r="X29" s="1816"/>
      <c r="Y29" s="325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3"/>
      <c r="Q30" s="776" t="str">
        <f t="shared" si="11"/>
        <v>项目建筑规模</v>
      </c>
      <c r="R30" s="777" t="s">
        <v>17</v>
      </c>
      <c r="S30" s="778" t="e">
        <f t="shared" si="12"/>
        <v>#N/A</v>
      </c>
      <c r="T30" s="777" t="s">
        <v>17</v>
      </c>
      <c r="U30" s="778" t="e">
        <f t="shared" si="13"/>
        <v>#N/A</v>
      </c>
      <c r="V30" s="777" t="s">
        <v>17</v>
      </c>
      <c r="W30" s="778" t="e">
        <f t="shared" si="14"/>
        <v>#N/A</v>
      </c>
      <c r="X30" s="779"/>
      <c r="Y30" s="325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3"/>
      <c r="Q31" s="1813" t="str">
        <f t="shared" si="11"/>
        <v>建筑结构</v>
      </c>
      <c r="R31" s="774" t="s">
        <v>17</v>
      </c>
      <c r="S31" s="775">
        <f t="shared" si="12"/>
        <v>100</v>
      </c>
      <c r="T31" s="774" t="s">
        <v>17</v>
      </c>
      <c r="U31" s="775">
        <f t="shared" si="13"/>
        <v>100</v>
      </c>
      <c r="V31" s="774" t="s">
        <v>17</v>
      </c>
      <c r="W31" s="775">
        <f t="shared" si="14"/>
        <v>100</v>
      </c>
      <c r="X31" s="1816"/>
      <c r="Y31" s="325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3"/>
      <c r="Q32" s="1813" t="str">
        <f t="shared" si="11"/>
        <v>公共部分装修</v>
      </c>
      <c r="R32" s="774" t="s">
        <v>17</v>
      </c>
      <c r="S32" s="775">
        <f t="shared" si="12"/>
        <v>100</v>
      </c>
      <c r="T32" s="774" t="s">
        <v>17</v>
      </c>
      <c r="U32" s="775">
        <f t="shared" si="13"/>
        <v>100</v>
      </c>
      <c r="V32" s="774" t="s">
        <v>17</v>
      </c>
      <c r="W32" s="775">
        <f t="shared" si="14"/>
        <v>100</v>
      </c>
      <c r="X32" s="1816"/>
      <c r="Y32" s="325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3"/>
      <c r="Q33" s="1813" t="str">
        <f t="shared" si="11"/>
        <v>成新度</v>
      </c>
      <c r="R33" s="774" t="s">
        <v>17</v>
      </c>
      <c r="S33" s="775" t="e">
        <f t="shared" si="12"/>
        <v>#N/A</v>
      </c>
      <c r="T33" s="774" t="s">
        <v>17</v>
      </c>
      <c r="U33" s="775" t="e">
        <f t="shared" si="13"/>
        <v>#N/A</v>
      </c>
      <c r="V33" s="774" t="s">
        <v>17</v>
      </c>
      <c r="W33" s="775" t="e">
        <f t="shared" si="14"/>
        <v>#N/A</v>
      </c>
      <c r="X33" s="1816"/>
      <c r="Y33" s="325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3"/>
      <c r="Q34" s="1798" t="str">
        <f t="shared" si="11"/>
        <v>物业管理</v>
      </c>
      <c r="R34" s="770" t="s">
        <v>17</v>
      </c>
      <c r="S34" s="771">
        <f t="shared" si="12"/>
        <v>100</v>
      </c>
      <c r="T34" s="770" t="s">
        <v>17</v>
      </c>
      <c r="U34" s="771">
        <f t="shared" si="13"/>
        <v>100</v>
      </c>
      <c r="V34" s="770" t="s">
        <v>17</v>
      </c>
      <c r="W34" s="771">
        <f t="shared" si="14"/>
        <v>100</v>
      </c>
      <c r="X34" s="772"/>
      <c r="Y34" s="325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3" t="s">
        <v>2564</v>
      </c>
      <c r="Q35" s="1813" t="str">
        <f t="shared" si="11"/>
        <v>市政基础设施</v>
      </c>
      <c r="R35" s="774" t="s">
        <v>17</v>
      </c>
      <c r="S35" s="775">
        <f t="shared" si="12"/>
        <v>100</v>
      </c>
      <c r="T35" s="774" t="s">
        <v>17</v>
      </c>
      <c r="U35" s="775">
        <f t="shared" si="13"/>
        <v>100</v>
      </c>
      <c r="V35" s="774" t="s">
        <v>17</v>
      </c>
      <c r="W35" s="775">
        <f t="shared" si="14"/>
        <v>100</v>
      </c>
      <c r="X35" s="1816"/>
      <c r="Y35" s="325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3"/>
      <c r="Q36" s="1813" t="str">
        <f t="shared" si="11"/>
        <v>内部装修</v>
      </c>
      <c r="R36" s="774" t="s">
        <v>17</v>
      </c>
      <c r="S36" s="775">
        <f t="shared" si="12"/>
        <v>100</v>
      </c>
      <c r="T36" s="774" t="s">
        <v>17</v>
      </c>
      <c r="U36" s="775">
        <f t="shared" si="13"/>
        <v>100</v>
      </c>
      <c r="V36" s="774" t="s">
        <v>17</v>
      </c>
      <c r="W36" s="775">
        <f t="shared" si="14"/>
        <v>100</v>
      </c>
      <c r="X36" s="1816"/>
      <c r="Y36" s="325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3"/>
      <c r="Q37" s="1813" t="str">
        <f t="shared" si="11"/>
        <v>内部装修状况</v>
      </c>
      <c r="R37" s="774" t="s">
        <v>17</v>
      </c>
      <c r="S37" s="775">
        <f t="shared" si="12"/>
        <v>100</v>
      </c>
      <c r="T37" s="774" t="s">
        <v>17</v>
      </c>
      <c r="U37" s="775">
        <f t="shared" si="13"/>
        <v>100</v>
      </c>
      <c r="V37" s="774" t="s">
        <v>17</v>
      </c>
      <c r="W37" s="775">
        <f t="shared" si="14"/>
        <v>100</v>
      </c>
      <c r="X37" s="1816"/>
      <c r="Y37" s="3253"/>
      <c r="Z37" s="1817" t="str">
        <f t="shared" si="15"/>
        <v>内部装修状况</v>
      </c>
      <c r="AA37" s="1814">
        <f t="shared" si="3"/>
        <v>1</v>
      </c>
      <c r="AB37" s="1814">
        <f t="shared" si="4"/>
        <v>1</v>
      </c>
      <c r="AC37" s="1814">
        <f t="shared" si="5"/>
        <v>1</v>
      </c>
    </row>
    <row r="38" spans="1:29" s="471" customFormat="1" ht="15">
      <c r="A38" s="468"/>
      <c r="B38" s="1389"/>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3"/>
      <c r="Q38" s="776">
        <f t="shared" si="11"/>
        <v>0</v>
      </c>
      <c r="R38" s="777" t="s">
        <v>17</v>
      </c>
      <c r="S38" s="778">
        <f t="shared" si="12"/>
        <v>100</v>
      </c>
      <c r="T38" s="777" t="s">
        <v>17</v>
      </c>
      <c r="U38" s="778">
        <f t="shared" si="13"/>
        <v>100</v>
      </c>
      <c r="V38" s="777" t="s">
        <v>17</v>
      </c>
      <c r="W38" s="778">
        <f t="shared" si="14"/>
        <v>100</v>
      </c>
      <c r="X38" s="779"/>
      <c r="Y38" s="3253"/>
      <c r="Z38" s="780">
        <f t="shared" si="15"/>
        <v>0</v>
      </c>
      <c r="AA38" s="1814">
        <f t="shared" si="3"/>
        <v>1</v>
      </c>
      <c r="AB38" s="1814">
        <f t="shared" si="4"/>
        <v>1</v>
      </c>
      <c r="AC38" s="1814">
        <f t="shared" si="5"/>
        <v>1</v>
      </c>
    </row>
    <row r="39" spans="1:29" ht="15">
      <c r="A39" s="472"/>
      <c r="B39" s="1389"/>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3"/>
      <c r="Q39" s="1813">
        <f t="shared" si="11"/>
        <v>0</v>
      </c>
      <c r="R39" s="774" t="s">
        <v>17</v>
      </c>
      <c r="S39" s="775">
        <f t="shared" si="12"/>
        <v>100</v>
      </c>
      <c r="T39" s="774" t="s">
        <v>17</v>
      </c>
      <c r="U39" s="775">
        <f t="shared" si="13"/>
        <v>100</v>
      </c>
      <c r="V39" s="774" t="s">
        <v>17</v>
      </c>
      <c r="W39" s="775">
        <f t="shared" si="14"/>
        <v>100</v>
      </c>
      <c r="X39" s="1816"/>
      <c r="Y39" s="3253"/>
      <c r="Z39" s="1817">
        <f t="shared" si="15"/>
        <v>0</v>
      </c>
      <c r="AA39" s="1814">
        <f t="shared" si="3"/>
        <v>1</v>
      </c>
      <c r="AB39" s="1814">
        <f t="shared" si="4"/>
        <v>1</v>
      </c>
      <c r="AC39" s="1814">
        <f t="shared" si="5"/>
        <v>1</v>
      </c>
    </row>
    <row r="40" spans="1:29" ht="15.75" thickBot="1">
      <c r="A40" s="478"/>
      <c r="B40" s="2605"/>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4"/>
      <c r="Q40" s="1813">
        <f t="shared" si="11"/>
        <v>0</v>
      </c>
      <c r="R40" s="774" t="s">
        <v>17</v>
      </c>
      <c r="S40" s="775">
        <f t="shared" si="12"/>
        <v>100</v>
      </c>
      <c r="T40" s="774" t="s">
        <v>17</v>
      </c>
      <c r="U40" s="775">
        <f t="shared" si="13"/>
        <v>100</v>
      </c>
      <c r="V40" s="774" t="s">
        <v>17</v>
      </c>
      <c r="W40" s="775">
        <f t="shared" si="14"/>
        <v>100</v>
      </c>
      <c r="X40" s="1816"/>
      <c r="Y40" s="3254"/>
      <c r="Z40" s="1817">
        <f t="shared" si="15"/>
        <v>0</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46" t="str">
        <f>A41</f>
        <v>成交单价（元/平方米）</v>
      </c>
      <c r="Q41" s="3246"/>
      <c r="R41" s="3247">
        <f>E41</f>
        <v>0</v>
      </c>
      <c r="S41" s="3247"/>
      <c r="T41" s="3247">
        <f>G41</f>
        <v>0</v>
      </c>
      <c r="U41" s="3247"/>
      <c r="V41" s="3247">
        <f>I41</f>
        <v>0</v>
      </c>
      <c r="W41" s="324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43" t="str">
        <f>A43</f>
        <v>估价对象XX用房的比较价值（楼面单价，元/平方米）</v>
      </c>
      <c r="Q43" s="3244"/>
      <c r="R43" s="3245" t="e">
        <f>IF(F1="售价",ROUND(AVERAGE(R42:V42),0),ROUND(AVERAGE(R42:V42),1))</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0</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0</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0</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0</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0</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0</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0</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0</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0</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54">
      <c r="A4" s="1951" t="str">
        <f>"受贵公司委托，我公司对"&amp;项目基本情况!S1&amp;"进行了预评估。"</f>
        <v>受贵公司委托，我公司对北京市北京市丰台区南四环西路188号十六区18号楼1至15层101出让国有建设用地使用权及在建建筑物房地产抵押价值进行了预评估。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2018年9月28日（评估专业人员实地查勘之日）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本次评估采用的主估价方法为比较法和收益法。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ht="15">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2547</v>
      </c>
      <c r="B7" s="409"/>
      <c r="C7" s="410">
        <f>'数据-取费表'!B2</f>
        <v>43371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4" t="s">
        <v>2548</v>
      </c>
      <c r="Q7" s="3242"/>
      <c r="R7" s="770" t="s">
        <v>17</v>
      </c>
      <c r="S7" s="771">
        <f t="shared" ref="S7:S14" si="0">F7</f>
        <v>0</v>
      </c>
      <c r="T7" s="770" t="s">
        <v>17</v>
      </c>
      <c r="U7" s="771">
        <f t="shared" ref="U7:U14" si="1">H7</f>
        <v>0</v>
      </c>
      <c r="V7" s="770" t="s">
        <v>17</v>
      </c>
      <c r="W7" s="771">
        <f t="shared" ref="W7:W14" si="2">J7</f>
        <v>0</v>
      </c>
      <c r="X7" s="772"/>
      <c r="Y7" s="3214" t="s">
        <v>2548</v>
      </c>
      <c r="Z7" s="321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6" t="s">
        <v>2554</v>
      </c>
      <c r="Q9" s="1798" t="str">
        <f t="shared" ref="Q9:Q14" si="6">B9</f>
        <v>用途</v>
      </c>
      <c r="R9" s="770" t="s">
        <v>17</v>
      </c>
      <c r="S9" s="771">
        <f t="shared" si="0"/>
        <v>100</v>
      </c>
      <c r="T9" s="770" t="s">
        <v>17</v>
      </c>
      <c r="U9" s="771">
        <f t="shared" si="1"/>
        <v>100</v>
      </c>
      <c r="V9" s="770" t="s">
        <v>17</v>
      </c>
      <c r="W9" s="771">
        <f t="shared" si="2"/>
        <v>100</v>
      </c>
      <c r="X9" s="772"/>
      <c r="Y9" s="306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6"/>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8" t="s">
        <v>2559</v>
      </c>
      <c r="Q14" s="1813" t="str">
        <f t="shared" si="6"/>
        <v>交通便捷度</v>
      </c>
      <c r="R14" s="774" t="s">
        <v>17</v>
      </c>
      <c r="S14" s="775">
        <f t="shared" si="0"/>
        <v>100</v>
      </c>
      <c r="T14" s="774" t="s">
        <v>17</v>
      </c>
      <c r="U14" s="775">
        <f t="shared" si="1"/>
        <v>100</v>
      </c>
      <c r="V14" s="774" t="s">
        <v>17</v>
      </c>
      <c r="W14" s="775">
        <f t="shared" si="2"/>
        <v>100</v>
      </c>
      <c r="X14" s="1816"/>
      <c r="Y14" s="324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9"/>
      <c r="Q15" s="1813"/>
      <c r="R15" s="774"/>
      <c r="S15" s="775"/>
      <c r="T15" s="774"/>
      <c r="U15" s="775"/>
      <c r="V15" s="774"/>
      <c r="W15" s="775"/>
      <c r="X15" s="1816"/>
      <c r="Y15" s="3249"/>
      <c r="Z15" s="1817"/>
      <c r="AA15" s="1814">
        <v>1</v>
      </c>
      <c r="AB15" s="1814">
        <v>1</v>
      </c>
      <c r="AC15" s="1814">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9"/>
      <c r="Q16" s="1813" t="str">
        <f>B16</f>
        <v>公共配套设施</v>
      </c>
      <c r="R16" s="774" t="s">
        <v>17</v>
      </c>
      <c r="S16" s="775">
        <f>F16</f>
        <v>100</v>
      </c>
      <c r="T16" s="774" t="s">
        <v>17</v>
      </c>
      <c r="U16" s="775">
        <f>H16</f>
        <v>100</v>
      </c>
      <c r="V16" s="774" t="s">
        <v>17</v>
      </c>
      <c r="W16" s="775">
        <f>J16</f>
        <v>100</v>
      </c>
      <c r="X16" s="1816"/>
      <c r="Y16" s="3249"/>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9"/>
      <c r="Q17" s="1813"/>
      <c r="R17" s="774"/>
      <c r="S17" s="775"/>
      <c r="T17" s="774"/>
      <c r="U17" s="775"/>
      <c r="V17" s="774"/>
      <c r="W17" s="775"/>
      <c r="X17" s="1816"/>
      <c r="Y17" s="3249"/>
      <c r="Z17" s="1817"/>
      <c r="AA17" s="1814">
        <v>1</v>
      </c>
      <c r="AB17" s="1814">
        <v>1</v>
      </c>
      <c r="AC17" s="1814">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9"/>
      <c r="Q18" s="1813" t="str">
        <f>B18</f>
        <v>基础设施水平</v>
      </c>
      <c r="R18" s="774" t="s">
        <v>17</v>
      </c>
      <c r="S18" s="775">
        <f>F18</f>
        <v>100</v>
      </c>
      <c r="T18" s="774" t="s">
        <v>17</v>
      </c>
      <c r="U18" s="775">
        <f>H18</f>
        <v>100</v>
      </c>
      <c r="V18" s="774" t="s">
        <v>17</v>
      </c>
      <c r="W18" s="775">
        <f>J18</f>
        <v>100</v>
      </c>
      <c r="X18" s="1816"/>
      <c r="Y18" s="3249"/>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9"/>
      <c r="Q19" s="1813"/>
      <c r="R19" s="774"/>
      <c r="S19" s="775"/>
      <c r="T19" s="774"/>
      <c r="U19" s="775"/>
      <c r="V19" s="774"/>
      <c r="W19" s="775"/>
      <c r="X19" s="1816"/>
      <c r="Y19" s="3249"/>
      <c r="Z19" s="1817"/>
      <c r="AA19" s="1814">
        <v>1</v>
      </c>
      <c r="AB19" s="1814">
        <v>1</v>
      </c>
      <c r="AC19" s="1814">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9"/>
      <c r="Q20" s="1813" t="str">
        <f>B20</f>
        <v>自然及人文环境</v>
      </c>
      <c r="R20" s="774" t="s">
        <v>17</v>
      </c>
      <c r="S20" s="775">
        <f>F20</f>
        <v>100</v>
      </c>
      <c r="T20" s="774" t="s">
        <v>17</v>
      </c>
      <c r="U20" s="775">
        <f>H20</f>
        <v>100</v>
      </c>
      <c r="V20" s="774" t="s">
        <v>17</v>
      </c>
      <c r="W20" s="775">
        <f>J20</f>
        <v>100</v>
      </c>
      <c r="X20" s="1816"/>
      <c r="Y20" s="324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9"/>
      <c r="Q21" s="1813"/>
      <c r="R21" s="774"/>
      <c r="S21" s="775"/>
      <c r="T21" s="774"/>
      <c r="U21" s="775"/>
      <c r="V21" s="774"/>
      <c r="W21" s="775"/>
      <c r="X21" s="1816"/>
      <c r="Y21" s="324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9"/>
      <c r="Q22" s="1813" t="str">
        <f>B22</f>
        <v>楼层</v>
      </c>
      <c r="R22" s="774" t="s">
        <v>17</v>
      </c>
      <c r="S22" s="775">
        <f>F22</f>
        <v>100</v>
      </c>
      <c r="T22" s="774" t="s">
        <v>17</v>
      </c>
      <c r="U22" s="775">
        <f>H22</f>
        <v>100</v>
      </c>
      <c r="V22" s="774" t="s">
        <v>17</v>
      </c>
      <c r="W22" s="775">
        <f>J22</f>
        <v>100</v>
      </c>
      <c r="X22" s="1816"/>
      <c r="Y22" s="324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9"/>
      <c r="Q23" s="1813">
        <f>B23</f>
        <v>111</v>
      </c>
      <c r="R23" s="774" t="s">
        <v>17</v>
      </c>
      <c r="S23" s="775">
        <f>F23</f>
        <v>100</v>
      </c>
      <c r="T23" s="774" t="s">
        <v>17</v>
      </c>
      <c r="U23" s="775">
        <f>H23</f>
        <v>100</v>
      </c>
      <c r="V23" s="774" t="s">
        <v>17</v>
      </c>
      <c r="W23" s="775">
        <f>J23</f>
        <v>100</v>
      </c>
      <c r="X23" s="1816"/>
      <c r="Y23" s="324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9"/>
      <c r="Q24" s="1813">
        <f t="shared" ref="Q24:Q36" si="11">B24</f>
        <v>111</v>
      </c>
      <c r="R24" s="774" t="s">
        <v>17</v>
      </c>
      <c r="S24" s="775">
        <f>F24</f>
        <v>100</v>
      </c>
      <c r="T24" s="774" t="s">
        <v>17</v>
      </c>
      <c r="U24" s="775">
        <f>H24</f>
        <v>100</v>
      </c>
      <c r="V24" s="774" t="s">
        <v>17</v>
      </c>
      <c r="W24" s="775">
        <f>J24</f>
        <v>100</v>
      </c>
      <c r="X24" s="1816"/>
      <c r="Y24" s="324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9"/>
      <c r="Q25" s="1798">
        <f t="shared" si="11"/>
        <v>111</v>
      </c>
      <c r="R25" s="770" t="s">
        <v>17</v>
      </c>
      <c r="S25" s="771">
        <f>F25</f>
        <v>100</v>
      </c>
      <c r="T25" s="770" t="s">
        <v>17</v>
      </c>
      <c r="U25" s="771">
        <f>H25</f>
        <v>100</v>
      </c>
      <c r="V25" s="770" t="s">
        <v>17</v>
      </c>
      <c r="W25" s="771">
        <f>J25</f>
        <v>100</v>
      </c>
      <c r="X25" s="772"/>
      <c r="Y25" s="3249"/>
      <c r="Z25" s="55">
        <f>Q25</f>
        <v>111</v>
      </c>
      <c r="AA25" s="1814">
        <f>D25/F25</f>
        <v>1</v>
      </c>
      <c r="AB25" s="1814">
        <f>D25/H25</f>
        <v>1</v>
      </c>
      <c r="AC25" s="1814">
        <f>D25/J25</f>
        <v>1</v>
      </c>
    </row>
    <row r="26" spans="1:29" ht="1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6"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3"/>
      <c r="Q28" s="1813" t="str">
        <f t="shared" si="11"/>
        <v>公共部分装修</v>
      </c>
      <c r="R28" s="774" t="s">
        <v>17</v>
      </c>
      <c r="S28" s="775">
        <f t="shared" si="12"/>
        <v>100</v>
      </c>
      <c r="T28" s="774" t="s">
        <v>17</v>
      </c>
      <c r="U28" s="775">
        <f t="shared" si="13"/>
        <v>100</v>
      </c>
      <c r="V28" s="774" t="s">
        <v>17</v>
      </c>
      <c r="W28" s="775">
        <f t="shared" si="14"/>
        <v>100</v>
      </c>
      <c r="X28" s="1816"/>
      <c r="Y28" s="325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3"/>
      <c r="Q29" s="1813" t="str">
        <f t="shared" si="11"/>
        <v>成新率</v>
      </c>
      <c r="R29" s="774" t="s">
        <v>17</v>
      </c>
      <c r="S29" s="775" t="e">
        <f t="shared" si="12"/>
        <v>#N/A</v>
      </c>
      <c r="T29" s="774" t="s">
        <v>17</v>
      </c>
      <c r="U29" s="775" t="e">
        <f t="shared" si="13"/>
        <v>#N/A</v>
      </c>
      <c r="V29" s="774" t="s">
        <v>17</v>
      </c>
      <c r="W29" s="775" t="e">
        <f t="shared" si="14"/>
        <v>#N/A</v>
      </c>
      <c r="X29" s="1816"/>
      <c r="Y29" s="325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3"/>
      <c r="Q30" s="1813" t="str">
        <f t="shared" si="11"/>
        <v>物业等级</v>
      </c>
      <c r="R30" s="774" t="s">
        <v>17</v>
      </c>
      <c r="S30" s="775">
        <f t="shared" si="12"/>
        <v>100</v>
      </c>
      <c r="T30" s="774" t="s">
        <v>17</v>
      </c>
      <c r="U30" s="775">
        <f t="shared" si="13"/>
        <v>100</v>
      </c>
      <c r="V30" s="774" t="s">
        <v>17</v>
      </c>
      <c r="W30" s="775">
        <f t="shared" si="14"/>
        <v>100</v>
      </c>
      <c r="X30" s="1816"/>
      <c r="Y30" s="325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3"/>
      <c r="Q31" s="1798" t="str">
        <f t="shared" si="11"/>
        <v>停车位面积</v>
      </c>
      <c r="R31" s="770" t="s">
        <v>17</v>
      </c>
      <c r="S31" s="771" t="e">
        <f t="shared" si="12"/>
        <v>#N/A</v>
      </c>
      <c r="T31" s="770" t="s">
        <v>17</v>
      </c>
      <c r="U31" s="771" t="e">
        <f t="shared" si="13"/>
        <v>#N/A</v>
      </c>
      <c r="V31" s="770" t="s">
        <v>17</v>
      </c>
      <c r="W31" s="771" t="e">
        <f t="shared" si="14"/>
        <v>#N/A</v>
      </c>
      <c r="X31" s="772"/>
      <c r="Y31" s="325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3" t="s">
        <v>2564</v>
      </c>
      <c r="Q32" s="1813" t="str">
        <f t="shared" si="11"/>
        <v>车位类型</v>
      </c>
      <c r="R32" s="774" t="s">
        <v>17</v>
      </c>
      <c r="S32" s="775">
        <f t="shared" si="12"/>
        <v>100</v>
      </c>
      <c r="T32" s="774" t="s">
        <v>17</v>
      </c>
      <c r="U32" s="775">
        <f t="shared" si="13"/>
        <v>100</v>
      </c>
      <c r="V32" s="774" t="s">
        <v>17</v>
      </c>
      <c r="W32" s="775">
        <f t="shared" si="14"/>
        <v>100</v>
      </c>
      <c r="X32" s="1816"/>
      <c r="Y32" s="325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3"/>
      <c r="Q33" s="1813" t="str">
        <f t="shared" si="11"/>
        <v>是否直接入户</v>
      </c>
      <c r="R33" s="774" t="s">
        <v>17</v>
      </c>
      <c r="S33" s="775">
        <f t="shared" si="12"/>
        <v>100</v>
      </c>
      <c r="T33" s="774" t="s">
        <v>17</v>
      </c>
      <c r="U33" s="775">
        <f t="shared" si="13"/>
        <v>100</v>
      </c>
      <c r="V33" s="774" t="s">
        <v>17</v>
      </c>
      <c r="W33" s="775">
        <f t="shared" si="14"/>
        <v>100</v>
      </c>
      <c r="X33" s="1816"/>
      <c r="Y33" s="325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3"/>
      <c r="Q34" s="1813">
        <f t="shared" si="11"/>
        <v>111</v>
      </c>
      <c r="R34" s="774" t="s">
        <v>17</v>
      </c>
      <c r="S34" s="775">
        <f t="shared" si="12"/>
        <v>100</v>
      </c>
      <c r="T34" s="774" t="s">
        <v>17</v>
      </c>
      <c r="U34" s="775">
        <f t="shared" si="13"/>
        <v>100</v>
      </c>
      <c r="V34" s="774" t="s">
        <v>17</v>
      </c>
      <c r="W34" s="775">
        <f t="shared" si="14"/>
        <v>100</v>
      </c>
      <c r="X34" s="1816"/>
      <c r="Y34" s="325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3"/>
      <c r="Q36" s="1813">
        <f t="shared" si="11"/>
        <v>111</v>
      </c>
      <c r="R36" s="774" t="s">
        <v>17</v>
      </c>
      <c r="S36" s="775">
        <f t="shared" si="12"/>
        <v>100</v>
      </c>
      <c r="T36" s="774" t="s">
        <v>17</v>
      </c>
      <c r="U36" s="775">
        <f t="shared" si="13"/>
        <v>100</v>
      </c>
      <c r="V36" s="774" t="s">
        <v>17</v>
      </c>
      <c r="W36" s="775">
        <f t="shared" si="14"/>
        <v>100</v>
      </c>
      <c r="X36" s="1816"/>
      <c r="Y36" s="3253"/>
      <c r="Z36" s="1817">
        <f t="shared" si="15"/>
        <v>111</v>
      </c>
      <c r="AA36" s="1814">
        <f t="shared" si="3"/>
        <v>1</v>
      </c>
      <c r="AB36" s="1814">
        <f t="shared" si="4"/>
        <v>1</v>
      </c>
      <c r="AC36" s="1814">
        <f t="shared" si="5"/>
        <v>1</v>
      </c>
    </row>
    <row r="37" spans="1:29" ht="15">
      <c r="A37" s="479" t="s">
        <v>2719</v>
      </c>
      <c r="B37" s="2698" t="s">
        <v>2720</v>
      </c>
      <c r="C37" s="1410" t="s">
        <v>1</v>
      </c>
      <c r="D37" s="1411"/>
      <c r="E37" s="1412"/>
      <c r="F37" s="1413"/>
      <c r="G37" s="1414"/>
      <c r="H37" s="1415"/>
      <c r="I37" s="1412"/>
      <c r="J37" s="1415"/>
      <c r="K37" s="619"/>
      <c r="L37" s="1146"/>
      <c r="M37" s="1147"/>
      <c r="N37" s="1134"/>
      <c r="O37" s="1147"/>
      <c r="P37" s="3246" t="str">
        <f>A37</f>
        <v>成交单价</v>
      </c>
      <c r="Q37" s="3246"/>
      <c r="R37" s="3247">
        <f>E37</f>
        <v>0</v>
      </c>
      <c r="S37" s="3247"/>
      <c r="T37" s="3247">
        <f>G37</f>
        <v>0</v>
      </c>
      <c r="U37" s="3247"/>
      <c r="V37" s="3247">
        <f>I37</f>
        <v>0</v>
      </c>
      <c r="W37" s="324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43" t="str">
        <f>A39</f>
        <v>估价对象XX用房的比较价值（楼面单价，元/平方米）</v>
      </c>
      <c r="Q39" s="3244"/>
      <c r="R39" s="3245" t="e">
        <f>IF(F1="售价",ROUND(AVERAGE(R38:V38),0),ROUND(AVERAGE(R38:V38),1))</f>
        <v>#DIV/0!</v>
      </c>
      <c r="S39" s="3245"/>
      <c r="T39" s="3245"/>
      <c r="U39" s="3245"/>
      <c r="V39" s="3245"/>
      <c r="W39" s="324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ht="15">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2547</v>
      </c>
      <c r="B7" s="409"/>
      <c r="C7" s="410">
        <f>'数据-取费表'!B2</f>
        <v>43371</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4" t="s">
        <v>2548</v>
      </c>
      <c r="Q7" s="3242"/>
      <c r="R7" s="770" t="s">
        <v>17</v>
      </c>
      <c r="S7" s="771">
        <f t="shared" ref="S7:S14" si="0">F7</f>
        <v>0</v>
      </c>
      <c r="T7" s="770" t="s">
        <v>17</v>
      </c>
      <c r="U7" s="771">
        <f t="shared" ref="U7:U14" si="1">H7</f>
        <v>0</v>
      </c>
      <c r="V7" s="770" t="s">
        <v>17</v>
      </c>
      <c r="W7" s="771">
        <f t="shared" ref="W7:W14" si="2">J7</f>
        <v>0</v>
      </c>
      <c r="X7" s="772"/>
      <c r="Y7" s="3214" t="s">
        <v>2548</v>
      </c>
      <c r="Z7" s="321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6" t="s">
        <v>2554</v>
      </c>
      <c r="Q9" s="1798" t="str">
        <f t="shared" ref="Q9:Q14" si="6">B9</f>
        <v>用途</v>
      </c>
      <c r="R9" s="770" t="s">
        <v>17</v>
      </c>
      <c r="S9" s="771">
        <f t="shared" si="0"/>
        <v>100</v>
      </c>
      <c r="T9" s="770" t="s">
        <v>17</v>
      </c>
      <c r="U9" s="771">
        <f t="shared" si="1"/>
        <v>100</v>
      </c>
      <c r="V9" s="770" t="s">
        <v>17</v>
      </c>
      <c r="W9" s="771">
        <f t="shared" si="2"/>
        <v>100</v>
      </c>
      <c r="X9" s="772"/>
      <c r="Y9" s="306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6"/>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8" t="s">
        <v>2559</v>
      </c>
      <c r="Q14" s="1813" t="str">
        <f t="shared" si="6"/>
        <v>交通便捷度</v>
      </c>
      <c r="R14" s="774" t="s">
        <v>17</v>
      </c>
      <c r="S14" s="775">
        <f t="shared" si="0"/>
        <v>100</v>
      </c>
      <c r="T14" s="774" t="s">
        <v>17</v>
      </c>
      <c r="U14" s="775">
        <f t="shared" si="1"/>
        <v>100</v>
      </c>
      <c r="V14" s="774" t="s">
        <v>17</v>
      </c>
      <c r="W14" s="775">
        <f t="shared" si="2"/>
        <v>100</v>
      </c>
      <c r="X14" s="1816"/>
      <c r="Y14" s="324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9"/>
      <c r="Q15" s="1813"/>
      <c r="R15" s="774"/>
      <c r="S15" s="775"/>
      <c r="T15" s="774"/>
      <c r="U15" s="775"/>
      <c r="V15" s="774"/>
      <c r="W15" s="775"/>
      <c r="X15" s="1816"/>
      <c r="Y15" s="3249"/>
      <c r="Z15" s="1817"/>
      <c r="AA15" s="1814">
        <v>1</v>
      </c>
      <c r="AB15" s="1814">
        <v>1</v>
      </c>
      <c r="AC15" s="1814">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9"/>
      <c r="Q16" s="1813" t="str">
        <f>B16</f>
        <v>公共配套设施</v>
      </c>
      <c r="R16" s="774" t="s">
        <v>17</v>
      </c>
      <c r="S16" s="775">
        <f>F16</f>
        <v>100</v>
      </c>
      <c r="T16" s="774" t="s">
        <v>17</v>
      </c>
      <c r="U16" s="775">
        <f>H16</f>
        <v>100</v>
      </c>
      <c r="V16" s="774" t="s">
        <v>17</v>
      </c>
      <c r="W16" s="775">
        <f>J16</f>
        <v>100</v>
      </c>
      <c r="X16" s="1816"/>
      <c r="Y16" s="3249"/>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9"/>
      <c r="Q17" s="1813"/>
      <c r="R17" s="774"/>
      <c r="S17" s="775"/>
      <c r="T17" s="774"/>
      <c r="U17" s="775"/>
      <c r="V17" s="774"/>
      <c r="W17" s="775"/>
      <c r="X17" s="1816"/>
      <c r="Y17" s="3249"/>
      <c r="Z17" s="1817"/>
      <c r="AA17" s="1814">
        <v>1</v>
      </c>
      <c r="AB17" s="1814">
        <v>1</v>
      </c>
      <c r="AC17" s="1814">
        <v>1</v>
      </c>
    </row>
    <row r="18" spans="1:29" ht="28.5">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9"/>
      <c r="Q18" s="1813" t="str">
        <f>B18</f>
        <v>基础设施水平</v>
      </c>
      <c r="R18" s="774" t="s">
        <v>17</v>
      </c>
      <c r="S18" s="775">
        <f>F18</f>
        <v>100</v>
      </c>
      <c r="T18" s="774" t="s">
        <v>17</v>
      </c>
      <c r="U18" s="775">
        <f>H18</f>
        <v>100</v>
      </c>
      <c r="V18" s="774" t="s">
        <v>17</v>
      </c>
      <c r="W18" s="775">
        <f>J18</f>
        <v>100</v>
      </c>
      <c r="X18" s="1816"/>
      <c r="Y18" s="3249"/>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9"/>
      <c r="Q19" s="1813"/>
      <c r="R19" s="774"/>
      <c r="S19" s="775"/>
      <c r="T19" s="774"/>
      <c r="U19" s="775"/>
      <c r="V19" s="774"/>
      <c r="W19" s="775"/>
      <c r="X19" s="1816"/>
      <c r="Y19" s="3249"/>
      <c r="Z19" s="1817"/>
      <c r="AA19" s="1814">
        <v>1</v>
      </c>
      <c r="AB19" s="1814">
        <v>1</v>
      </c>
      <c r="AC19" s="1814">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9"/>
      <c r="Q20" s="1813" t="str">
        <f>B20</f>
        <v>自然及人文环境</v>
      </c>
      <c r="R20" s="774" t="s">
        <v>17</v>
      </c>
      <c r="S20" s="775">
        <f>F20</f>
        <v>100</v>
      </c>
      <c r="T20" s="774" t="s">
        <v>17</v>
      </c>
      <c r="U20" s="775">
        <f>H20</f>
        <v>100</v>
      </c>
      <c r="V20" s="774" t="s">
        <v>17</v>
      </c>
      <c r="W20" s="775">
        <f>J20</f>
        <v>100</v>
      </c>
      <c r="X20" s="1816"/>
      <c r="Y20" s="324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9"/>
      <c r="Q21" s="1813"/>
      <c r="R21" s="774"/>
      <c r="S21" s="775"/>
      <c r="T21" s="774"/>
      <c r="U21" s="775"/>
      <c r="V21" s="774"/>
      <c r="W21" s="775"/>
      <c r="X21" s="1816"/>
      <c r="Y21" s="324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9"/>
      <c r="Q22" s="1813" t="str">
        <f>B22</f>
        <v>楼层</v>
      </c>
      <c r="R22" s="774" t="s">
        <v>17</v>
      </c>
      <c r="S22" s="775">
        <f>F22</f>
        <v>100</v>
      </c>
      <c r="T22" s="774" t="s">
        <v>17</v>
      </c>
      <c r="U22" s="775">
        <f>H22</f>
        <v>100</v>
      </c>
      <c r="V22" s="774" t="s">
        <v>17</v>
      </c>
      <c r="W22" s="775">
        <f>J22</f>
        <v>100</v>
      </c>
      <c r="X22" s="1816"/>
      <c r="Y22" s="3249"/>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9"/>
      <c r="Q23" s="1813">
        <f>B23</f>
        <v>111</v>
      </c>
      <c r="R23" s="774" t="s">
        <v>17</v>
      </c>
      <c r="S23" s="775">
        <f>F23</f>
        <v>100</v>
      </c>
      <c r="T23" s="774" t="s">
        <v>17</v>
      </c>
      <c r="U23" s="775">
        <f>H23</f>
        <v>100</v>
      </c>
      <c r="V23" s="774" t="s">
        <v>17</v>
      </c>
      <c r="W23" s="775">
        <f>J23</f>
        <v>100</v>
      </c>
      <c r="X23" s="1816"/>
      <c r="Y23" s="3249"/>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9"/>
      <c r="Q24" s="1813">
        <f t="shared" ref="Q24:Q34" si="11">B24</f>
        <v>111</v>
      </c>
      <c r="R24" s="774" t="s">
        <v>17</v>
      </c>
      <c r="S24" s="775">
        <f>F24</f>
        <v>100</v>
      </c>
      <c r="T24" s="774" t="s">
        <v>17</v>
      </c>
      <c r="U24" s="775">
        <f>H24</f>
        <v>100</v>
      </c>
      <c r="V24" s="774" t="s">
        <v>17</v>
      </c>
      <c r="W24" s="775">
        <f>J24</f>
        <v>100</v>
      </c>
      <c r="X24" s="1816"/>
      <c r="Y24" s="3249"/>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9"/>
      <c r="Q25" s="1798">
        <f t="shared" si="11"/>
        <v>111</v>
      </c>
      <c r="R25" s="770" t="s">
        <v>17</v>
      </c>
      <c r="S25" s="771">
        <f>F25</f>
        <v>100</v>
      </c>
      <c r="T25" s="770" t="s">
        <v>17</v>
      </c>
      <c r="U25" s="771">
        <f>H25</f>
        <v>100</v>
      </c>
      <c r="V25" s="770" t="s">
        <v>17</v>
      </c>
      <c r="W25" s="771">
        <f>J25</f>
        <v>100</v>
      </c>
      <c r="X25" s="772"/>
      <c r="Y25" s="3249"/>
      <c r="Z25" s="55">
        <f>Q25</f>
        <v>111</v>
      </c>
      <c r="AA25" s="1814">
        <f>D25/F25</f>
        <v>1</v>
      </c>
      <c r="AB25" s="1814">
        <f>D25/H25</f>
        <v>1</v>
      </c>
      <c r="AC25" s="1814">
        <f>D25/J25</f>
        <v>1</v>
      </c>
    </row>
    <row r="26" spans="1:29" ht="1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6"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3"/>
      <c r="Q27" s="776" t="str">
        <f t="shared" si="11"/>
        <v>成新率</v>
      </c>
      <c r="R27" s="777" t="s">
        <v>17</v>
      </c>
      <c r="S27" s="778" t="e">
        <f t="shared" si="12"/>
        <v>#N/A</v>
      </c>
      <c r="T27" s="777" t="s">
        <v>17</v>
      </c>
      <c r="U27" s="778" t="e">
        <f t="shared" si="13"/>
        <v>#N/A</v>
      </c>
      <c r="V27" s="777" t="s">
        <v>17</v>
      </c>
      <c r="W27" s="778" t="e">
        <f t="shared" si="14"/>
        <v>#N/A</v>
      </c>
      <c r="X27" s="779"/>
      <c r="Y27" s="325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3"/>
      <c r="Q28" s="1813" t="str">
        <f t="shared" si="11"/>
        <v>物业等级</v>
      </c>
      <c r="R28" s="774" t="s">
        <v>17</v>
      </c>
      <c r="S28" s="775">
        <f t="shared" si="12"/>
        <v>100</v>
      </c>
      <c r="T28" s="774" t="s">
        <v>17</v>
      </c>
      <c r="U28" s="775">
        <f t="shared" si="13"/>
        <v>100</v>
      </c>
      <c r="V28" s="774" t="s">
        <v>17</v>
      </c>
      <c r="W28" s="775">
        <f t="shared" si="14"/>
        <v>100</v>
      </c>
      <c r="X28" s="1816"/>
      <c r="Y28" s="325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3"/>
      <c r="Q29" s="1813" t="str">
        <f t="shared" si="11"/>
        <v>有无电梯</v>
      </c>
      <c r="R29" s="774" t="s">
        <v>17</v>
      </c>
      <c r="S29" s="775">
        <f t="shared" si="12"/>
        <v>100</v>
      </c>
      <c r="T29" s="774" t="s">
        <v>17</v>
      </c>
      <c r="U29" s="775">
        <f t="shared" si="13"/>
        <v>100</v>
      </c>
      <c r="V29" s="774" t="s">
        <v>17</v>
      </c>
      <c r="W29" s="775">
        <f t="shared" si="14"/>
        <v>100</v>
      </c>
      <c r="X29" s="1816"/>
      <c r="Y29" s="325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3"/>
      <c r="Q30" s="1813" t="str">
        <f t="shared" si="11"/>
        <v>建筑面积</v>
      </c>
      <c r="R30" s="774" t="s">
        <v>17</v>
      </c>
      <c r="S30" s="775" t="e">
        <f t="shared" si="12"/>
        <v>#N/A</v>
      </c>
      <c r="T30" s="774" t="s">
        <v>17</v>
      </c>
      <c r="U30" s="775" t="e">
        <f t="shared" si="13"/>
        <v>#N/A</v>
      </c>
      <c r="V30" s="774" t="s">
        <v>17</v>
      </c>
      <c r="W30" s="775" t="e">
        <f t="shared" si="14"/>
        <v>#N/A</v>
      </c>
      <c r="X30" s="1816"/>
      <c r="Y30" s="325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3"/>
      <c r="Q31" s="1798" t="str">
        <f t="shared" si="11"/>
        <v>是否封闭</v>
      </c>
      <c r="R31" s="770" t="s">
        <v>17</v>
      </c>
      <c r="S31" s="771">
        <f t="shared" si="12"/>
        <v>100</v>
      </c>
      <c r="T31" s="770" t="s">
        <v>17</v>
      </c>
      <c r="U31" s="771">
        <f t="shared" si="13"/>
        <v>100</v>
      </c>
      <c r="V31" s="770" t="s">
        <v>17</v>
      </c>
      <c r="W31" s="771">
        <f t="shared" si="14"/>
        <v>100</v>
      </c>
      <c r="X31" s="772"/>
      <c r="Y31" s="325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3" t="s">
        <v>2564</v>
      </c>
      <c r="Q32" s="1813">
        <f t="shared" si="11"/>
        <v>111</v>
      </c>
      <c r="R32" s="774" t="s">
        <v>17</v>
      </c>
      <c r="S32" s="775">
        <f t="shared" si="12"/>
        <v>100</v>
      </c>
      <c r="T32" s="774" t="s">
        <v>17</v>
      </c>
      <c r="U32" s="775">
        <f t="shared" si="13"/>
        <v>100</v>
      </c>
      <c r="V32" s="774" t="s">
        <v>17</v>
      </c>
      <c r="W32" s="775">
        <f t="shared" si="14"/>
        <v>100</v>
      </c>
      <c r="X32" s="1816"/>
      <c r="Y32" s="3253"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3"/>
      <c r="Q33" s="1813">
        <f t="shared" si="11"/>
        <v>111</v>
      </c>
      <c r="R33" s="774" t="s">
        <v>17</v>
      </c>
      <c r="S33" s="775">
        <f t="shared" si="12"/>
        <v>100</v>
      </c>
      <c r="T33" s="774" t="s">
        <v>17</v>
      </c>
      <c r="U33" s="775">
        <f t="shared" si="13"/>
        <v>100</v>
      </c>
      <c r="V33" s="774" t="s">
        <v>17</v>
      </c>
      <c r="W33" s="775">
        <f t="shared" si="14"/>
        <v>100</v>
      </c>
      <c r="X33" s="1816"/>
      <c r="Y33" s="3253"/>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53"/>
      <c r="Q34" s="1813">
        <f t="shared" si="11"/>
        <v>111</v>
      </c>
      <c r="R34" s="774" t="s">
        <v>17</v>
      </c>
      <c r="S34" s="775">
        <f t="shared" si="12"/>
        <v>100</v>
      </c>
      <c r="T34" s="774" t="s">
        <v>17</v>
      </c>
      <c r="U34" s="775">
        <f t="shared" si="13"/>
        <v>100</v>
      </c>
      <c r="V34" s="774" t="s">
        <v>17</v>
      </c>
      <c r="W34" s="775">
        <f t="shared" si="14"/>
        <v>100</v>
      </c>
      <c r="X34" s="1816"/>
      <c r="Y34" s="325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46" t="str">
        <f>A35</f>
        <v>成交单价（元/平方米）</v>
      </c>
      <c r="Q35" s="3246"/>
      <c r="R35" s="3247">
        <f>E35</f>
        <v>0</v>
      </c>
      <c r="S35" s="3247"/>
      <c r="T35" s="3247">
        <f>G35</f>
        <v>0</v>
      </c>
      <c r="U35" s="3247"/>
      <c r="V35" s="3247">
        <f>I35</f>
        <v>0</v>
      </c>
      <c r="W35" s="324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43" t="str">
        <f>A37</f>
        <v>估价对象XX用房的比较价值（楼面单价，元/平方米）</v>
      </c>
      <c r="Q37" s="3244"/>
      <c r="R37" s="3245" t="e">
        <f>IF(F1="售价",ROUND(AVERAGE(R36:V36),0),ROUND(AVERAGE(R36:V36),1))</f>
        <v>#DIV/0!</v>
      </c>
      <c r="S37" s="3245"/>
      <c r="T37" s="3245"/>
      <c r="U37" s="3245"/>
      <c r="V37" s="3245"/>
      <c r="W37" s="324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30" ht="15">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30" ht="15.7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30" s="117" customFormat="1" ht="15.75" thickBot="1">
      <c r="A7" s="408" t="s">
        <v>2547</v>
      </c>
      <c r="B7" s="409"/>
      <c r="C7" s="410">
        <f>'数据-取费表'!B2</f>
        <v>43371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4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46"/>
      <c r="Q10" s="1798" t="str">
        <f t="shared" si="6"/>
        <v>土地使用年限（年）</v>
      </c>
      <c r="R10" s="770" t="s">
        <v>17</v>
      </c>
      <c r="S10" s="771">
        <f t="shared" si="0"/>
        <v>112</v>
      </c>
      <c r="T10" s="770" t="s">
        <v>17</v>
      </c>
      <c r="U10" s="771">
        <f t="shared" si="1"/>
        <v>112</v>
      </c>
      <c r="V10" s="770" t="s">
        <v>17</v>
      </c>
      <c r="W10" s="771">
        <f t="shared" si="2"/>
        <v>112</v>
      </c>
      <c r="X10" s="772"/>
      <c r="Y10" s="3061"/>
      <c r="Z10" s="55" t="str">
        <f t="shared" si="7"/>
        <v>土地使用年限（年）</v>
      </c>
      <c r="AA10" s="773">
        <f t="shared" si="3"/>
        <v>0.8928571428571429</v>
      </c>
      <c r="AB10" s="773">
        <f t="shared" si="4"/>
        <v>0.8928571428571429</v>
      </c>
      <c r="AC10" s="773">
        <f t="shared" si="5"/>
        <v>0.8928571428571429</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6"/>
      <c r="Q12" s="1798" t="str">
        <f t="shared" si="6"/>
        <v>配建</v>
      </c>
      <c r="R12" s="770" t="s">
        <v>17</v>
      </c>
      <c r="S12" s="771">
        <f t="shared" si="0"/>
        <v>100</v>
      </c>
      <c r="T12" s="770" t="s">
        <v>17</v>
      </c>
      <c r="U12" s="771">
        <f t="shared" si="1"/>
        <v>100</v>
      </c>
      <c r="V12" s="770" t="s">
        <v>17</v>
      </c>
      <c r="W12" s="771">
        <f t="shared" si="2"/>
        <v>100</v>
      </c>
      <c r="X12" s="772"/>
      <c r="Y12" s="306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6"/>
      <c r="Q14" s="1798">
        <f t="shared" si="6"/>
        <v>111</v>
      </c>
      <c r="R14" s="770" t="s">
        <v>17</v>
      </c>
      <c r="S14" s="771">
        <f t="shared" si="0"/>
        <v>100</v>
      </c>
      <c r="T14" s="770" t="s">
        <v>17</v>
      </c>
      <c r="U14" s="771">
        <f t="shared" si="1"/>
        <v>100</v>
      </c>
      <c r="V14" s="770" t="s">
        <v>17</v>
      </c>
      <c r="W14" s="771">
        <f t="shared" si="2"/>
        <v>100</v>
      </c>
      <c r="X14" s="772"/>
      <c r="Y14" s="3061"/>
      <c r="Z14" s="55">
        <f t="shared" si="7"/>
        <v>111</v>
      </c>
      <c r="AA14" s="773">
        <f>D14/F14</f>
        <v>1</v>
      </c>
      <c r="AB14" s="773">
        <f>D14/H14</f>
        <v>1</v>
      </c>
      <c r="AC14" s="773">
        <f>D14/J14</f>
        <v>1</v>
      </c>
    </row>
    <row r="15" spans="1:30" ht="99.75">
      <c r="A15" s="440" t="s">
        <v>2558</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8" t="s">
        <v>2559</v>
      </c>
      <c r="Q15" s="1813" t="str">
        <f t="shared" si="6"/>
        <v>居住社区成熟度</v>
      </c>
      <c r="R15" s="774" t="s">
        <v>17</v>
      </c>
      <c r="S15" s="775">
        <f t="shared" si="0"/>
        <v>100</v>
      </c>
      <c r="T15" s="774" t="s">
        <v>17</v>
      </c>
      <c r="U15" s="775">
        <f t="shared" si="1"/>
        <v>100</v>
      </c>
      <c r="V15" s="774" t="s">
        <v>17</v>
      </c>
      <c r="W15" s="775">
        <f t="shared" si="2"/>
        <v>100</v>
      </c>
      <c r="X15" s="1816"/>
      <c r="Y15" s="3248"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9"/>
      <c r="Q16" s="1813"/>
      <c r="R16" s="774"/>
      <c r="S16" s="775"/>
      <c r="T16" s="774"/>
      <c r="U16" s="775"/>
      <c r="V16" s="774"/>
      <c r="W16" s="775"/>
      <c r="X16" s="1816"/>
      <c r="Y16" s="3249"/>
      <c r="Z16" s="1817"/>
      <c r="AA16" s="1814">
        <v>1</v>
      </c>
      <c r="AB16" s="1814">
        <v>1</v>
      </c>
      <c r="AC16" s="1814">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9"/>
      <c r="Q17" s="1813" t="str">
        <f>B17</f>
        <v>商业繁华度</v>
      </c>
      <c r="R17" s="774" t="s">
        <v>17</v>
      </c>
      <c r="S17" s="775">
        <f>F17</f>
        <v>100</v>
      </c>
      <c r="T17" s="774" t="s">
        <v>17</v>
      </c>
      <c r="U17" s="775">
        <f>H17</f>
        <v>100</v>
      </c>
      <c r="V17" s="774" t="s">
        <v>17</v>
      </c>
      <c r="W17" s="775">
        <f>J17</f>
        <v>100</v>
      </c>
      <c r="X17" s="1816"/>
      <c r="Y17" s="3249"/>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9"/>
      <c r="Q18" s="1813"/>
      <c r="R18" s="774"/>
      <c r="S18" s="775"/>
      <c r="T18" s="774"/>
      <c r="U18" s="775"/>
      <c r="V18" s="774"/>
      <c r="W18" s="775"/>
      <c r="X18" s="1816"/>
      <c r="Y18" s="3249"/>
      <c r="Z18" s="1817"/>
      <c r="AA18" s="1814">
        <v>1</v>
      </c>
      <c r="AB18" s="1814">
        <v>1</v>
      </c>
      <c r="AC18" s="1814">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9"/>
      <c r="Q19" s="1813" t="str">
        <f>B19</f>
        <v>办公集聚程度</v>
      </c>
      <c r="R19" s="774" t="s">
        <v>17</v>
      </c>
      <c r="S19" s="775">
        <f>F19</f>
        <v>100</v>
      </c>
      <c r="T19" s="774" t="s">
        <v>17</v>
      </c>
      <c r="U19" s="775">
        <f>H19</f>
        <v>100</v>
      </c>
      <c r="V19" s="774" t="s">
        <v>17</v>
      </c>
      <c r="W19" s="775">
        <f>J19</f>
        <v>100</v>
      </c>
      <c r="X19" s="1816"/>
      <c r="Y19" s="3249"/>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9"/>
      <c r="Q20" s="1813"/>
      <c r="R20" s="774"/>
      <c r="S20" s="775"/>
      <c r="T20" s="774"/>
      <c r="U20" s="775"/>
      <c r="V20" s="774"/>
      <c r="W20" s="775"/>
      <c r="X20" s="1816"/>
      <c r="Y20" s="3249"/>
      <c r="Z20" s="1817"/>
      <c r="AA20" s="1814">
        <v>1</v>
      </c>
      <c r="AB20" s="1814">
        <v>1</v>
      </c>
      <c r="AC20" s="1814">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9"/>
      <c r="Q21" s="1813" t="str">
        <f>B21</f>
        <v>交通便捷度</v>
      </c>
      <c r="R21" s="774" t="s">
        <v>17</v>
      </c>
      <c r="S21" s="775">
        <f>F21</f>
        <v>100</v>
      </c>
      <c r="T21" s="774" t="s">
        <v>17</v>
      </c>
      <c r="U21" s="775">
        <f>H21</f>
        <v>100</v>
      </c>
      <c r="V21" s="774" t="s">
        <v>17</v>
      </c>
      <c r="W21" s="775">
        <f>J21</f>
        <v>100</v>
      </c>
      <c r="X21" s="1816"/>
      <c r="Y21" s="3249"/>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9"/>
      <c r="Q22" s="1813"/>
      <c r="R22" s="774"/>
      <c r="S22" s="775"/>
      <c r="T22" s="774"/>
      <c r="U22" s="775"/>
      <c r="V22" s="774"/>
      <c r="W22" s="775"/>
      <c r="X22" s="1816"/>
      <c r="Y22" s="3249"/>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9"/>
      <c r="Q23" s="1813" t="str">
        <f t="shared" ref="Q23:Q37" si="8">B23</f>
        <v>区域土地利用方向</v>
      </c>
      <c r="R23" s="774" t="s">
        <v>17</v>
      </c>
      <c r="S23" s="775">
        <f>F23</f>
        <v>100</v>
      </c>
      <c r="T23" s="774" t="s">
        <v>17</v>
      </c>
      <c r="U23" s="775">
        <f>H23</f>
        <v>100</v>
      </c>
      <c r="V23" s="774" t="s">
        <v>17</v>
      </c>
      <c r="W23" s="775">
        <f>J23</f>
        <v>100</v>
      </c>
      <c r="X23" s="1816"/>
      <c r="Y23" s="3249"/>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9"/>
      <c r="Q24" s="1813"/>
      <c r="R24" s="774"/>
      <c r="S24" s="775"/>
      <c r="T24" s="774"/>
      <c r="U24" s="775"/>
      <c r="V24" s="774"/>
      <c r="W24" s="775"/>
      <c r="X24" s="1816"/>
      <c r="Y24" s="3249"/>
      <c r="Z24" s="1817"/>
      <c r="AA24" s="1814"/>
      <c r="AB24" s="1814"/>
      <c r="AC24" s="1814"/>
    </row>
    <row r="25" spans="1:29" ht="57">
      <c r="A25" s="404"/>
      <c r="B25" s="1387"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9"/>
      <c r="Q25" s="1813" t="str">
        <f t="shared" si="8"/>
        <v>自然及人文环境状况</v>
      </c>
      <c r="R25" s="774" t="s">
        <v>17</v>
      </c>
      <c r="S25" s="775">
        <f>F25</f>
        <v>100</v>
      </c>
      <c r="T25" s="774" t="s">
        <v>17</v>
      </c>
      <c r="U25" s="775">
        <f>H25</f>
        <v>100</v>
      </c>
      <c r="V25" s="774" t="s">
        <v>17</v>
      </c>
      <c r="W25" s="775">
        <f>J25</f>
        <v>100</v>
      </c>
      <c r="X25" s="1816"/>
      <c r="Y25" s="3249"/>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9"/>
      <c r="Q26" s="1813"/>
      <c r="R26" s="774"/>
      <c r="S26" s="775"/>
      <c r="T26" s="774"/>
      <c r="U26" s="775"/>
      <c r="V26" s="774"/>
      <c r="W26" s="775"/>
      <c r="X26" s="1816"/>
      <c r="Y26" s="3249"/>
      <c r="Z26" s="1817"/>
      <c r="AA26" s="1814">
        <v>1</v>
      </c>
      <c r="AB26" s="1814">
        <v>1</v>
      </c>
      <c r="AC26" s="1814">
        <v>1</v>
      </c>
    </row>
    <row r="27" spans="1:29" s="117" customFormat="1" ht="42.75">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9"/>
      <c r="Q27" s="1798" t="str">
        <f t="shared" si="8"/>
        <v>公共配套设施</v>
      </c>
      <c r="R27" s="770" t="s">
        <v>17</v>
      </c>
      <c r="S27" s="771">
        <f>F27</f>
        <v>100</v>
      </c>
      <c r="T27" s="770" t="s">
        <v>17</v>
      </c>
      <c r="U27" s="771">
        <f>H27</f>
        <v>100</v>
      </c>
      <c r="V27" s="770" t="s">
        <v>17</v>
      </c>
      <c r="W27" s="771">
        <f>J27</f>
        <v>100</v>
      </c>
      <c r="X27" s="772"/>
      <c r="Y27" s="3249"/>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9"/>
      <c r="Q28" s="1798"/>
      <c r="R28" s="770"/>
      <c r="S28" s="771"/>
      <c r="T28" s="770"/>
      <c r="U28" s="771"/>
      <c r="V28" s="770"/>
      <c r="W28" s="771"/>
      <c r="X28" s="772"/>
      <c r="Y28" s="3249"/>
      <c r="Z28" s="55"/>
      <c r="AA28" s="1814">
        <v>1</v>
      </c>
      <c r="AB28" s="1814">
        <v>1</v>
      </c>
      <c r="AC28" s="1814">
        <v>1</v>
      </c>
    </row>
    <row r="29" spans="1:29" s="117" customFormat="1" ht="28.5">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9"/>
      <c r="Q29" s="1798" t="str">
        <f t="shared" ref="Q29" si="9">B29</f>
        <v>基础设施水平</v>
      </c>
      <c r="R29" s="770" t="s">
        <v>17</v>
      </c>
      <c r="S29" s="771">
        <f>F29</f>
        <v>100</v>
      </c>
      <c r="T29" s="770" t="s">
        <v>17</v>
      </c>
      <c r="U29" s="771">
        <f>H29</f>
        <v>100</v>
      </c>
      <c r="V29" s="770" t="s">
        <v>17</v>
      </c>
      <c r="W29" s="771">
        <f>J29</f>
        <v>100</v>
      </c>
      <c r="X29" s="772"/>
      <c r="Y29" s="3249"/>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9"/>
      <c r="Q30" s="1798"/>
      <c r="R30" s="770"/>
      <c r="S30" s="771"/>
      <c r="T30" s="770"/>
      <c r="U30" s="771"/>
      <c r="V30" s="770"/>
      <c r="W30" s="771"/>
      <c r="X30" s="772"/>
      <c r="Y30" s="3249"/>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9"/>
      <c r="Q32" s="1813" t="str">
        <f t="shared" si="8"/>
        <v>毗邻道路的类型与等级</v>
      </c>
      <c r="R32" s="774" t="s">
        <v>17</v>
      </c>
      <c r="S32" s="775">
        <f t="shared" si="10"/>
        <v>100</v>
      </c>
      <c r="T32" s="774" t="s">
        <v>17</v>
      </c>
      <c r="U32" s="775">
        <f t="shared" si="11"/>
        <v>100</v>
      </c>
      <c r="V32" s="774" t="s">
        <v>17</v>
      </c>
      <c r="W32" s="775">
        <f t="shared" si="12"/>
        <v>100</v>
      </c>
      <c r="X32" s="1816"/>
      <c r="Y32" s="3249"/>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9"/>
      <c r="Q33" s="1813"/>
      <c r="R33" s="774"/>
      <c r="S33" s="775"/>
      <c r="T33" s="774"/>
      <c r="U33" s="775"/>
      <c r="V33" s="774"/>
      <c r="W33" s="775"/>
      <c r="X33" s="1816"/>
      <c r="Y33" s="324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9"/>
      <c r="Q34" s="1813" t="str">
        <f t="shared" si="8"/>
        <v>土地级别</v>
      </c>
      <c r="R34" s="774" t="s">
        <v>17</v>
      </c>
      <c r="S34" s="775">
        <f t="shared" si="10"/>
        <v>100</v>
      </c>
      <c r="T34" s="774" t="s">
        <v>17</v>
      </c>
      <c r="U34" s="775">
        <f t="shared" si="11"/>
        <v>100</v>
      </c>
      <c r="V34" s="774" t="s">
        <v>17</v>
      </c>
      <c r="W34" s="775">
        <f t="shared" si="12"/>
        <v>100</v>
      </c>
      <c r="X34" s="1816"/>
      <c r="Y34" s="324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9"/>
      <c r="Q35" s="1813">
        <f t="shared" si="8"/>
        <v>111</v>
      </c>
      <c r="R35" s="774" t="s">
        <v>17</v>
      </c>
      <c r="S35" s="775">
        <f t="shared" si="10"/>
        <v>100</v>
      </c>
      <c r="T35" s="774" t="s">
        <v>17</v>
      </c>
      <c r="U35" s="775">
        <f t="shared" si="11"/>
        <v>100</v>
      </c>
      <c r="V35" s="774" t="s">
        <v>17</v>
      </c>
      <c r="W35" s="775">
        <f t="shared" si="12"/>
        <v>100</v>
      </c>
      <c r="X35" s="1816"/>
      <c r="Y35" s="324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6" t="s">
        <v>2564</v>
      </c>
      <c r="Q36" s="1813">
        <f t="shared" si="8"/>
        <v>111</v>
      </c>
      <c r="R36" s="774" t="s">
        <v>17</v>
      </c>
      <c r="S36" s="775">
        <f t="shared" si="10"/>
        <v>100</v>
      </c>
      <c r="T36" s="774" t="s">
        <v>17</v>
      </c>
      <c r="U36" s="775">
        <f t="shared" si="11"/>
        <v>100</v>
      </c>
      <c r="V36" s="774" t="s">
        <v>17</v>
      </c>
      <c r="W36" s="775">
        <f t="shared" si="12"/>
        <v>100</v>
      </c>
      <c r="X36" s="1816"/>
      <c r="Y36" s="325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3"/>
      <c r="Q37" s="1813">
        <f t="shared" si="8"/>
        <v>111</v>
      </c>
      <c r="R37" s="777" t="s">
        <v>17</v>
      </c>
      <c r="S37" s="778">
        <f t="shared" si="10"/>
        <v>100</v>
      </c>
      <c r="T37" s="777" t="s">
        <v>17</v>
      </c>
      <c r="U37" s="778">
        <f t="shared" si="11"/>
        <v>100</v>
      </c>
      <c r="V37" s="777" t="s">
        <v>17</v>
      </c>
      <c r="W37" s="778">
        <f t="shared" si="12"/>
        <v>100</v>
      </c>
      <c r="X37" s="779"/>
      <c r="Y37" s="3253"/>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3"/>
      <c r="Q38" s="1813" t="str">
        <f>B38</f>
        <v>宗地面积</v>
      </c>
      <c r="R38" s="774" t="s">
        <v>17</v>
      </c>
      <c r="S38" s="775" t="e">
        <f t="shared" si="10"/>
        <v>#N/A</v>
      </c>
      <c r="T38" s="774" t="s">
        <v>17</v>
      </c>
      <c r="U38" s="775" t="e">
        <f t="shared" si="11"/>
        <v>#N/A</v>
      </c>
      <c r="V38" s="774" t="s">
        <v>17</v>
      </c>
      <c r="W38" s="775" t="e">
        <f t="shared" si="12"/>
        <v>#N/A</v>
      </c>
      <c r="X38" s="1816"/>
      <c r="Y38" s="3253"/>
      <c r="Z38" s="1817" t="str">
        <f t="shared" si="13"/>
        <v>宗地面积</v>
      </c>
      <c r="AA38" s="1814" t="e">
        <f t="shared" si="3"/>
        <v>#N/A</v>
      </c>
      <c r="AB38" s="1814" t="e">
        <f t="shared" si="4"/>
        <v>#N/A</v>
      </c>
      <c r="AC38" s="1814"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53"/>
      <c r="Q39" s="1813" t="str">
        <f t="shared" ref="Q39:Q45" si="14">B39</f>
        <v>宗地形状</v>
      </c>
      <c r="R39" s="774" t="s">
        <v>17</v>
      </c>
      <c r="S39" s="775">
        <f t="shared" si="10"/>
        <v>100</v>
      </c>
      <c r="T39" s="774" t="s">
        <v>17</v>
      </c>
      <c r="U39" s="775">
        <f t="shared" si="11"/>
        <v>100</v>
      </c>
      <c r="V39" s="774" t="s">
        <v>17</v>
      </c>
      <c r="W39" s="775">
        <f t="shared" si="12"/>
        <v>100</v>
      </c>
      <c r="X39" s="1816"/>
      <c r="Y39" s="3253"/>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53"/>
      <c r="Q40" s="1813" t="str">
        <f t="shared" si="14"/>
        <v>临街宽度及深度</v>
      </c>
      <c r="R40" s="774" t="s">
        <v>17</v>
      </c>
      <c r="S40" s="775">
        <f t="shared" si="10"/>
        <v>100</v>
      </c>
      <c r="T40" s="774" t="s">
        <v>17</v>
      </c>
      <c r="U40" s="775">
        <f t="shared" si="11"/>
        <v>100</v>
      </c>
      <c r="V40" s="774" t="s">
        <v>17</v>
      </c>
      <c r="W40" s="775">
        <f t="shared" si="12"/>
        <v>100</v>
      </c>
      <c r="X40" s="1816"/>
      <c r="Y40" s="3253"/>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53"/>
      <c r="Q41" s="1813" t="str">
        <f t="shared" si="14"/>
        <v>宗地开发程度</v>
      </c>
      <c r="R41" s="770" t="s">
        <v>17</v>
      </c>
      <c r="S41" s="771">
        <f t="shared" si="10"/>
        <v>100</v>
      </c>
      <c r="T41" s="770" t="s">
        <v>17</v>
      </c>
      <c r="U41" s="771">
        <f t="shared" si="11"/>
        <v>100</v>
      </c>
      <c r="V41" s="770" t="s">
        <v>17</v>
      </c>
      <c r="W41" s="771">
        <f t="shared" si="12"/>
        <v>100</v>
      </c>
      <c r="X41" s="772"/>
      <c r="Y41" s="3253"/>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53" t="s">
        <v>2564</v>
      </c>
      <c r="Q42" s="1813" t="str">
        <f t="shared" si="14"/>
        <v>工程地质条件</v>
      </c>
      <c r="R42" s="774" t="s">
        <v>17</v>
      </c>
      <c r="S42" s="775">
        <f t="shared" si="10"/>
        <v>100</v>
      </c>
      <c r="T42" s="774" t="s">
        <v>17</v>
      </c>
      <c r="U42" s="775">
        <f t="shared" si="11"/>
        <v>100</v>
      </c>
      <c r="V42" s="774" t="s">
        <v>17</v>
      </c>
      <c r="W42" s="775">
        <f t="shared" si="12"/>
        <v>100</v>
      </c>
      <c r="X42" s="1816"/>
      <c r="Y42" s="325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3"/>
      <c r="Q43" s="1813">
        <f t="shared" si="14"/>
        <v>111</v>
      </c>
      <c r="R43" s="774" t="s">
        <v>17</v>
      </c>
      <c r="S43" s="775">
        <f t="shared" si="10"/>
        <v>100</v>
      </c>
      <c r="T43" s="774" t="s">
        <v>17</v>
      </c>
      <c r="U43" s="775">
        <f t="shared" si="11"/>
        <v>100</v>
      </c>
      <c r="V43" s="774" t="s">
        <v>17</v>
      </c>
      <c r="W43" s="775">
        <f t="shared" si="12"/>
        <v>100</v>
      </c>
      <c r="X43" s="1816"/>
      <c r="Y43" s="325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3"/>
      <c r="Q44" s="1813">
        <f t="shared" si="14"/>
        <v>111</v>
      </c>
      <c r="R44" s="774" t="s">
        <v>17</v>
      </c>
      <c r="S44" s="775">
        <f t="shared" si="10"/>
        <v>100</v>
      </c>
      <c r="T44" s="774" t="s">
        <v>17</v>
      </c>
      <c r="U44" s="775">
        <f t="shared" si="11"/>
        <v>100</v>
      </c>
      <c r="V44" s="774" t="s">
        <v>17</v>
      </c>
      <c r="W44" s="775">
        <f t="shared" si="12"/>
        <v>100</v>
      </c>
      <c r="X44" s="1816"/>
      <c r="Y44" s="3253"/>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3"/>
      <c r="Q45" s="1813">
        <f t="shared" si="14"/>
        <v>111</v>
      </c>
      <c r="R45" s="777" t="s">
        <v>17</v>
      </c>
      <c r="S45" s="778">
        <f t="shared" si="10"/>
        <v>100</v>
      </c>
      <c r="T45" s="777" t="s">
        <v>17</v>
      </c>
      <c r="U45" s="778">
        <f t="shared" si="11"/>
        <v>100</v>
      </c>
      <c r="V45" s="777" t="s">
        <v>17</v>
      </c>
      <c r="W45" s="778">
        <f t="shared" si="12"/>
        <v>100</v>
      </c>
      <c r="X45" s="779"/>
      <c r="Y45" s="3253"/>
      <c r="Z45" s="780">
        <f t="shared" si="13"/>
        <v>111</v>
      </c>
      <c r="AA45" s="1814">
        <f t="shared" si="3"/>
        <v>1</v>
      </c>
      <c r="AB45" s="1814">
        <f t="shared" si="4"/>
        <v>1</v>
      </c>
      <c r="AC45" s="1814">
        <f t="shared" si="5"/>
        <v>1</v>
      </c>
    </row>
    <row r="46" spans="1:29" ht="15">
      <c r="A46" s="479" t="s">
        <v>2719</v>
      </c>
      <c r="B46" s="2707" t="s">
        <v>2755</v>
      </c>
      <c r="C46" s="682" t="s">
        <v>1</v>
      </c>
      <c r="D46" s="481"/>
      <c r="E46" s="482"/>
      <c r="F46" s="483"/>
      <c r="G46" s="484"/>
      <c r="H46" s="485"/>
      <c r="I46" s="482"/>
      <c r="J46" s="485"/>
      <c r="K46" s="783"/>
      <c r="L46" s="1146"/>
      <c r="M46" s="1147"/>
      <c r="N46" s="1134"/>
      <c r="O46" s="1147"/>
      <c r="P46" s="3246" t="str">
        <f>A46</f>
        <v>成交单价</v>
      </c>
      <c r="Q46" s="3246"/>
      <c r="R46" s="3241">
        <f>E46</f>
        <v>0</v>
      </c>
      <c r="S46" s="3241"/>
      <c r="T46" s="3241">
        <f>G46</f>
        <v>0</v>
      </c>
      <c r="U46" s="3241"/>
      <c r="V46" s="3241">
        <f>I46</f>
        <v>0</v>
      </c>
      <c r="W46" s="324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46" t="str">
        <f>A47</f>
        <v>比较价值（元/平方米）</v>
      </c>
      <c r="Q47" s="3246"/>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243" t="str">
        <f>A48</f>
        <v>估价对象XX用房的比较价值（楼面单价，元/平方米）</v>
      </c>
      <c r="Q48" s="3244"/>
      <c r="R48" s="3278" t="e">
        <f>ROUND(AVERAGE(R47:V47),0)</f>
        <v>#DIV/0!</v>
      </c>
      <c r="S48" s="3278"/>
      <c r="T48" s="3278"/>
      <c r="U48" s="3278"/>
      <c r="V48" s="3278"/>
      <c r="W48" s="32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2759</v>
      </c>
      <c r="D55" s="2709" t="s">
        <v>2760</v>
      </c>
      <c r="E55" s="686" t="s">
        <v>2761</v>
      </c>
      <c r="F55" s="1110" t="s">
        <v>2762</v>
      </c>
      <c r="G55" s="3229" t="s">
        <v>2763</v>
      </c>
      <c r="H55" s="3279"/>
      <c r="I55" s="144" t="s">
        <v>2764</v>
      </c>
      <c r="J55" s="2710">
        <f>项目基本情况!F35</f>
        <v>0</v>
      </c>
      <c r="K55" s="2711" t="s">
        <v>2765</v>
      </c>
      <c r="L55" s="1109"/>
      <c r="M55" s="1147"/>
      <c r="N55" s="1147"/>
      <c r="O55" s="1147"/>
    </row>
    <row r="56" spans="1:15" s="692" customFormat="1">
      <c r="A56" s="688" t="s">
        <v>2766</v>
      </c>
      <c r="B56" s="689" t="e">
        <f>C48</f>
        <v>#DIV/0!</v>
      </c>
      <c r="C56" s="690">
        <v>1</v>
      </c>
      <c r="D56" s="1166">
        <v>1</v>
      </c>
      <c r="E56" s="690">
        <f>'数据-汇总表'!E8+'数据-汇总表'!E9</f>
        <v>15902.38</v>
      </c>
      <c r="F56" s="1106" t="e">
        <f t="shared" ref="F56:F65" si="15">ROUND(B56*E56/10000,0)</f>
        <v>#DIV/0!</v>
      </c>
      <c r="G56" s="3228"/>
      <c r="H56" s="3246"/>
      <c r="I56" s="1111">
        <v>1</v>
      </c>
      <c r="J56" s="1114">
        <v>1</v>
      </c>
      <c r="K56" s="1148"/>
      <c r="L56" s="944"/>
      <c r="M56" s="944"/>
      <c r="N56" s="944"/>
      <c r="O56" s="944"/>
    </row>
    <row r="57" spans="1:15" s="692" customFormat="1">
      <c r="A57" s="693" t="s">
        <v>2767</v>
      </c>
      <c r="B57" s="262" t="e">
        <f>ROUND($C$48*C57*D57,0)</f>
        <v>#DIV/0!</v>
      </c>
      <c r="C57" s="200">
        <f t="shared" ref="C57:C65" si="16">IF($C$55="北京市系数",I57,J57)</f>
        <v>0</v>
      </c>
      <c r="D57" s="1167">
        <v>0.25</v>
      </c>
      <c r="E57" s="694"/>
      <c r="F57" s="1106" t="e">
        <f t="shared" si="15"/>
        <v>#DIV/0!</v>
      </c>
      <c r="G57" s="3280"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7">ROUND($C$48*C58*D58,0)</f>
        <v>#DIV/0!</v>
      </c>
      <c r="C58" s="200">
        <f t="shared" si="16"/>
        <v>0</v>
      </c>
      <c r="D58" s="1167">
        <v>0.25</v>
      </c>
      <c r="E58" s="694"/>
      <c r="F58" s="1106" t="e">
        <f t="shared" si="15"/>
        <v>#DIV/0!</v>
      </c>
      <c r="G58" s="3280"/>
      <c r="H58" s="1107">
        <f>项目基本情况!B37</f>
        <v>0</v>
      </c>
      <c r="I58" s="1111">
        <f>SUMIF(修正!A45:A56,H58,修正!C45:C56)</f>
        <v>0</v>
      </c>
      <c r="J58" s="1115"/>
      <c r="K58" s="1148"/>
      <c r="L58" s="944"/>
      <c r="M58" s="944"/>
      <c r="N58" s="944"/>
      <c r="O58" s="944"/>
    </row>
    <row r="59" spans="1:15" s="692" customFormat="1">
      <c r="A59" s="693" t="s">
        <v>2770</v>
      </c>
      <c r="B59" s="262" t="e">
        <f t="shared" si="17"/>
        <v>#DIV/0!</v>
      </c>
      <c r="C59" s="200">
        <f t="shared" si="16"/>
        <v>0</v>
      </c>
      <c r="D59" s="1167">
        <v>0.25</v>
      </c>
      <c r="E59" s="694"/>
      <c r="F59" s="1106" t="e">
        <f t="shared" si="15"/>
        <v>#DIV/0!</v>
      </c>
      <c r="G59" s="3280"/>
      <c r="H59" s="1107">
        <f>项目基本情况!B37</f>
        <v>0</v>
      </c>
      <c r="I59" s="1111">
        <f>SUMIF(修正!A45:A56,H59,修正!D45:D56)</f>
        <v>0</v>
      </c>
      <c r="J59" s="1115"/>
      <c r="K59" s="1147"/>
      <c r="L59" s="944"/>
      <c r="M59" s="944"/>
      <c r="N59" s="944"/>
      <c r="O59" s="944"/>
    </row>
    <row r="60" spans="1:15" s="692" customFormat="1">
      <c r="A60" s="693" t="s">
        <v>2771</v>
      </c>
      <c r="B60" s="262" t="e">
        <f t="shared" si="17"/>
        <v>#DIV/0!</v>
      </c>
      <c r="C60" s="200">
        <f t="shared" si="16"/>
        <v>0</v>
      </c>
      <c r="D60" s="1167">
        <v>0.25</v>
      </c>
      <c r="E60" s="694"/>
      <c r="F60" s="1106" t="e">
        <f t="shared" si="15"/>
        <v>#DIV/0!</v>
      </c>
      <c r="G60" s="3280"/>
      <c r="H60" s="1107">
        <f>项目基本情况!B37</f>
        <v>0</v>
      </c>
      <c r="I60" s="1111">
        <f>SUMIF(修正!A45:A56,H60,修正!E45:E56)</f>
        <v>0</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2"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v>
      </c>
      <c r="D64" s="1167">
        <v>0.25</v>
      </c>
      <c r="E64" s="261">
        <f>'数据-汇总表'!E14</f>
        <v>0</v>
      </c>
      <c r="F64" s="1106" t="e">
        <f t="shared" si="15"/>
        <v>#DIV/0!</v>
      </c>
      <c r="G64" s="2712"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3"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15902.38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4"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2782</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ht="15">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81" t="s">
        <v>2796</v>
      </c>
      <c r="D6" s="3282"/>
      <c r="E6" s="3283" t="s">
        <v>2796</v>
      </c>
      <c r="F6" s="3284"/>
      <c r="G6" s="3281" t="s">
        <v>2796</v>
      </c>
      <c r="H6" s="3282"/>
      <c r="I6" s="3281" t="s">
        <v>2796</v>
      </c>
      <c r="J6" s="3282"/>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2547</v>
      </c>
      <c r="B7" s="409"/>
      <c r="C7" s="410">
        <f>'数据-取费表'!B2</f>
        <v>43371</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46"/>
      <c r="Q10" s="1798" t="str">
        <f t="shared" si="6"/>
        <v>土地使用年限（年）</v>
      </c>
      <c r="R10" s="770" t="s">
        <v>17</v>
      </c>
      <c r="S10" s="771">
        <f t="shared" si="0"/>
        <v>112</v>
      </c>
      <c r="T10" s="770" t="s">
        <v>17</v>
      </c>
      <c r="U10" s="771">
        <f t="shared" si="1"/>
        <v>112</v>
      </c>
      <c r="V10" s="770" t="s">
        <v>17</v>
      </c>
      <c r="W10" s="771">
        <f t="shared" si="2"/>
        <v>112</v>
      </c>
      <c r="X10" s="772"/>
      <c r="Y10" s="3061"/>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6"/>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71.25">
      <c r="A15" s="440" t="s">
        <v>2558</v>
      </c>
      <c r="B15" s="629" t="s">
        <v>2797</v>
      </c>
      <c r="C15" s="2696"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8" t="s">
        <v>2559</v>
      </c>
      <c r="Q15" s="1813" t="str">
        <f t="shared" si="6"/>
        <v>产业集聚程度</v>
      </c>
      <c r="R15" s="774" t="s">
        <v>17</v>
      </c>
      <c r="S15" s="775">
        <f t="shared" si="0"/>
        <v>100</v>
      </c>
      <c r="T15" s="774" t="s">
        <v>17</v>
      </c>
      <c r="U15" s="775">
        <f t="shared" si="1"/>
        <v>100</v>
      </c>
      <c r="V15" s="774" t="s">
        <v>17</v>
      </c>
      <c r="W15" s="775">
        <f t="shared" si="2"/>
        <v>100</v>
      </c>
      <c r="X15" s="1816"/>
      <c r="Y15" s="3248"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9"/>
      <c r="Q16" s="1813"/>
      <c r="R16" s="774"/>
      <c r="S16" s="775"/>
      <c r="T16" s="774"/>
      <c r="U16" s="775"/>
      <c r="V16" s="774"/>
      <c r="W16" s="775"/>
      <c r="X16" s="1816"/>
      <c r="Y16" s="3249"/>
      <c r="Z16" s="1817"/>
      <c r="AA16" s="1814">
        <v>1</v>
      </c>
      <c r="AB16" s="1814">
        <v>1</v>
      </c>
      <c r="AC16" s="1814">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9"/>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9"/>
      <c r="Q18" s="1813"/>
      <c r="R18" s="774"/>
      <c r="S18" s="775"/>
      <c r="T18" s="774"/>
      <c r="U18" s="775"/>
      <c r="V18" s="774"/>
      <c r="W18" s="775"/>
      <c r="X18" s="1816"/>
      <c r="Y18" s="3249"/>
      <c r="Z18" s="1817"/>
      <c r="AA18" s="1814">
        <v>1</v>
      </c>
      <c r="AB18" s="1814">
        <v>1</v>
      </c>
      <c r="AC18" s="1814">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9"/>
      <c r="Q19" s="1813" t="str">
        <f t="shared" ref="Q19:Q33" si="8">B19</f>
        <v>区域土地利用方向</v>
      </c>
      <c r="R19" s="774" t="s">
        <v>17</v>
      </c>
      <c r="S19" s="775">
        <f>F19</f>
        <v>100</v>
      </c>
      <c r="T19" s="774" t="s">
        <v>17</v>
      </c>
      <c r="U19" s="775">
        <f>H19</f>
        <v>100</v>
      </c>
      <c r="V19" s="774" t="s">
        <v>17</v>
      </c>
      <c r="W19" s="775">
        <f>J19</f>
        <v>100</v>
      </c>
      <c r="X19" s="1816"/>
      <c r="Y19" s="3249"/>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9"/>
      <c r="Q20" s="1813"/>
      <c r="R20" s="774"/>
      <c r="S20" s="775"/>
      <c r="T20" s="774"/>
      <c r="U20" s="775"/>
      <c r="V20" s="774"/>
      <c r="W20" s="775"/>
      <c r="X20" s="1816"/>
      <c r="Y20" s="3249"/>
      <c r="Z20" s="1817"/>
      <c r="AA20" s="1814"/>
      <c r="AB20" s="1814"/>
      <c r="AC20" s="1814"/>
    </row>
    <row r="21" spans="1:29" ht="71.25">
      <c r="A21" s="404"/>
      <c r="B21" s="631" t="s">
        <v>2798</v>
      </c>
      <c r="C21" s="2610"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9"/>
      <c r="Q21" s="1813" t="str">
        <f t="shared" si="8"/>
        <v>环境状况</v>
      </c>
      <c r="R21" s="774" t="s">
        <v>17</v>
      </c>
      <c r="S21" s="775">
        <f>F21</f>
        <v>100</v>
      </c>
      <c r="T21" s="774" t="s">
        <v>17</v>
      </c>
      <c r="U21" s="775">
        <f>H21</f>
        <v>100</v>
      </c>
      <c r="V21" s="774" t="s">
        <v>17</v>
      </c>
      <c r="W21" s="775">
        <f>J21</f>
        <v>100</v>
      </c>
      <c r="X21" s="1816"/>
      <c r="Y21" s="3249"/>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9"/>
      <c r="Q22" s="1813"/>
      <c r="R22" s="774"/>
      <c r="S22" s="775"/>
      <c r="T22" s="774"/>
      <c r="U22" s="775"/>
      <c r="V22" s="774"/>
      <c r="W22" s="775"/>
      <c r="X22" s="1816"/>
      <c r="Y22" s="3249"/>
      <c r="Z22" s="1817"/>
      <c r="AA22" s="1814">
        <v>1</v>
      </c>
      <c r="AB22" s="1814">
        <v>1</v>
      </c>
      <c r="AC22" s="1814">
        <v>1</v>
      </c>
    </row>
    <row r="23" spans="1:29" s="117" customFormat="1" ht="42.75">
      <c r="A23" s="649"/>
      <c r="B23" s="633" t="s">
        <v>2653</v>
      </c>
      <c r="C23" s="2610"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9"/>
      <c r="Q23" s="1798" t="str">
        <f t="shared" si="8"/>
        <v>公共配套设施</v>
      </c>
      <c r="R23" s="770" t="s">
        <v>17</v>
      </c>
      <c r="S23" s="771">
        <f>F23</f>
        <v>100</v>
      </c>
      <c r="T23" s="770" t="s">
        <v>17</v>
      </c>
      <c r="U23" s="771">
        <f>H23</f>
        <v>100</v>
      </c>
      <c r="V23" s="770" t="s">
        <v>17</v>
      </c>
      <c r="W23" s="771">
        <f>J23</f>
        <v>100</v>
      </c>
      <c r="X23" s="772"/>
      <c r="Y23" s="3249"/>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9"/>
      <c r="Q24" s="1798"/>
      <c r="R24" s="770"/>
      <c r="S24" s="771"/>
      <c r="T24" s="770"/>
      <c r="U24" s="771"/>
      <c r="V24" s="770"/>
      <c r="W24" s="771"/>
      <c r="X24" s="772"/>
      <c r="Y24" s="3249"/>
      <c r="Z24" s="55"/>
      <c r="AA24" s="773">
        <v>1</v>
      </c>
      <c r="AB24" s="773">
        <v>1</v>
      </c>
      <c r="AC24" s="773">
        <v>1</v>
      </c>
    </row>
    <row r="25" spans="1:29" s="117" customFormat="1" ht="42.75">
      <c r="A25" s="649"/>
      <c r="B25" s="633" t="s">
        <v>2654</v>
      </c>
      <c r="C25" s="2610" t="str">
        <f>估价对象房地状况!G20</f>
        <v>估价对象所在区域基础设施水平好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9"/>
      <c r="Q25" s="1798" t="str">
        <f t="shared" ref="Q25" si="9">B25</f>
        <v>基础设施水平</v>
      </c>
      <c r="R25" s="770" t="s">
        <v>17</v>
      </c>
      <c r="S25" s="771">
        <f>F25</f>
        <v>100</v>
      </c>
      <c r="T25" s="770" t="s">
        <v>17</v>
      </c>
      <c r="U25" s="771">
        <f>H25</f>
        <v>100</v>
      </c>
      <c r="V25" s="770" t="s">
        <v>17</v>
      </c>
      <c r="W25" s="771">
        <f>J25</f>
        <v>100</v>
      </c>
      <c r="X25" s="772"/>
      <c r="Y25" s="3249"/>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9"/>
      <c r="Q26" s="1798"/>
      <c r="R26" s="770"/>
      <c r="S26" s="771"/>
      <c r="T26" s="770"/>
      <c r="U26" s="771"/>
      <c r="V26" s="770"/>
      <c r="W26" s="771"/>
      <c r="X26" s="772"/>
      <c r="Y26" s="324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9"/>
      <c r="Z27" s="1817" t="str">
        <f t="shared" ref="Z27:Z40" si="13">Q27</f>
        <v>临街状况</v>
      </c>
      <c r="AA27" s="1814">
        <f t="shared" si="3"/>
        <v>1</v>
      </c>
      <c r="AB27" s="1814">
        <f t="shared" si="4"/>
        <v>1</v>
      </c>
      <c r="AC27" s="1814">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9"/>
      <c r="Q28" s="1813" t="str">
        <f t="shared" si="8"/>
        <v>毗邻道路的类型与等级</v>
      </c>
      <c r="R28" s="774" t="s">
        <v>17</v>
      </c>
      <c r="S28" s="775">
        <f t="shared" si="10"/>
        <v>100</v>
      </c>
      <c r="T28" s="774" t="s">
        <v>17</v>
      </c>
      <c r="U28" s="775">
        <f t="shared" si="11"/>
        <v>100</v>
      </c>
      <c r="V28" s="774" t="s">
        <v>17</v>
      </c>
      <c r="W28" s="775">
        <f t="shared" si="12"/>
        <v>100</v>
      </c>
      <c r="X28" s="1816"/>
      <c r="Y28" s="3249"/>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9"/>
      <c r="Q29" s="1813"/>
      <c r="R29" s="774"/>
      <c r="S29" s="775"/>
      <c r="T29" s="774"/>
      <c r="U29" s="775"/>
      <c r="V29" s="774"/>
      <c r="W29" s="775"/>
      <c r="X29" s="1816"/>
      <c r="Y29" s="324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9"/>
      <c r="Q30" s="1813" t="str">
        <f t="shared" si="8"/>
        <v>土地级别</v>
      </c>
      <c r="R30" s="774" t="s">
        <v>17</v>
      </c>
      <c r="S30" s="775">
        <f t="shared" si="10"/>
        <v>100</v>
      </c>
      <c r="T30" s="774" t="s">
        <v>17</v>
      </c>
      <c r="U30" s="775">
        <f t="shared" si="11"/>
        <v>100</v>
      </c>
      <c r="V30" s="774" t="s">
        <v>17</v>
      </c>
      <c r="W30" s="775">
        <f t="shared" si="12"/>
        <v>100</v>
      </c>
      <c r="X30" s="1816"/>
      <c r="Y30" s="3249"/>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9"/>
      <c r="Q31" s="1813">
        <f t="shared" si="8"/>
        <v>111</v>
      </c>
      <c r="R31" s="774" t="s">
        <v>17</v>
      </c>
      <c r="S31" s="775">
        <f t="shared" si="10"/>
        <v>100</v>
      </c>
      <c r="T31" s="774" t="s">
        <v>17</v>
      </c>
      <c r="U31" s="775">
        <f t="shared" si="11"/>
        <v>100</v>
      </c>
      <c r="V31" s="774" t="s">
        <v>17</v>
      </c>
      <c r="W31" s="775">
        <f t="shared" si="12"/>
        <v>100</v>
      </c>
      <c r="X31" s="1816"/>
      <c r="Y31" s="3249"/>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6" t="s">
        <v>2564</v>
      </c>
      <c r="Q32" s="1813">
        <f t="shared" si="8"/>
        <v>111</v>
      </c>
      <c r="R32" s="774" t="s">
        <v>17</v>
      </c>
      <c r="S32" s="775">
        <f t="shared" si="10"/>
        <v>100</v>
      </c>
      <c r="T32" s="774" t="s">
        <v>17</v>
      </c>
      <c r="U32" s="775">
        <f t="shared" si="11"/>
        <v>100</v>
      </c>
      <c r="V32" s="774" t="s">
        <v>17</v>
      </c>
      <c r="W32" s="775">
        <f t="shared" si="12"/>
        <v>100</v>
      </c>
      <c r="X32" s="1816"/>
      <c r="Y32" s="3253" t="s">
        <v>2564</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3"/>
      <c r="Q33" s="1813">
        <f t="shared" si="8"/>
        <v>111</v>
      </c>
      <c r="R33" s="777" t="s">
        <v>17</v>
      </c>
      <c r="S33" s="778">
        <f t="shared" si="10"/>
        <v>100</v>
      </c>
      <c r="T33" s="777" t="s">
        <v>17</v>
      </c>
      <c r="U33" s="778">
        <f t="shared" si="11"/>
        <v>100</v>
      </c>
      <c r="V33" s="777" t="s">
        <v>17</v>
      </c>
      <c r="W33" s="778">
        <f t="shared" si="12"/>
        <v>100</v>
      </c>
      <c r="X33" s="779"/>
      <c r="Y33" s="325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3"/>
      <c r="Q34" s="1813" t="str">
        <f>B34</f>
        <v>宗地面积</v>
      </c>
      <c r="R34" s="774" t="s">
        <v>17</v>
      </c>
      <c r="S34" s="775" t="e">
        <f t="shared" si="10"/>
        <v>#N/A</v>
      </c>
      <c r="T34" s="774" t="s">
        <v>17</v>
      </c>
      <c r="U34" s="775" t="e">
        <f t="shared" si="11"/>
        <v>#N/A</v>
      </c>
      <c r="V34" s="774" t="s">
        <v>17</v>
      </c>
      <c r="W34" s="775" t="e">
        <f t="shared" si="12"/>
        <v>#N/A</v>
      </c>
      <c r="X34" s="1816"/>
      <c r="Y34" s="3253"/>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53"/>
      <c r="Q35" s="1813" t="str">
        <f t="shared" ref="Q35:Q40" si="14">B35</f>
        <v>宗地形状</v>
      </c>
      <c r="R35" s="774" t="s">
        <v>17</v>
      </c>
      <c r="S35" s="775">
        <f t="shared" si="10"/>
        <v>100</v>
      </c>
      <c r="T35" s="774" t="s">
        <v>17</v>
      </c>
      <c r="U35" s="775">
        <f t="shared" si="11"/>
        <v>100</v>
      </c>
      <c r="V35" s="774" t="s">
        <v>17</v>
      </c>
      <c r="W35" s="775">
        <f t="shared" si="12"/>
        <v>100</v>
      </c>
      <c r="X35" s="1816"/>
      <c r="Y35" s="3253"/>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53"/>
      <c r="Q36" s="1813" t="str">
        <f t="shared" si="14"/>
        <v>宗地开发程度</v>
      </c>
      <c r="R36" s="770" t="s">
        <v>17</v>
      </c>
      <c r="S36" s="771">
        <f t="shared" si="10"/>
        <v>100</v>
      </c>
      <c r="T36" s="770" t="s">
        <v>17</v>
      </c>
      <c r="U36" s="771">
        <f t="shared" si="11"/>
        <v>100</v>
      </c>
      <c r="V36" s="770" t="s">
        <v>17</v>
      </c>
      <c r="W36" s="771">
        <f t="shared" si="12"/>
        <v>100</v>
      </c>
      <c r="X36" s="772"/>
      <c r="Y36" s="3253"/>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53" t="s">
        <v>2564</v>
      </c>
      <c r="Q37" s="1813" t="str">
        <f t="shared" si="14"/>
        <v>工程地质条件</v>
      </c>
      <c r="R37" s="774" t="s">
        <v>17</v>
      </c>
      <c r="S37" s="775">
        <f t="shared" si="10"/>
        <v>100</v>
      </c>
      <c r="T37" s="774" t="s">
        <v>17</v>
      </c>
      <c r="U37" s="775">
        <f t="shared" si="11"/>
        <v>100</v>
      </c>
      <c r="V37" s="774" t="s">
        <v>17</v>
      </c>
      <c r="W37" s="775">
        <f t="shared" si="12"/>
        <v>100</v>
      </c>
      <c r="X37" s="1816"/>
      <c r="Y37" s="325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3"/>
      <c r="Q38" s="1813">
        <f t="shared" si="14"/>
        <v>111</v>
      </c>
      <c r="R38" s="774" t="s">
        <v>17</v>
      </c>
      <c r="S38" s="775">
        <f t="shared" si="10"/>
        <v>100</v>
      </c>
      <c r="T38" s="774" t="s">
        <v>17</v>
      </c>
      <c r="U38" s="775">
        <f t="shared" si="11"/>
        <v>100</v>
      </c>
      <c r="V38" s="774" t="s">
        <v>17</v>
      </c>
      <c r="W38" s="775">
        <f t="shared" si="12"/>
        <v>100</v>
      </c>
      <c r="X38" s="1816"/>
      <c r="Y38" s="325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3"/>
      <c r="Q39" s="1813">
        <f t="shared" si="14"/>
        <v>111</v>
      </c>
      <c r="R39" s="774" t="s">
        <v>17</v>
      </c>
      <c r="S39" s="775">
        <f t="shared" si="10"/>
        <v>100</v>
      </c>
      <c r="T39" s="774" t="s">
        <v>17</v>
      </c>
      <c r="U39" s="775">
        <f t="shared" si="11"/>
        <v>100</v>
      </c>
      <c r="V39" s="774" t="s">
        <v>17</v>
      </c>
      <c r="W39" s="775">
        <f t="shared" si="12"/>
        <v>100</v>
      </c>
      <c r="X39" s="1816"/>
      <c r="Y39" s="3253"/>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3"/>
      <c r="Q40" s="1813">
        <f t="shared" si="14"/>
        <v>111</v>
      </c>
      <c r="R40" s="777" t="s">
        <v>17</v>
      </c>
      <c r="S40" s="778">
        <f t="shared" si="10"/>
        <v>100</v>
      </c>
      <c r="T40" s="777" t="s">
        <v>17</v>
      </c>
      <c r="U40" s="778">
        <f t="shared" si="11"/>
        <v>100</v>
      </c>
      <c r="V40" s="777" t="s">
        <v>17</v>
      </c>
      <c r="W40" s="778">
        <f t="shared" si="12"/>
        <v>100</v>
      </c>
      <c r="X40" s="779"/>
      <c r="Y40" s="3253"/>
      <c r="Z40" s="780">
        <f t="shared" si="13"/>
        <v>111</v>
      </c>
      <c r="AA40" s="1814">
        <f t="shared" si="3"/>
        <v>1</v>
      </c>
      <c r="AB40" s="1814">
        <f t="shared" si="4"/>
        <v>1</v>
      </c>
      <c r="AC40" s="1814">
        <f t="shared" si="5"/>
        <v>1</v>
      </c>
    </row>
    <row r="41" spans="1:29" ht="15">
      <c r="A41" s="479" t="s">
        <v>2719</v>
      </c>
      <c r="B41" s="2707" t="s">
        <v>2799</v>
      </c>
      <c r="C41" s="682" t="s">
        <v>1</v>
      </c>
      <c r="D41" s="481"/>
      <c r="E41" s="482"/>
      <c r="F41" s="483"/>
      <c r="G41" s="484"/>
      <c r="H41" s="485"/>
      <c r="I41" s="482"/>
      <c r="J41" s="485"/>
      <c r="K41" s="783"/>
      <c r="L41" s="1146"/>
      <c r="M41" s="1134"/>
      <c r="N41" s="1134"/>
      <c r="O41" s="1147"/>
      <c r="P41" s="3246" t="str">
        <f>A41</f>
        <v>成交单价</v>
      </c>
      <c r="Q41" s="3246"/>
      <c r="R41" s="3241">
        <f>E41</f>
        <v>0</v>
      </c>
      <c r="S41" s="3241"/>
      <c r="T41" s="3241">
        <f>G41</f>
        <v>0</v>
      </c>
      <c r="U41" s="3241"/>
      <c r="V41" s="3241">
        <f>I41</f>
        <v>0</v>
      </c>
      <c r="W41" s="324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46" t="str">
        <f>A42</f>
        <v>比较价值（元/平方米）</v>
      </c>
      <c r="Q42" s="3246"/>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43" t="str">
        <f>A43</f>
        <v>估价对象XX用房的比较价值（楼面单价，元/平方米）</v>
      </c>
      <c r="Q43" s="3244"/>
      <c r="R43" s="3278" t="e">
        <f>ROUND(AVERAGE(R42:V42),0)</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8" t="s">
        <v>2759</v>
      </c>
      <c r="D50" s="2709" t="s">
        <v>2760</v>
      </c>
      <c r="E50" s="686" t="s">
        <v>2761</v>
      </c>
      <c r="F50" s="687" t="s">
        <v>2762</v>
      </c>
      <c r="G50" s="3229" t="s">
        <v>2763</v>
      </c>
      <c r="H50" s="3279"/>
      <c r="I50" s="1817" t="s">
        <v>2800</v>
      </c>
      <c r="J50" s="1817">
        <f>项目基本情况!F35</f>
        <v>0</v>
      </c>
      <c r="K50" s="2711" t="s">
        <v>2765</v>
      </c>
      <c r="L50" s="1109"/>
      <c r="M50" s="1147"/>
      <c r="N50" s="1147"/>
      <c r="O50" s="1147"/>
    </row>
    <row r="51" spans="1:17" s="692" customFormat="1">
      <c r="A51" s="688" t="s">
        <v>2766</v>
      </c>
      <c r="B51" s="689" t="e">
        <f>C43</f>
        <v>#DIV/0!</v>
      </c>
      <c r="C51" s="690">
        <v>1</v>
      </c>
      <c r="D51" s="1166">
        <v>1</v>
      </c>
      <c r="E51" s="690">
        <f>'数据-汇总表'!E8+'数据-汇总表'!E9</f>
        <v>15902.38</v>
      </c>
      <c r="F51" s="691" t="e">
        <f t="shared" ref="F51:F60" si="15">ROUND(B51*E51/10000,0)</f>
        <v>#DIV/0!</v>
      </c>
      <c r="G51" s="3228"/>
      <c r="H51" s="324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80"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80"/>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80"/>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80"/>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2"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4"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2801</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2803</v>
      </c>
      <c r="B1" s="241"/>
      <c r="C1" s="245" t="s">
        <v>2804</v>
      </c>
      <c r="D1" s="388">
        <f>SUM(D29:D30,D33:D39)</f>
        <v>0</v>
      </c>
      <c r="E1" s="2720"/>
      <c r="F1" s="2720"/>
      <c r="G1" s="2720"/>
      <c r="H1" s="2720"/>
      <c r="I1" s="2720"/>
      <c r="J1" s="2720"/>
      <c r="K1" s="1373"/>
      <c r="L1" s="2721" t="s">
        <v>2805</v>
      </c>
      <c r="M1" s="1083">
        <f>SUMPRODUCT((区片价!B5:B9=I2)*(区片价!C3:F3=E2)*(区片价!C5:F9))</f>
        <v>0</v>
      </c>
      <c r="N1" s="1086">
        <f>SUMPRODUCT((因素修正幅度!B5:B9=I2)*(因素修正幅度!C3:F3=E2)*(因素修正幅度!C5:F9))</f>
        <v>0</v>
      </c>
      <c r="O1" s="2722"/>
      <c r="P1" s="2722"/>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4" t="s">
        <v>2812</v>
      </c>
      <c r="D2" s="2725" t="s">
        <v>2813</v>
      </c>
      <c r="E2" s="2726"/>
      <c r="F2" s="2725" t="s">
        <v>2814</v>
      </c>
      <c r="G2" s="2727">
        <f>IF(E2="商业",项目基本情况!B37,IF(E2="办公",项目基本情况!C37,IF(E2="住宅",项目基本情况!D37,项目基本情况!E37)))</f>
        <v>0</v>
      </c>
      <c r="H2" s="2725" t="s">
        <v>2815</v>
      </c>
      <c r="I2" s="2727">
        <f>IF(E2="商业",项目基本情况!B38,IF(E2="办公",项目基本情况!C38,IF(E2="住宅",项目基本情况!D38,项目基本情况!E38)))</f>
        <v>0</v>
      </c>
      <c r="J2" s="2728"/>
      <c r="K2" s="1373"/>
      <c r="L2" s="2729" t="s">
        <v>2816</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4" t="s">
        <v>2818</v>
      </c>
      <c r="D3" s="2725" t="s">
        <v>2819</v>
      </c>
      <c r="E3" s="2730"/>
      <c r="F3" s="2731" t="s">
        <v>2820</v>
      </c>
      <c r="G3" s="916" t="e">
        <f>IF(F3="宗地容积率",'数据-汇总表'!I4,IF(F3="估价对象容积率",'数据-汇总表'!I6,'数据-汇总表'!I7))</f>
        <v>#DIV/0!</v>
      </c>
      <c r="H3" s="198" t="s">
        <v>2821</v>
      </c>
      <c r="I3" s="947"/>
      <c r="J3" s="2728" t="s">
        <v>2822</v>
      </c>
      <c r="K3" s="1373"/>
      <c r="L3" s="2729" t="s">
        <v>2823</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9"/>
      <c r="B4" s="3300"/>
      <c r="C4" s="3300"/>
      <c r="D4" s="3301"/>
      <c r="E4" s="3301"/>
      <c r="F4" s="3301"/>
      <c r="G4" s="3301"/>
      <c r="H4" s="3301"/>
      <c r="I4" s="3301"/>
      <c r="J4" s="3302"/>
      <c r="K4" s="1373"/>
      <c r="L4" s="2729" t="s">
        <v>2824</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2825</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2826</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2827</v>
      </c>
      <c r="B6" s="2743" t="s">
        <v>2828</v>
      </c>
      <c r="C6" s="918">
        <f>SUMIF(L1:L12,G2,M1:M12)</f>
        <v>0</v>
      </c>
      <c r="D6" s="2744" t="s">
        <v>2829</v>
      </c>
      <c r="E6" s="2745"/>
      <c r="F6" s="2745"/>
      <c r="G6" s="2746"/>
      <c r="H6" s="2746"/>
      <c r="I6" s="2746"/>
      <c r="J6" s="2747"/>
      <c r="K6" s="1845"/>
      <c r="L6" s="2729" t="s">
        <v>2830</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85" t="str">
        <f>IF(E2="商业",IF(C8="不临58条商业街","",2),"")</f>
        <v/>
      </c>
      <c r="B7" s="2748" t="s">
        <v>2831</v>
      </c>
      <c r="C7" s="919" t="e">
        <f>IF(C8="不临58条商业街",1,ROUND(1+(1.6*E8+1.2*E9+0.8*E10+0.4*E11)*C9,4))</f>
        <v>#DIV/0!</v>
      </c>
      <c r="D7" s="2749" t="s">
        <v>2832</v>
      </c>
      <c r="E7" s="948"/>
      <c r="F7" s="2750"/>
      <c r="G7" s="2751"/>
      <c r="H7" s="2751"/>
      <c r="I7" s="2751"/>
      <c r="J7" s="2752"/>
      <c r="K7" s="1845"/>
      <c r="L7" s="2729" t="s">
        <v>2833</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2834</v>
      </c>
      <c r="X7" s="1607">
        <f>G2</f>
        <v>0</v>
      </c>
      <c r="Y7" s="1607" t="s">
        <v>2835</v>
      </c>
      <c r="Z7" s="1608" t="e">
        <f>G3</f>
        <v>#DIV/0!</v>
      </c>
      <c r="AA7" s="1609"/>
      <c r="AB7" s="1609"/>
      <c r="AC7" s="1610"/>
      <c r="AD7" s="1611"/>
      <c r="AE7" s="1611"/>
      <c r="AF7" s="1611"/>
      <c r="AG7" s="1611"/>
      <c r="AH7" s="1611"/>
      <c r="AI7" s="1611"/>
      <c r="AJ7" s="1612"/>
    </row>
    <row r="8" spans="1:36" ht="15">
      <c r="A8" s="3286"/>
      <c r="B8" s="198" t="s">
        <v>2836</v>
      </c>
      <c r="C8" s="2753"/>
      <c r="D8" s="920" t="s">
        <v>139</v>
      </c>
      <c r="E8" s="921" t="e">
        <f>ROUND(C11/E7,4)</f>
        <v>#DIV/0!</v>
      </c>
      <c r="F8" s="2754" t="s">
        <v>2837</v>
      </c>
      <c r="G8" s="2755"/>
      <c r="H8" s="2755"/>
      <c r="I8" s="2755"/>
      <c r="J8" s="2756"/>
      <c r="K8" s="1373"/>
      <c r="L8" s="2729"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6" t="s">
        <v>2839</v>
      </c>
      <c r="X8" s="3297"/>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86"/>
      <c r="B9" s="198" t="s">
        <v>2852</v>
      </c>
      <c r="C9" s="922">
        <f>SUMIF(修正!C59:C119,C8,修正!E59:E119)</f>
        <v>0</v>
      </c>
      <c r="D9" s="200" t="s">
        <v>140</v>
      </c>
      <c r="E9" s="200" t="e">
        <f>ROUND(C11/E7,4)</f>
        <v>#DIV/0!</v>
      </c>
      <c r="F9" s="2754" t="s">
        <v>2853</v>
      </c>
      <c r="G9" s="2755"/>
      <c r="H9" s="2755"/>
      <c r="I9" s="2755"/>
      <c r="J9" s="2756"/>
      <c r="K9" s="1373"/>
      <c r="L9" s="2729"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8"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6"/>
      <c r="B10" s="198" t="s">
        <v>2857</v>
      </c>
      <c r="C10" s="200">
        <f>SUMIF(修正!C59:C119,C8,修正!F59:F119)</f>
        <v>0</v>
      </c>
      <c r="D10" s="200" t="s">
        <v>141</v>
      </c>
      <c r="E10" s="200" t="e">
        <f>ROUND(C11/E7,4)</f>
        <v>#DIV/0!</v>
      </c>
      <c r="F10" s="2754" t="s">
        <v>2858</v>
      </c>
      <c r="G10" s="2755"/>
      <c r="H10" s="2755"/>
      <c r="I10" s="2755"/>
      <c r="J10" s="2756"/>
      <c r="K10" s="1373"/>
      <c r="L10" s="2729"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6"/>
      <c r="B11" s="2757" t="s">
        <v>2860</v>
      </c>
      <c r="C11" s="923">
        <f>C10/4</f>
        <v>0</v>
      </c>
      <c r="D11" s="923" t="s">
        <v>142</v>
      </c>
      <c r="E11" s="923" t="e">
        <f>ROUND(C11/E7,4)</f>
        <v>#DIV/0!</v>
      </c>
      <c r="F11" s="2758" t="s">
        <v>2861</v>
      </c>
      <c r="G11" s="2759"/>
      <c r="H11" s="2759"/>
      <c r="I11" s="2759"/>
      <c r="J11" s="2760"/>
      <c r="K11" s="1373"/>
      <c r="L11" s="2729"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8" t="s">
        <v>2863</v>
      </c>
      <c r="X11" s="1617" t="s">
        <v>2864</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85" t="s">
        <v>2865</v>
      </c>
      <c r="B12" s="2761" t="s">
        <v>2866</v>
      </c>
      <c r="C12" s="919">
        <f>ROUND(C15*D15*E15*F15*G15*H15*I15*J15,4)</f>
        <v>1</v>
      </c>
      <c r="D12" s="2762" t="s">
        <v>2867</v>
      </c>
      <c r="E12" s="2763"/>
      <c r="F12" s="2763"/>
      <c r="G12" s="2764"/>
      <c r="H12" s="2764"/>
      <c r="I12" s="2764"/>
      <c r="J12" s="2765"/>
      <c r="K12" s="1373"/>
      <c r="L12" s="2766"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8"/>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3"/>
      <c r="B13" s="2767" t="s">
        <v>2870</v>
      </c>
      <c r="C13" s="2768" t="s">
        <v>2871</v>
      </c>
      <c r="D13" s="1811" t="s">
        <v>2872</v>
      </c>
      <c r="E13" s="1811" t="s">
        <v>2873</v>
      </c>
      <c r="F13" s="30" t="s">
        <v>2874</v>
      </c>
      <c r="G13" s="2769" t="s">
        <v>2875</v>
      </c>
      <c r="H13" s="2769" t="s">
        <v>2875</v>
      </c>
      <c r="I13" s="2769" t="s">
        <v>2875</v>
      </c>
      <c r="J13" s="2770" t="s">
        <v>2875</v>
      </c>
      <c r="K13" s="1373"/>
      <c r="L13" s="1373"/>
      <c r="M13" s="1373"/>
      <c r="N13" s="1373"/>
      <c r="O13" s="1373"/>
      <c r="P13" s="1373"/>
      <c r="Q13" s="1373"/>
      <c r="R13" s="1605">
        <v>12</v>
      </c>
      <c r="S13" s="1606"/>
      <c r="T13" s="1605" t="e">
        <f t="shared" si="0"/>
        <v>#DIV/0!</v>
      </c>
      <c r="U13" s="1606"/>
      <c r="V13" s="1605" t="e">
        <f t="shared" si="1"/>
        <v>#DIV/0!</v>
      </c>
      <c r="W13" s="3298"/>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03"/>
      <c r="B14" s="2771"/>
      <c r="C14" s="2772"/>
      <c r="D14" s="2773"/>
      <c r="E14" s="2773"/>
      <c r="F14" s="2774"/>
      <c r="G14" s="2775" t="s">
        <v>2876</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4"/>
      <c r="B15" s="2779" t="s">
        <v>2877</v>
      </c>
      <c r="C15" s="229">
        <f>IF(C14="有",1.1,1)</f>
        <v>1</v>
      </c>
      <c r="D15" s="229">
        <f>IF(D14="有",1.1,1)</f>
        <v>1</v>
      </c>
      <c r="E15" s="229">
        <f>IF(E14="有",1.1,1)</f>
        <v>1</v>
      </c>
      <c r="F15" s="229">
        <f>IF(F14="500米范围内",1.2,IF(F14="500-1000米",1.1,1))</f>
        <v>1</v>
      </c>
      <c r="G15" s="949">
        <v>1</v>
      </c>
      <c r="H15" s="949">
        <v>1</v>
      </c>
      <c r="I15" s="949">
        <v>1</v>
      </c>
      <c r="J15" s="950">
        <v>1</v>
      </c>
      <c r="K15" s="1373"/>
      <c r="L15" s="2780" t="s">
        <v>2813</v>
      </c>
      <c r="M15" s="920" t="s">
        <v>2878</v>
      </c>
      <c r="N15" s="920" t="s">
        <v>2879</v>
      </c>
      <c r="O15" s="920" t="s">
        <v>2880</v>
      </c>
      <c r="P15" s="2781"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5" t="s">
        <v>2882</v>
      </c>
      <c r="B16" s="2748" t="s">
        <v>2883</v>
      </c>
      <c r="C16" s="1804" t="e">
        <f>ROUND(SUM(G17:J17)/C17,0)</f>
        <v>#DIV/0!</v>
      </c>
      <c r="D16" s="2782" t="s">
        <v>2884</v>
      </c>
      <c r="E16" s="2783"/>
      <c r="F16" s="2784"/>
      <c r="G16" s="2785"/>
      <c r="H16" s="2785"/>
      <c r="I16" s="2785"/>
      <c r="J16" s="2786"/>
      <c r="K16" s="1373"/>
      <c r="L16" s="2787"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6"/>
      <c r="B17" s="2788" t="s">
        <v>2886</v>
      </c>
      <c r="C17" s="924">
        <f>SUMPRODUCT((修正!A2:A5=E2)*(修正!B1:M1=G2)*(修正!B2:M5))</f>
        <v>0</v>
      </c>
      <c r="D17" s="2789"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2890</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2891</v>
      </c>
      <c r="C19" s="927" t="e">
        <f>ROUND(IF(H19="按公示增长率计算",SUMPRODUCT((地价!A3:A23=YEAR(G19)&amp;"-"&amp;ROUNDUP(MONTH(G19)/3,0))*(地价!X2:AB2=E2)*(地价!X3:AB23)),IF(H19="地价指数",M20/M19,(1+I19)^O19)),4)</f>
        <v>#DIV/0!</v>
      </c>
      <c r="D19" s="2800" t="s">
        <v>2892</v>
      </c>
      <c r="E19" s="928">
        <v>41640</v>
      </c>
      <c r="F19" s="2800" t="s">
        <v>2893</v>
      </c>
      <c r="G19" s="929">
        <f>'数据-取费表'!B2</f>
        <v>43371</v>
      </c>
      <c r="H19" s="2801" t="s">
        <v>2894</v>
      </c>
      <c r="I19" s="930" t="str">
        <f>IF(H19="季度增幅（自定义）",SUMIF(N21:N24,E2,O21:O24),"")</f>
        <v/>
      </c>
      <c r="J19" s="2798"/>
      <c r="K19" s="1380"/>
      <c r="L19" s="2802" t="s">
        <v>2895</v>
      </c>
      <c r="M19" s="1737">
        <f>ROUND(SUMIF(地价!B2:F2,E2,地价!B23:F23),0)</f>
        <v>0</v>
      </c>
      <c r="N19" s="2803"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2897</v>
      </c>
      <c r="C20" s="932" t="e">
        <f>ROUND(POWER(1+G20,J20-I20)*(POWER(1+G20,I20)-1)/(POWER(1+G20,J20)-1),4)</f>
        <v>#DIV/0!</v>
      </c>
      <c r="D20" s="2809" t="s">
        <v>2898</v>
      </c>
      <c r="E20" s="1771">
        <f ca="1">存贷款利率!D4/100</f>
        <v>4.3499999999999997E-2</v>
      </c>
      <c r="F20" s="2809" t="s">
        <v>2889</v>
      </c>
      <c r="G20" s="937">
        <f>SUMIF(M15:P15,E2,M17:P17)</f>
        <v>0</v>
      </c>
      <c r="H20" s="2809" t="s">
        <v>2899</v>
      </c>
      <c r="I20" s="938" t="e">
        <f>SUMIF('数据-取费表'!C6:C15,E2,'数据-取费表'!F6:F15)/COUNTIF('数据-取费表'!C6:C15,E2)</f>
        <v>#DIV/0!</v>
      </c>
      <c r="J20" s="939">
        <f>IF(E2="住宅",70,IF(E2="商业",40,50))</f>
        <v>50</v>
      </c>
      <c r="K20" s="1380"/>
      <c r="L20" s="2810" t="s">
        <v>2900</v>
      </c>
      <c r="M20" s="1738">
        <f>ROUND(SUMPRODUCT((地价!A4:A23=YEAR(G19)&amp;"-"&amp;ROUNDUP(MONTH(G19)/3,0))*(地价!B2:F2=E2)*(地价!B4:F23)),0)</f>
        <v>0</v>
      </c>
      <c r="N20" s="2811" t="s">
        <v>2901</v>
      </c>
      <c r="O20" s="2812" t="s">
        <v>2902</v>
      </c>
      <c r="P20" s="2813" t="s">
        <v>2903</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2904</v>
      </c>
      <c r="C21" s="940" t="e">
        <f>IF(B21="容积率修正",IF(G3&lt;=10,D22,J22),C23)</f>
        <v>#DIV/0!</v>
      </c>
      <c r="D21" s="2816"/>
      <c r="E21" s="2816"/>
      <c r="F21" s="2816"/>
      <c r="G21" s="2816"/>
      <c r="H21" s="2816"/>
      <c r="I21" s="2816"/>
      <c r="J21" s="2817"/>
      <c r="K21" s="1380"/>
      <c r="N21" s="2818" t="s">
        <v>2905</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1" customFormat="1" ht="14.25">
      <c r="A22" s="2667" t="s">
        <v>2906</v>
      </c>
      <c r="B22" s="2819" t="s">
        <v>2907</v>
      </c>
      <c r="C22" s="1813" t="s">
        <v>2908</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8" t="s">
        <v>2909</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2910</v>
      </c>
      <c r="B23" s="2820" t="s">
        <v>2911</v>
      </c>
      <c r="C23" s="1016" t="e">
        <f>ROUND(IF(G3&gt;1,IF(I3&lt;7,SUMPRODUCT((B93:B98=I3)*(C92:N92=G2)*(C93:N98)),SUMIF(C92:N92,G2,C100:N100)),IF(I3&lt;7,SUMPRODUCT((B102:B107=I3)*(C92:N92=G2)*(C102:N107)),SUMIF(C92:N92,G2,C109:N109))),4)</f>
        <v>#DIV/0!</v>
      </c>
      <c r="D23" s="2776"/>
      <c r="E23" s="2776"/>
      <c r="F23" s="2821"/>
      <c r="G23" s="2822"/>
      <c r="H23" s="2823"/>
      <c r="I23" s="2824"/>
      <c r="J23" s="2825"/>
      <c r="K23" s="1373"/>
      <c r="N23" s="2818" t="s">
        <v>2912</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2913</v>
      </c>
      <c r="C24" s="927">
        <f>SUMIF(A45:A88,E2,B45:B88)</f>
        <v>0</v>
      </c>
      <c r="D24" s="2796"/>
      <c r="E24" s="2826"/>
      <c r="F24" s="2826"/>
      <c r="G24" s="2826"/>
      <c r="H24" s="2826"/>
      <c r="I24" s="2826"/>
      <c r="J24" s="2827"/>
      <c r="K24" s="1380"/>
      <c r="N24" s="2828" t="s">
        <v>2914</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2915</v>
      </c>
      <c r="C25" s="933"/>
      <c r="D25" s="2751"/>
      <c r="E25" s="2751"/>
      <c r="F25" s="2830"/>
      <c r="G25" s="2751"/>
      <c r="H25" s="2751"/>
      <c r="I25" s="2751"/>
      <c r="J25" s="2752"/>
      <c r="K25" s="1373"/>
      <c r="N25" s="2831" t="s">
        <v>2916</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2"/>
      <c r="B26" s="2819" t="s">
        <v>2917</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2918</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2919</v>
      </c>
      <c r="C28" s="2843" t="s">
        <v>2920</v>
      </c>
      <c r="D28" s="2843" t="s">
        <v>2921</v>
      </c>
      <c r="E28" s="2844" t="s">
        <v>2922</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2923</v>
      </c>
      <c r="C29" s="206" t="e">
        <f>ROUND(C5*C18*C19*C20*C21*C24,0)</f>
        <v>#DIV/0!</v>
      </c>
      <c r="D29" s="2848"/>
      <c r="E29" s="945" t="e">
        <f>ROUND(C29*D29/10000,0)</f>
        <v>#DIV/0!</v>
      </c>
      <c r="F29" s="2849" t="s">
        <v>2924</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2925</v>
      </c>
      <c r="C30" s="229" t="e">
        <f>ROUND(IF(E2="工业",C29*M39,C29*M38),0)</f>
        <v>#DIV/0!</v>
      </c>
      <c r="D30" s="2854"/>
      <c r="E30" s="945" t="e">
        <f>ROUND(C30*D30/10000,0)</f>
        <v>#DIV/0!</v>
      </c>
      <c r="F30" s="2855" t="s">
        <v>2926</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93" t="s">
        <v>2931</v>
      </c>
      <c r="B33" s="2864" t="s">
        <v>2932</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4"/>
      <c r="B34" s="2768" t="s">
        <v>2933</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4"/>
      <c r="B35" s="2768" t="s">
        <v>2934</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95"/>
      <c r="B36" s="2768" t="s">
        <v>2935</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2936</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2937</v>
      </c>
      <c r="M37" s="2868"/>
      <c r="N37" s="1373"/>
      <c r="O37" s="1373"/>
      <c r="P37" s="1373"/>
      <c r="Q37" s="1373"/>
      <c r="R37" s="1373"/>
      <c r="S37" s="1373"/>
      <c r="T37" s="1373"/>
      <c r="U37" s="1373"/>
      <c r="V37" s="1373"/>
      <c r="W37" s="1373"/>
      <c r="X37" s="1373"/>
      <c r="Y37" s="1373"/>
      <c r="Z37" s="1374"/>
    </row>
    <row r="38" spans="1:37">
      <c r="A38" s="2866"/>
      <c r="B38" s="2768" t="s">
        <v>2938</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2939</v>
      </c>
      <c r="M38" s="2869">
        <v>0.25</v>
      </c>
      <c r="N38" s="1373"/>
      <c r="O38" s="1373"/>
      <c r="P38" s="1373"/>
      <c r="Q38" s="1373"/>
      <c r="R38" s="1373"/>
      <c r="S38" s="1373"/>
      <c r="T38" s="1373"/>
      <c r="U38" s="1373"/>
      <c r="V38" s="1373"/>
      <c r="W38" s="1373"/>
      <c r="X38" s="1373"/>
      <c r="Y38" s="1373"/>
      <c r="Z38" s="1374"/>
    </row>
    <row r="39" spans="1:37" ht="13.5" thickBot="1">
      <c r="A39" s="2852"/>
      <c r="B39" s="2870" t="s">
        <v>2940</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2881</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2941</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2942</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2943</v>
      </c>
      <c r="B47" s="1812" t="s">
        <v>2944</v>
      </c>
      <c r="C47" s="1812" t="s">
        <v>2945</v>
      </c>
      <c r="D47" s="1812" t="s">
        <v>2946</v>
      </c>
      <c r="E47" s="819" t="s">
        <v>2947</v>
      </c>
      <c r="F47" s="2882" t="s">
        <v>2948</v>
      </c>
      <c r="G47" s="1812" t="s">
        <v>754</v>
      </c>
      <c r="H47" s="2883"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1" t="s">
        <v>2951</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2952</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2953</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2954</v>
      </c>
      <c r="B51" s="2886" t="s">
        <v>2955</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2956</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2957</v>
      </c>
      <c r="B53" s="2887" t="s">
        <v>2958</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2959</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2960</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2961</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2962</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2943</v>
      </c>
      <c r="B58" s="1812"/>
      <c r="C58" s="1812" t="s">
        <v>2945</v>
      </c>
      <c r="D58" s="1812" t="s">
        <v>2946</v>
      </c>
      <c r="E58" s="819" t="s">
        <v>2947</v>
      </c>
      <c r="F58" s="2882" t="s">
        <v>2963</v>
      </c>
      <c r="G58" s="1812" t="s">
        <v>754</v>
      </c>
      <c r="H58" s="2883"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1" t="s">
        <v>2964</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2952</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2953</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2954</v>
      </c>
      <c r="B62" s="2886" t="s">
        <v>2955</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2956</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2957</v>
      </c>
      <c r="B64" s="2887" t="s">
        <v>2958</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2959</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2960</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2961</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2965</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2943</v>
      </c>
      <c r="B69" s="1812"/>
      <c r="C69" s="1812" t="s">
        <v>2945</v>
      </c>
      <c r="D69" s="1812" t="s">
        <v>2946</v>
      </c>
      <c r="E69" s="819" t="s">
        <v>2947</v>
      </c>
      <c r="F69" s="2882" t="s">
        <v>2963</v>
      </c>
      <c r="G69" s="1812" t="s">
        <v>754</v>
      </c>
      <c r="H69" s="2883"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1" t="s">
        <v>2966</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2952</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2953</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2967</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2959</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2960</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2957</v>
      </c>
      <c r="B76" s="2887" t="s">
        <v>2958</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2961</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2968</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2969</v>
      </c>
      <c r="B79" s="2878">
        <f>1+E81</f>
        <v>1</v>
      </c>
      <c r="C79" s="814"/>
      <c r="D79" s="814"/>
      <c r="E79" s="815"/>
      <c r="F79" s="2880"/>
      <c r="G79" s="6"/>
      <c r="H79" s="6"/>
      <c r="I79" s="6"/>
      <c r="J79" s="7"/>
      <c r="K79" s="7"/>
      <c r="L79" s="7"/>
      <c r="M79" s="7"/>
      <c r="N79" s="7"/>
      <c r="Z79" s="2723"/>
      <c r="AA79" s="2799"/>
      <c r="AG79" s="1375"/>
      <c r="AK79" s="2799"/>
    </row>
    <row r="80" spans="1:37" ht="24.75">
      <c r="A80" s="2881" t="s">
        <v>2943</v>
      </c>
      <c r="B80" s="1812"/>
      <c r="C80" s="1812" t="s">
        <v>2945</v>
      </c>
      <c r="D80" s="1812" t="s">
        <v>2946</v>
      </c>
      <c r="E80" s="819" t="s">
        <v>2947</v>
      </c>
      <c r="F80" s="2882" t="s">
        <v>2963</v>
      </c>
      <c r="G80" s="1812" t="s">
        <v>754</v>
      </c>
      <c r="H80" s="2883" t="s">
        <v>2949</v>
      </c>
      <c r="I80" s="1812" t="s">
        <v>2950</v>
      </c>
      <c r="J80" s="603" t="s">
        <v>2596</v>
      </c>
      <c r="K80" s="603" t="s">
        <v>2597</v>
      </c>
      <c r="L80" s="603" t="s">
        <v>2598</v>
      </c>
      <c r="M80" s="603" t="s">
        <v>2599</v>
      </c>
      <c r="N80" s="603" t="s">
        <v>2600</v>
      </c>
      <c r="Z80" s="2723"/>
      <c r="AA80" s="2799"/>
      <c r="AG80" s="1375"/>
      <c r="AK80" s="2799"/>
    </row>
    <row r="81" spans="1:37" ht="38.25">
      <c r="A81" s="2881" t="s">
        <v>2970</v>
      </c>
      <c r="B81" s="2885" t="str">
        <f>估价对象房地状况!G15</f>
        <v>估价对象位于总部基地产业区，园区建设成熟度较好，产业集聚程度较好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2952</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2953</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2967</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2959</v>
      </c>
      <c r="B85" s="1728" t="str">
        <f>估价对象房地状况!G19</f>
        <v>估价对象所在区域公共配套设施齐备情况较齐备</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2960</v>
      </c>
      <c r="B86" s="1728" t="str">
        <f>估价对象房地状况!G20</f>
        <v>估价对象所在区域基础设施水平好</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2957</v>
      </c>
      <c r="B87" s="2887" t="s">
        <v>2971</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2972</v>
      </c>
      <c r="B88" s="2894" t="str">
        <f>估价对象房地状况!G18</f>
        <v>该园区内无污染型企业，绿化情况，卫生条件，整体环境状况较好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87" t="s">
        <v>2973</v>
      </c>
      <c r="B90" s="3287"/>
      <c r="C90" s="3287"/>
      <c r="D90" s="3287"/>
      <c r="E90" s="3287"/>
      <c r="F90" s="3287"/>
      <c r="G90" s="3287"/>
      <c r="H90" s="3287"/>
      <c r="I90" s="3287"/>
      <c r="J90" s="3287"/>
      <c r="K90" s="2895"/>
      <c r="L90" s="2895"/>
      <c r="M90" s="2895"/>
      <c r="N90" s="2895"/>
    </row>
    <row r="91" spans="1:37">
      <c r="A91" s="3289" t="s">
        <v>2974</v>
      </c>
      <c r="B91" s="3289" t="s">
        <v>2975</v>
      </c>
      <c r="C91" s="2849" t="s">
        <v>2976</v>
      </c>
      <c r="D91" s="2850"/>
      <c r="E91" s="2850"/>
      <c r="F91" s="2850"/>
      <c r="G91" s="2850"/>
      <c r="H91" s="2850"/>
      <c r="I91" s="2850"/>
      <c r="J91" s="2896"/>
      <c r="K91" s="2897"/>
      <c r="L91" s="2897"/>
      <c r="M91" s="2897"/>
      <c r="N91" s="2897"/>
    </row>
    <row r="92" spans="1:37">
      <c r="A92" s="3289"/>
      <c r="B92" s="3289"/>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90"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1"/>
      <c r="B99" s="2898" t="s">
        <v>2856</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0" t="s">
        <v>2978</v>
      </c>
      <c r="B101" s="2902" t="s">
        <v>2979</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91"/>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91"/>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91"/>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91"/>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91"/>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91"/>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91"/>
      <c r="B108" s="3115" t="s">
        <v>2980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2"/>
      <c r="B109" s="3116"/>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88" t="s">
        <v>2981</v>
      </c>
      <c r="B110" s="3288"/>
      <c r="C110" s="3288"/>
      <c r="D110" s="3288"/>
      <c r="E110" s="3288"/>
      <c r="F110" s="3288"/>
      <c r="G110" s="3288"/>
      <c r="H110" s="3288"/>
      <c r="I110" s="3288"/>
      <c r="J110" s="3288"/>
      <c r="K110" s="2904"/>
      <c r="L110" s="2904"/>
      <c r="M110" s="2904"/>
      <c r="N110" s="2904"/>
    </row>
    <row r="112" spans="1:14" ht="13.5" thickBot="1"/>
    <row r="113" spans="1:13" ht="25.5" thickBot="1">
      <c r="A113" s="903" t="s">
        <v>2982</v>
      </c>
      <c r="B113" s="1290" t="e">
        <f>G3</f>
        <v>#DIV/0!</v>
      </c>
      <c r="C113" s="904" t="s">
        <v>2983</v>
      </c>
      <c r="D113" s="905" t="e">
        <f>SUMPRODUCT((A115:A118=F113)*(B114:M114=H113)*B115:M118)</f>
        <v>#DIV/0!</v>
      </c>
      <c r="E113" s="2727" t="s">
        <v>2813</v>
      </c>
      <c r="F113" s="2906">
        <f>E2</f>
        <v>0</v>
      </c>
      <c r="G113" s="2727" t="s">
        <v>2814</v>
      </c>
      <c r="H113" s="2906">
        <f>G2</f>
        <v>0</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5" t="s">
        <v>614</v>
      </c>
      <c r="C61" s="818" t="s">
        <v>615</v>
      </c>
      <c r="D61" s="818" t="s">
        <v>616</v>
      </c>
      <c r="E61" s="895">
        <v>0.5</v>
      </c>
      <c r="F61" s="882">
        <v>80</v>
      </c>
    </row>
    <row r="62" spans="1:8" s="878" customFormat="1" ht="24">
      <c r="A62" s="882">
        <v>2</v>
      </c>
      <c r="B62" s="3305"/>
      <c r="C62" s="818" t="s">
        <v>617</v>
      </c>
      <c r="D62" s="818" t="s">
        <v>618</v>
      </c>
      <c r="E62" s="895">
        <v>0.5</v>
      </c>
      <c r="F62" s="882">
        <v>80</v>
      </c>
    </row>
    <row r="63" spans="1:8" s="878" customFormat="1" ht="36">
      <c r="A63" s="882">
        <v>3</v>
      </c>
      <c r="B63" s="3305"/>
      <c r="C63" s="818" t="s">
        <v>619</v>
      </c>
      <c r="D63" s="818" t="s">
        <v>620</v>
      </c>
      <c r="E63" s="895">
        <v>0.5</v>
      </c>
      <c r="F63" s="882">
        <v>80</v>
      </c>
    </row>
    <row r="64" spans="1:8" s="878" customFormat="1" ht="36">
      <c r="A64" s="882">
        <v>4</v>
      </c>
      <c r="B64" s="3305"/>
      <c r="C64" s="818" t="s">
        <v>621</v>
      </c>
      <c r="D64" s="818" t="s">
        <v>622</v>
      </c>
      <c r="E64" s="895">
        <v>0.4</v>
      </c>
      <c r="F64" s="882">
        <v>60</v>
      </c>
    </row>
    <row r="65" spans="1:6" s="878" customFormat="1" ht="36">
      <c r="A65" s="882">
        <v>5</v>
      </c>
      <c r="B65" s="3305"/>
      <c r="C65" s="818" t="s">
        <v>623</v>
      </c>
      <c r="D65" s="818" t="s">
        <v>624</v>
      </c>
      <c r="E65" s="895">
        <v>0.2</v>
      </c>
      <c r="F65" s="882">
        <v>30</v>
      </c>
    </row>
    <row r="66" spans="1:6" s="878" customFormat="1" ht="36">
      <c r="A66" s="882">
        <v>6</v>
      </c>
      <c r="B66" s="3305"/>
      <c r="C66" s="818" t="s">
        <v>625</v>
      </c>
      <c r="D66" s="818" t="s">
        <v>626</v>
      </c>
      <c r="E66" s="895">
        <v>0.3</v>
      </c>
      <c r="F66" s="882">
        <v>50</v>
      </c>
    </row>
    <row r="67" spans="1:6" s="878" customFormat="1" ht="36">
      <c r="A67" s="882">
        <v>7</v>
      </c>
      <c r="B67" s="3305"/>
      <c r="C67" s="818" t="s">
        <v>627</v>
      </c>
      <c r="D67" s="818" t="s">
        <v>628</v>
      </c>
      <c r="E67" s="895">
        <v>0.2</v>
      </c>
      <c r="F67" s="882">
        <v>30</v>
      </c>
    </row>
    <row r="68" spans="1:6" s="878" customFormat="1" ht="36">
      <c r="A68" s="882">
        <v>8</v>
      </c>
      <c r="B68" s="3305"/>
      <c r="C68" s="818" t="s">
        <v>629</v>
      </c>
      <c r="D68" s="818" t="s">
        <v>630</v>
      </c>
      <c r="E68" s="895">
        <v>0.2</v>
      </c>
      <c r="F68" s="882">
        <v>30</v>
      </c>
    </row>
    <row r="69" spans="1:6" s="878" customFormat="1" ht="36">
      <c r="A69" s="882">
        <v>9</v>
      </c>
      <c r="B69" s="3305"/>
      <c r="C69" s="818" t="s">
        <v>631</v>
      </c>
      <c r="D69" s="818" t="s">
        <v>632</v>
      </c>
      <c r="E69" s="895">
        <v>0.2</v>
      </c>
      <c r="F69" s="882">
        <v>30</v>
      </c>
    </row>
    <row r="70" spans="1:6" s="878" customFormat="1" ht="48">
      <c r="A70" s="882">
        <v>10</v>
      </c>
      <c r="B70" s="3305"/>
      <c r="C70" s="818" t="s">
        <v>633</v>
      </c>
      <c r="D70" s="818" t="s">
        <v>634</v>
      </c>
      <c r="E70" s="895">
        <v>0.2</v>
      </c>
      <c r="F70" s="882">
        <v>30</v>
      </c>
    </row>
    <row r="71" spans="1:6" s="878" customFormat="1" ht="48">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24">
      <c r="A73" s="882">
        <v>13</v>
      </c>
      <c r="B73" s="3305"/>
      <c r="C73" s="818" t="s">
        <v>639</v>
      </c>
      <c r="D73" s="818" t="s">
        <v>640</v>
      </c>
      <c r="E73" s="895">
        <v>0.4</v>
      </c>
      <c r="F73" s="882">
        <v>60</v>
      </c>
    </row>
    <row r="74" spans="1:6" s="878" customFormat="1" ht="24">
      <c r="A74" s="882">
        <v>14</v>
      </c>
      <c r="B74" s="3305"/>
      <c r="C74" s="818" t="s">
        <v>641</v>
      </c>
      <c r="D74" s="818" t="s">
        <v>642</v>
      </c>
      <c r="E74" s="895">
        <v>0.2</v>
      </c>
      <c r="F74" s="882">
        <v>30</v>
      </c>
    </row>
    <row r="75" spans="1:6" s="878" customFormat="1" ht="24">
      <c r="A75" s="882">
        <v>15</v>
      </c>
      <c r="B75" s="3305"/>
      <c r="C75" s="818" t="s">
        <v>643</v>
      </c>
      <c r="D75" s="818" t="s">
        <v>644</v>
      </c>
      <c r="E75" s="895">
        <v>0.2</v>
      </c>
      <c r="F75" s="882">
        <v>30</v>
      </c>
    </row>
    <row r="76" spans="1:6" s="878" customFormat="1" ht="24">
      <c r="A76" s="882">
        <v>16</v>
      </c>
      <c r="B76" s="3305" t="s">
        <v>645</v>
      </c>
      <c r="C76" s="818" t="s">
        <v>646</v>
      </c>
      <c r="D76" s="818" t="s">
        <v>647</v>
      </c>
      <c r="E76" s="895">
        <v>0.5</v>
      </c>
      <c r="F76" s="882">
        <v>80</v>
      </c>
    </row>
    <row r="77" spans="1:6" s="878" customFormat="1" ht="24">
      <c r="A77" s="882">
        <v>17</v>
      </c>
      <c r="B77" s="3305"/>
      <c r="C77" s="818" t="s">
        <v>648</v>
      </c>
      <c r="D77" s="818" t="s">
        <v>649</v>
      </c>
      <c r="E77" s="895">
        <v>0.5</v>
      </c>
      <c r="F77" s="882">
        <v>80</v>
      </c>
    </row>
    <row r="78" spans="1:6" s="878" customFormat="1" ht="24">
      <c r="A78" s="882">
        <v>18</v>
      </c>
      <c r="B78" s="3305"/>
      <c r="C78" s="818" t="s">
        <v>650</v>
      </c>
      <c r="D78" s="818" t="s">
        <v>651</v>
      </c>
      <c r="E78" s="895">
        <v>0.2</v>
      </c>
      <c r="F78" s="882">
        <v>30</v>
      </c>
    </row>
    <row r="79" spans="1:6" s="878" customFormat="1" ht="24">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48">
      <c r="A82" s="882">
        <v>22</v>
      </c>
      <c r="B82" s="3305"/>
      <c r="C82" s="818" t="s">
        <v>658</v>
      </c>
      <c r="D82" s="818" t="s">
        <v>659</v>
      </c>
      <c r="E82" s="895">
        <v>0.2</v>
      </c>
      <c r="F82" s="882">
        <v>30</v>
      </c>
    </row>
    <row r="83" spans="1:6" s="878" customFormat="1" ht="48">
      <c r="A83" s="882">
        <v>23</v>
      </c>
      <c r="B83" s="3305"/>
      <c r="C83" s="818" t="s">
        <v>660</v>
      </c>
      <c r="D83" s="818" t="s">
        <v>661</v>
      </c>
      <c r="E83" s="895">
        <v>0.2</v>
      </c>
      <c r="F83" s="882">
        <v>30</v>
      </c>
    </row>
    <row r="84" spans="1:6" s="878" customFormat="1" ht="36">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24">
      <c r="A89" s="882">
        <v>29</v>
      </c>
      <c r="B89" s="3305"/>
      <c r="C89" s="818" t="s">
        <v>672</v>
      </c>
      <c r="D89" s="818" t="s">
        <v>673</v>
      </c>
      <c r="E89" s="895">
        <v>0.2</v>
      </c>
      <c r="F89" s="882">
        <v>30</v>
      </c>
    </row>
    <row r="90" spans="1:6" s="878" customFormat="1" ht="24">
      <c r="A90" s="882">
        <v>30</v>
      </c>
      <c r="B90" s="3305"/>
      <c r="C90" s="818" t="s">
        <v>674</v>
      </c>
      <c r="D90" s="818" t="s">
        <v>675</v>
      </c>
      <c r="E90" s="895">
        <v>0.2</v>
      </c>
      <c r="F90" s="882">
        <v>30</v>
      </c>
    </row>
    <row r="91" spans="1:6" s="878" customFormat="1" ht="36">
      <c r="A91" s="882">
        <v>31</v>
      </c>
      <c r="B91" s="3305"/>
      <c r="C91" s="818" t="s">
        <v>676</v>
      </c>
      <c r="D91" s="818" t="s">
        <v>677</v>
      </c>
      <c r="E91" s="895">
        <v>0.2</v>
      </c>
      <c r="F91" s="882">
        <v>30</v>
      </c>
    </row>
    <row r="92" spans="1:6" s="878" customFormat="1" ht="24">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48">
      <c r="A94" s="882">
        <v>34</v>
      </c>
      <c r="B94" s="3305"/>
      <c r="C94" s="882" t="s">
        <v>683</v>
      </c>
      <c r="D94" s="818" t="s">
        <v>684</v>
      </c>
      <c r="E94" s="895">
        <v>0.2</v>
      </c>
      <c r="F94" s="882">
        <v>30</v>
      </c>
    </row>
    <row r="95" spans="1:6" s="878" customFormat="1" ht="36">
      <c r="A95" s="882">
        <v>35</v>
      </c>
      <c r="B95" s="3305"/>
      <c r="C95" s="882" t="s">
        <v>685</v>
      </c>
      <c r="D95" s="818" t="s">
        <v>686</v>
      </c>
      <c r="E95" s="895">
        <v>0.2</v>
      </c>
      <c r="F95" s="882">
        <v>30</v>
      </c>
    </row>
    <row r="96" spans="1:6" s="878" customFormat="1" ht="48">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24">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5" t="s">
        <v>708</v>
      </c>
      <c r="C105" s="882" t="s">
        <v>709</v>
      </c>
      <c r="D105" s="818" t="s">
        <v>710</v>
      </c>
      <c r="E105" s="895">
        <v>0.2</v>
      </c>
      <c r="F105" s="882">
        <v>30</v>
      </c>
    </row>
    <row r="106" spans="1:6" s="878" customFormat="1" ht="36">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36">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5" t="s">
        <v>724</v>
      </c>
      <c r="C111" s="882" t="s">
        <v>725</v>
      </c>
      <c r="D111" s="818" t="s">
        <v>726</v>
      </c>
      <c r="E111" s="895">
        <v>0.2</v>
      </c>
      <c r="F111" s="882">
        <v>30</v>
      </c>
    </row>
    <row r="112" spans="1:6" s="878" customFormat="1" ht="24">
      <c r="A112" s="882">
        <v>52</v>
      </c>
      <c r="B112" s="3305"/>
      <c r="C112" s="882" t="s">
        <v>727</v>
      </c>
      <c r="D112" s="818" t="s">
        <v>728</v>
      </c>
      <c r="E112" s="895">
        <v>0.2</v>
      </c>
      <c r="F112" s="882">
        <v>30</v>
      </c>
    </row>
    <row r="113" spans="1:6" s="878" customFormat="1" ht="24">
      <c r="A113" s="882">
        <v>53</v>
      </c>
      <c r="B113" s="330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3004</v>
      </c>
    </row>
    <row r="2" spans="1:5" ht="15.75">
      <c r="A2" s="2913" t="s">
        <v>2996</v>
      </c>
      <c r="B2" s="2914" t="e">
        <f ca="1">SUMIF(B6:B13,"&lt;&gt;#ref!",B6:B13)</f>
        <v>#DIV/0!</v>
      </c>
      <c r="C2" s="2913" t="s">
        <v>2997</v>
      </c>
      <c r="D2" s="2913" t="s">
        <v>2998</v>
      </c>
      <c r="E2" s="2914">
        <f ca="1">SUMIF(E6:E13,"&lt;&gt;#ref!",E6:E13)</f>
        <v>0</v>
      </c>
    </row>
    <row r="3" spans="1:5" ht="15.75">
      <c r="A3" s="2913" t="s">
        <v>2999</v>
      </c>
      <c r="B3" s="2914" t="e">
        <f ca="1">ROUND(B2*10000/E2,0)</f>
        <v>#DIV/0!</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t="e">
        <f ca="1">SUMIF(INDIRECT("'"&amp;A6&amp;"'"&amp;"!A:A"),"总价",INDIRECT("'"&amp;A6&amp;"'"&amp;"!B:B"))</f>
        <v>#DIV/0!</v>
      </c>
      <c r="C6" s="2913" t="s">
        <v>2997</v>
      </c>
      <c r="D6" s="2915"/>
      <c r="E6" s="2578">
        <f ca="1">SUMIF(INDIRECT("'"&amp;A6&amp;"'"&amp;"!C:C"),"建筑面积",INDIRECT("'"&amp;A6&amp;"'"&amp;"!D:D"))</f>
        <v>0</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1" t="s">
        <v>1150</v>
      </c>
      <c r="C1" s="3311"/>
      <c r="D1" s="3311"/>
      <c r="E1" s="3311"/>
      <c r="F1" s="3311"/>
      <c r="G1" s="3307" t="s">
        <v>1151</v>
      </c>
      <c r="H1" s="3307"/>
      <c r="I1" s="3307"/>
      <c r="J1" s="3307"/>
      <c r="K1" s="3307"/>
      <c r="L1" s="3307"/>
      <c r="N1" s="3307" t="s">
        <v>1152</v>
      </c>
      <c r="O1" s="3307"/>
      <c r="P1" s="3307"/>
      <c r="Q1" s="3307"/>
      <c r="R1" s="1449"/>
      <c r="S1" s="3307" t="s">
        <v>1153</v>
      </c>
      <c r="T1" s="3307"/>
      <c r="U1" s="3307"/>
      <c r="V1" s="3307"/>
      <c r="X1" s="3306" t="s">
        <v>1154</v>
      </c>
      <c r="Y1" s="3307"/>
      <c r="Z1" s="3307"/>
      <c r="AA1" s="3307"/>
      <c r="AB1" s="3307"/>
      <c r="AD1" s="3306" t="s">
        <v>1155</v>
      </c>
      <c r="AE1" s="3307"/>
      <c r="AF1" s="3307"/>
      <c r="AG1" s="3307"/>
      <c r="AH1" s="330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3039</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8">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9">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9">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0">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8">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9">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9">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17" t="s">
        <v>3007</v>
      </c>
      <c r="D1" s="3318"/>
      <c r="E1" s="3318"/>
      <c r="F1" s="3318"/>
      <c r="G1" s="3318"/>
      <c r="H1" s="3318"/>
      <c r="I1" s="3318"/>
      <c r="J1" s="3318"/>
      <c r="K1" s="3318"/>
      <c r="L1" s="3318"/>
      <c r="M1" s="3318"/>
      <c r="N1" s="3318"/>
      <c r="O1" s="3318"/>
      <c r="P1" s="3318"/>
      <c r="Q1" s="3318"/>
      <c r="R1" s="3318"/>
      <c r="S1" s="331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2" t="s">
        <v>3020</v>
      </c>
      <c r="E20" s="1796"/>
      <c r="F20" s="1207" t="e">
        <f ca="1">SUMIF(INDIRECT("'"&amp;H20&amp;"'"&amp;"!A:A"),"承租人权益价值",INDIRECT("'"&amp;H20&amp;"'"&amp;"!c:c"))</f>
        <v>#REF!</v>
      </c>
      <c r="G20" s="1207" t="s">
        <v>3021</v>
      </c>
      <c r="H20" s="2923"/>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96" t="s">
        <v>33</v>
      </c>
      <c r="D22" s="3097"/>
      <c r="E22" s="3097"/>
      <c r="F22" s="3097"/>
      <c r="G22" s="3097"/>
      <c r="H22" s="3097"/>
      <c r="I22" s="3097"/>
      <c r="J22" s="3097"/>
      <c r="K22" s="3097"/>
      <c r="L22" s="3097"/>
      <c r="M22" s="3097"/>
      <c r="N22" s="3097"/>
      <c r="O22" s="3097"/>
      <c r="P22" s="3097"/>
      <c r="Q22" s="331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4"/>
      <c r="B4" s="2999" t="s">
        <v>1629</v>
      </c>
      <c r="C4" s="2999"/>
      <c r="D4" s="2999"/>
      <c r="E4" s="1964"/>
    </row>
    <row r="5" spans="1:5" ht="16.5" thickTop="1">
      <c r="A5" s="1962"/>
      <c r="B5" s="2997" t="s">
        <v>1621</v>
      </c>
      <c r="C5" s="1965" t="s">
        <v>1622</v>
      </c>
      <c r="D5" s="1043">
        <f ca="1">结果表!H101</f>
        <v>53825</v>
      </c>
      <c r="E5" s="1962"/>
    </row>
    <row r="6" spans="1:5" ht="15.75">
      <c r="A6" s="1962"/>
      <c r="B6" s="2997"/>
      <c r="C6" s="1965" t="s">
        <v>1623</v>
      </c>
      <c r="D6" s="1043" t="str">
        <f ca="1">NUMBERSTRING(INT(D5*10000),2)&amp;"元整"</f>
        <v>伍亿叁仟捌佰贰拾伍万元整</v>
      </c>
      <c r="E6" s="1962"/>
    </row>
    <row r="7" spans="1:5" ht="15.75">
      <c r="A7" s="1962"/>
      <c r="B7" s="3002"/>
      <c r="C7" s="1966" t="s">
        <v>1624</v>
      </c>
      <c r="D7" s="1044">
        <f ca="1">结果表!H102</f>
        <v>33847</v>
      </c>
      <c r="E7" s="1962"/>
    </row>
    <row r="8" spans="1:5" ht="15.75">
      <c r="A8" s="1962"/>
      <c r="B8" s="3003" t="str">
        <f>结果表!E103</f>
        <v>2.估价师知悉的法定优先受偿款</v>
      </c>
      <c r="C8" s="1967" t="s">
        <v>1625</v>
      </c>
      <c r="D8" s="1044">
        <f>结果表!H103</f>
        <v>0</v>
      </c>
      <c r="E8" s="1962"/>
    </row>
    <row r="9" spans="1:5" ht="15.75">
      <c r="A9" s="1962"/>
      <c r="B9" s="3005"/>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6" t="str">
        <f>结果表!E107</f>
        <v>——</v>
      </c>
      <c r="C13" s="1970" t="s">
        <v>1622</v>
      </c>
      <c r="D13" s="1046" t="str">
        <f>结果表!H107</f>
        <v>——</v>
      </c>
      <c r="E13" s="1962"/>
    </row>
    <row r="14" spans="1:5" ht="15.75">
      <c r="A14" s="1962"/>
      <c r="B14" s="2997"/>
      <c r="C14" s="1965" t="s">
        <v>1623</v>
      </c>
      <c r="D14" s="1043" t="e">
        <f>NUMBERSTRING(INT(D13*10000),2)&amp;"元整"</f>
        <v>#VALUE!</v>
      </c>
      <c r="E14" s="1962"/>
    </row>
    <row r="15" spans="1:5" ht="15">
      <c r="A15" s="1962"/>
      <c r="B15" s="3002"/>
      <c r="C15" s="1966" t="s">
        <v>1633</v>
      </c>
      <c r="D15" s="1055" t="e">
        <f>结果表!H108</f>
        <v>#VALUE!</v>
      </c>
      <c r="E15" s="1962"/>
    </row>
    <row r="16" spans="1:5" ht="15">
      <c r="A16" s="1962"/>
      <c r="B16" s="3003" t="str">
        <f>结果表!E109</f>
        <v>3.抵押担保权已注销时的房地产抵押价值</v>
      </c>
      <c r="C16" s="1970" t="s">
        <v>1634</v>
      </c>
      <c r="D16" s="1971">
        <f ca="1">结果表!H109</f>
        <v>53825</v>
      </c>
      <c r="E16" s="1962"/>
    </row>
    <row r="17" spans="1:5" ht="15.75">
      <c r="A17" s="1962"/>
      <c r="B17" s="3004"/>
      <c r="C17" s="1965" t="s">
        <v>1635</v>
      </c>
      <c r="D17" s="1043" t="str">
        <f ca="1">NUMBERSTRING(INT(D16*10000),2)&amp;"元整"</f>
        <v>伍亿叁仟捌佰贰拾伍万元整</v>
      </c>
      <c r="E17" s="1962"/>
    </row>
    <row r="18" spans="1:5" ht="15">
      <c r="A18" s="1962"/>
      <c r="B18" s="3005"/>
      <c r="C18" s="1966" t="s">
        <v>1624</v>
      </c>
      <c r="D18" s="1055">
        <f ca="1">结果表!H110</f>
        <v>33847</v>
      </c>
      <c r="E18" s="1962"/>
    </row>
    <row r="19" spans="1:5" ht="15.75">
      <c r="A19" s="1962"/>
      <c r="B19" s="2996" t="str">
        <f>结果表!E111</f>
        <v>——</v>
      </c>
      <c r="C19" s="1970" t="s">
        <v>1622</v>
      </c>
      <c r="D19" s="1044" t="str">
        <f>结果表!H111</f>
        <v>——</v>
      </c>
      <c r="E19" s="1962"/>
    </row>
    <row r="20" spans="1:5" ht="15.75">
      <c r="A20" s="1962"/>
      <c r="B20" s="2997"/>
      <c r="C20" s="1965" t="s">
        <v>1635</v>
      </c>
      <c r="D20" s="1043" t="e">
        <f>NUMBERSTRING(INT(D19*10000),2)&amp;"元整"</f>
        <v>#VALUE!</v>
      </c>
      <c r="E20" s="1962"/>
    </row>
    <row r="21" spans="1:5" ht="15.75" thickBot="1">
      <c r="A21" s="1962"/>
      <c r="B21" s="2998"/>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36010</v>
      </c>
      <c r="C2" s="2" t="s">
        <v>133</v>
      </c>
      <c r="D2" s="243"/>
      <c r="E2" s="243"/>
      <c r="F2" s="243"/>
      <c r="G2" s="243"/>
    </row>
    <row r="3" spans="1:7" s="244" customFormat="1" ht="18" customHeight="1" thickBot="1">
      <c r="A3" s="247" t="s">
        <v>85</v>
      </c>
      <c r="B3" s="248">
        <f ca="1">ROUND(B2*10000/'数据-汇总表'!E3,0)</f>
        <v>22644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15902.38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15902.38</v>
      </c>
      <c r="E19" s="255">
        <f>'数据-取费表'!B31</f>
        <v>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4204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4771</v>
      </c>
      <c r="D34" s="261"/>
      <c r="E34" s="264"/>
      <c r="F34" s="301">
        <f>IF('数据-取费表'!B24=0,1,'数据-取费表'!N16)</f>
        <v>1</v>
      </c>
      <c r="G34" s="263" t="s">
        <v>116</v>
      </c>
    </row>
    <row r="35" spans="1:7" ht="13.5" customHeight="1">
      <c r="A35" s="954" t="s">
        <v>796</v>
      </c>
      <c r="B35" s="259" t="s">
        <v>60</v>
      </c>
      <c r="C35" s="264">
        <f>ROUND(C34*F35,0)</f>
        <v>143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318</v>
      </c>
      <c r="D37" s="261">
        <f>'数据-汇总表'!E3</f>
        <v>15902.38</v>
      </c>
      <c r="E37" s="293">
        <f>'数据-取费表'!B35</f>
        <v>200</v>
      </c>
      <c r="F37" s="303"/>
      <c r="G37" s="305" t="s">
        <v>119</v>
      </c>
    </row>
    <row r="38" spans="1:7" ht="13.5" customHeight="1">
      <c r="A38" s="954" t="s">
        <v>799</v>
      </c>
      <c r="B38" s="259" t="s">
        <v>63</v>
      </c>
      <c r="C38" s="264">
        <f>ROUND(C34*F38,0)</f>
        <v>72</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252</v>
      </c>
      <c r="D42" s="282"/>
      <c r="E42" s="282"/>
      <c r="F42" s="283"/>
      <c r="G42" s="3181" t="s">
        <v>121</v>
      </c>
    </row>
    <row r="43" spans="1:7" ht="13.5" customHeight="1">
      <c r="A43" s="954" t="s">
        <v>792</v>
      </c>
      <c r="B43" s="259" t="s">
        <v>1064</v>
      </c>
      <c r="C43" s="282">
        <f ca="1">ROUND(IF('数据-取费表'!B22&lt;=1,C39*F22*'数据-取费表'!B21/2,C39*(POWER((1+F22),'数据-取费表'!B21/2)-1)),0)</f>
        <v>5</v>
      </c>
      <c r="D43" s="282"/>
      <c r="E43" s="282"/>
      <c r="F43" s="283"/>
      <c r="G43" s="3182"/>
    </row>
    <row r="44" spans="1:7" ht="13.5" customHeight="1">
      <c r="A44" s="954" t="s">
        <v>793</v>
      </c>
      <c r="B44" s="259" t="s">
        <v>1066</v>
      </c>
      <c r="C44" s="282">
        <f ca="1">ROUND(IF('数据-取费表'!B22&lt;=1,C40*F22*'数据-取费表'!B21/2,C40*(POWER((1+F22),'数据-取费表'!B21/2)-1)),4)</f>
        <v>1E-3</v>
      </c>
      <c r="D44" s="282"/>
      <c r="E44" s="282"/>
      <c r="F44" s="283"/>
      <c r="G44" s="3183"/>
    </row>
    <row r="45" spans="1:7" s="258" customFormat="1" ht="13.5" customHeight="1">
      <c r="A45" s="951" t="s">
        <v>786</v>
      </c>
      <c r="B45" s="288" t="s">
        <v>112</v>
      </c>
      <c r="C45" s="289">
        <f>C46</f>
        <v>1082</v>
      </c>
      <c r="D45" s="279">
        <f>C47</f>
        <v>4.0000000000000001E-3</v>
      </c>
      <c r="E45" s="280" t="s">
        <v>129</v>
      </c>
      <c r="F45" s="290"/>
      <c r="G45" s="291" t="s">
        <v>1072</v>
      </c>
    </row>
    <row r="46" spans="1:7" s="258" customFormat="1" ht="13.5" customHeight="1">
      <c r="A46" s="954" t="s">
        <v>794</v>
      </c>
      <c r="B46" s="292" t="s">
        <v>1065</v>
      </c>
      <c r="C46" s="293">
        <f>ROUND((C33+C39)*F27,0)</f>
        <v>1082</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7323</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6444</v>
      </c>
      <c r="D51" s="276"/>
      <c r="E51" s="276"/>
      <c r="F51" s="308"/>
      <c r="G51" s="278" t="s">
        <v>64</v>
      </c>
    </row>
    <row r="52" spans="1:7" s="252" customFormat="1" ht="16.5" thickBot="1">
      <c r="A52" s="309" t="s">
        <v>65</v>
      </c>
      <c r="B52" s="310"/>
      <c r="C52" s="311">
        <f ca="1">C31+C51</f>
        <v>36010</v>
      </c>
      <c r="D52" s="310"/>
      <c r="E52" s="310"/>
      <c r="F52" s="310"/>
      <c r="G52" s="312"/>
    </row>
    <row r="55" spans="1:7" ht="15">
      <c r="B55" s="314" t="s">
        <v>66</v>
      </c>
      <c r="C55" s="315"/>
    </row>
    <row r="56" spans="1:7">
      <c r="B56" s="317" t="s">
        <v>67</v>
      </c>
      <c r="C56" s="318">
        <f ca="1">ROUND(C51/C52,3)</f>
        <v>0.17899999999999999</v>
      </c>
    </row>
    <row r="57" spans="1:7">
      <c r="B57" s="317" t="s">
        <v>68</v>
      </c>
      <c r="C57" s="319">
        <f ca="1">1-C56</f>
        <v>0.82099999999999995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0" t="s">
        <v>156</v>
      </c>
      <c r="B1" s="3320"/>
      <c r="C1" s="3320"/>
      <c r="D1" s="3320"/>
      <c r="E1" s="3320"/>
      <c r="F1" s="332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1" t="s">
        <v>169</v>
      </c>
      <c r="B2" s="3321"/>
      <c r="C2" s="3321"/>
      <c r="D2" s="3321"/>
      <c r="E2" s="3321"/>
      <c r="F2" s="332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0" t="s">
        <v>871</v>
      </c>
      <c r="B1" s="332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43371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60"/>
  <sheetViews>
    <sheetView workbookViewId="0">
      <selection activeCell="V6" sqref="V6:V7"/>
    </sheetView>
  </sheetViews>
  <sheetFormatPr defaultRowHeight="13.5"/>
  <cols>
    <col min="3" max="5" width="0" hidden="1" customWidth="1"/>
    <col min="6" max="6" width="17.875" customWidth="1"/>
    <col min="9" max="10" width="14" hidden="1" customWidth="1"/>
    <col min="11" max="11" width="0" hidden="1" customWidth="1"/>
    <col min="12" max="12" width="12.375" hidden="1" customWidth="1"/>
    <col min="13" max="13" width="11.125" hidden="1" customWidth="1"/>
    <col min="14" max="14" width="12.5" hidden="1" customWidth="1"/>
    <col min="15" max="15" width="12.25" hidden="1" customWidth="1"/>
    <col min="16" max="16" width="11.625" hidden="1" customWidth="1"/>
    <col min="17" max="17" width="12.125" customWidth="1"/>
    <col min="18" max="18" width="11.25" customWidth="1"/>
    <col min="19" max="19" width="12.625" customWidth="1"/>
    <col min="20" max="20" width="13.5" customWidth="1"/>
    <col min="21" max="21" width="13" bestFit="1" customWidth="1"/>
    <col min="22" max="22" width="13.5" customWidth="1"/>
  </cols>
  <sheetData>
    <row r="1" spans="1:250" s="2953" customFormat="1" ht="11.25">
      <c r="A1" s="3359" t="s">
        <v>3085</v>
      </c>
      <c r="B1" s="3359"/>
      <c r="C1" s="3359"/>
      <c r="D1" s="3359"/>
      <c r="E1" s="3359"/>
      <c r="F1" s="3359"/>
      <c r="G1" s="3359"/>
      <c r="H1" s="3359"/>
      <c r="I1" s="3359"/>
      <c r="J1" s="3359"/>
      <c r="K1" s="3359"/>
      <c r="L1" s="3359"/>
      <c r="M1" s="3359"/>
      <c r="N1" s="3359"/>
      <c r="O1" s="3359"/>
      <c r="P1" s="3359"/>
      <c r="Q1" s="3359"/>
      <c r="R1" s="3359"/>
      <c r="S1" s="3359"/>
      <c r="T1" s="3359"/>
    </row>
    <row r="2" spans="1:250" s="2953" customFormat="1" ht="11.25">
      <c r="A2" s="3359"/>
      <c r="B2" s="3359"/>
      <c r="C2" s="3359"/>
      <c r="D2" s="3359"/>
      <c r="E2" s="3359"/>
      <c r="F2" s="3359"/>
      <c r="G2" s="3359"/>
      <c r="H2" s="3359"/>
      <c r="I2" s="3359"/>
      <c r="J2" s="3359"/>
      <c r="K2" s="3359"/>
      <c r="L2" s="3359"/>
      <c r="M2" s="3359"/>
      <c r="N2" s="3359"/>
      <c r="O2" s="3359"/>
      <c r="P2" s="3359"/>
      <c r="Q2" s="3359"/>
      <c r="R2" s="3359"/>
      <c r="S2" s="3359"/>
      <c r="T2" s="3359"/>
    </row>
    <row r="3" spans="1:250" s="2955" customFormat="1" ht="11.25">
      <c r="A3" s="3360" t="s">
        <v>3086</v>
      </c>
      <c r="B3" s="3361" t="s">
        <v>3087</v>
      </c>
      <c r="C3" s="3362" t="s">
        <v>3088</v>
      </c>
      <c r="D3" s="3363" t="s">
        <v>3089</v>
      </c>
      <c r="E3" s="3362" t="s">
        <v>3090</v>
      </c>
      <c r="F3" s="3364" t="s">
        <v>3091</v>
      </c>
      <c r="G3" s="3365" t="s">
        <v>3092</v>
      </c>
      <c r="H3" s="3346" t="s">
        <v>3093</v>
      </c>
      <c r="I3" s="3346" t="s">
        <v>3094</v>
      </c>
      <c r="J3" s="3346" t="s">
        <v>3095</v>
      </c>
      <c r="K3" s="2954"/>
      <c r="L3" s="3328" t="s">
        <v>3096</v>
      </c>
      <c r="M3" s="3328" t="s">
        <v>3097</v>
      </c>
      <c r="N3" s="3328" t="s">
        <v>3098</v>
      </c>
      <c r="O3" s="3328" t="s">
        <v>3099</v>
      </c>
      <c r="P3" s="3328" t="s">
        <v>3100</v>
      </c>
      <c r="Q3" s="3328" t="s">
        <v>3101</v>
      </c>
      <c r="R3" s="3328" t="s">
        <v>3102</v>
      </c>
      <c r="S3" s="3328" t="s">
        <v>3103</v>
      </c>
      <c r="T3" s="3328" t="s">
        <v>37</v>
      </c>
      <c r="U3" s="3328" t="s">
        <v>3230</v>
      </c>
      <c r="V3" s="3328" t="s">
        <v>3231</v>
      </c>
    </row>
    <row r="4" spans="1:250" s="2955" customFormat="1" ht="11.25">
      <c r="A4" s="3360"/>
      <c r="B4" s="3361"/>
      <c r="C4" s="3362"/>
      <c r="D4" s="3363"/>
      <c r="E4" s="3362"/>
      <c r="F4" s="3364"/>
      <c r="G4" s="3365"/>
      <c r="H4" s="3346"/>
      <c r="I4" s="3346"/>
      <c r="J4" s="3346"/>
      <c r="K4" s="2954"/>
      <c r="L4" s="3328"/>
      <c r="M4" s="3328"/>
      <c r="N4" s="3328"/>
      <c r="O4" s="3328"/>
      <c r="P4" s="3328"/>
      <c r="Q4" s="3328"/>
      <c r="R4" s="3328"/>
      <c r="S4" s="3328"/>
      <c r="T4" s="3328"/>
      <c r="U4" s="3328"/>
      <c r="V4" s="3328"/>
    </row>
    <row r="5" spans="1:250" s="2953" customFormat="1" ht="15" hidden="1" customHeight="1">
      <c r="A5" s="3344" t="s">
        <v>3104</v>
      </c>
      <c r="B5" s="3341" t="s">
        <v>3105</v>
      </c>
      <c r="C5" s="3336" t="s">
        <v>3106</v>
      </c>
      <c r="D5" s="3337" t="s">
        <v>3107</v>
      </c>
      <c r="E5" s="3338" t="s">
        <v>3108</v>
      </c>
      <c r="F5" s="2956" t="s">
        <v>3109</v>
      </c>
      <c r="G5" s="3330" t="s">
        <v>3110</v>
      </c>
      <c r="H5" s="3347">
        <v>858</v>
      </c>
      <c r="I5" s="2957" t="s">
        <v>3111</v>
      </c>
      <c r="J5" s="3333" t="s">
        <v>3112</v>
      </c>
      <c r="K5" s="2958"/>
      <c r="L5" s="2959">
        <v>2144142</v>
      </c>
      <c r="M5" s="2959"/>
      <c r="N5" s="2959"/>
      <c r="O5" s="2960"/>
      <c r="P5" s="2960"/>
      <c r="Q5" s="2960"/>
      <c r="R5" s="2960"/>
      <c r="S5" s="2960"/>
      <c r="T5" s="2960">
        <f>SUM(L5:S5)</f>
        <v>2144142</v>
      </c>
      <c r="U5" s="2978"/>
      <c r="V5" s="2978"/>
    </row>
    <row r="6" spans="1:250" s="2953" customFormat="1" ht="15" customHeight="1">
      <c r="A6" s="3344"/>
      <c r="B6" s="3345"/>
      <c r="C6" s="3336"/>
      <c r="D6" s="3337"/>
      <c r="E6" s="3338"/>
      <c r="F6" s="2956" t="s">
        <v>3113</v>
      </c>
      <c r="G6" s="3330"/>
      <c r="H6" s="3348"/>
      <c r="I6" s="2957" t="s">
        <v>3114</v>
      </c>
      <c r="J6" s="3333"/>
      <c r="K6" s="2958"/>
      <c r="L6" s="2959">
        <v>1608106.5</v>
      </c>
      <c r="M6" s="2959">
        <f>374.85*12*H5</f>
        <v>3859455.6000000006</v>
      </c>
      <c r="N6" s="2959">
        <v>3859455.6</v>
      </c>
      <c r="O6" s="2959">
        <v>2251349.1</v>
      </c>
      <c r="P6" s="2960"/>
      <c r="Q6" s="2960"/>
      <c r="R6" s="2960"/>
      <c r="S6" s="2960"/>
      <c r="T6" s="2960">
        <f>SUM(M6:S6)</f>
        <v>9970260.3000000007</v>
      </c>
      <c r="U6" s="3324">
        <f>T6+T7</f>
        <v>26179870.860000003</v>
      </c>
      <c r="V6" s="3324">
        <f>U6/H5/2402</f>
        <v>12.703026644462948</v>
      </c>
    </row>
    <row r="7" spans="1:250" s="2953" customFormat="1" ht="15" customHeight="1">
      <c r="A7" s="3344"/>
      <c r="B7" s="3342"/>
      <c r="C7" s="3336"/>
      <c r="D7" s="3337"/>
      <c r="E7" s="3338"/>
      <c r="F7" s="2956" t="s">
        <v>3115</v>
      </c>
      <c r="G7" s="3330"/>
      <c r="H7" s="3349"/>
      <c r="I7" s="2957" t="s">
        <v>3116</v>
      </c>
      <c r="J7" s="3333"/>
      <c r="K7" s="2958"/>
      <c r="L7" s="2959"/>
      <c r="M7" s="2959"/>
      <c r="N7" s="2959"/>
      <c r="O7" s="2959">
        <v>1688501.1</v>
      </c>
      <c r="P7" s="2960">
        <v>4052402.64</v>
      </c>
      <c r="Q7" s="2960">
        <v>4052402.64</v>
      </c>
      <c r="R7" s="2960">
        <v>4052402.64</v>
      </c>
      <c r="S7" s="2960">
        <v>2363901.54</v>
      </c>
      <c r="T7" s="2960">
        <f t="shared" ref="T7:T59" si="0">SUM(M7:S7)</f>
        <v>16209610.560000002</v>
      </c>
      <c r="U7" s="3325"/>
      <c r="V7" s="3325"/>
    </row>
    <row r="8" spans="1:250" s="2953" customFormat="1" ht="15" customHeight="1">
      <c r="A8" s="3344"/>
      <c r="B8" s="2961" t="s">
        <v>3105</v>
      </c>
      <c r="C8" s="2962"/>
      <c r="D8" s="2956"/>
      <c r="E8" s="2963"/>
      <c r="F8" s="2956"/>
      <c r="G8" s="2962"/>
      <c r="H8" s="2964">
        <v>87</v>
      </c>
      <c r="I8" s="2958"/>
      <c r="J8" s="2958"/>
      <c r="K8" s="2958"/>
      <c r="L8" s="2965"/>
      <c r="M8" s="2965"/>
      <c r="N8" s="2965"/>
      <c r="O8" s="2959"/>
      <c r="P8" s="2964"/>
      <c r="Q8" s="2964"/>
      <c r="R8" s="2964"/>
      <c r="S8" s="2964"/>
      <c r="T8" s="2960">
        <f t="shared" si="0"/>
        <v>0</v>
      </c>
      <c r="U8" s="2969"/>
      <c r="V8" s="2969"/>
      <c r="W8" s="2955"/>
      <c r="X8" s="2955"/>
      <c r="Y8" s="2955"/>
      <c r="Z8" s="2955"/>
      <c r="AA8" s="2955"/>
      <c r="AB8" s="2955"/>
      <c r="AC8" s="2955"/>
      <c r="AD8" s="2955"/>
      <c r="AE8" s="2955"/>
      <c r="AF8" s="2955"/>
      <c r="AG8" s="2955"/>
      <c r="AH8" s="2955"/>
      <c r="AI8" s="2955"/>
      <c r="AJ8" s="2955"/>
      <c r="AK8" s="2955"/>
      <c r="AL8" s="2955"/>
      <c r="AM8" s="2955"/>
      <c r="AN8" s="2955"/>
      <c r="AO8" s="2955"/>
      <c r="AP8" s="2955"/>
      <c r="AQ8" s="2955"/>
      <c r="AR8" s="2955"/>
      <c r="AS8" s="2955"/>
      <c r="AT8" s="2955"/>
      <c r="AU8" s="2955"/>
      <c r="AV8" s="2955"/>
      <c r="AW8" s="2955"/>
      <c r="AX8" s="2955"/>
      <c r="AY8" s="2955"/>
      <c r="AZ8" s="2955"/>
      <c r="BA8" s="2955"/>
      <c r="BB8" s="2955"/>
      <c r="BC8" s="2955"/>
      <c r="BD8" s="2955"/>
      <c r="BE8" s="2955"/>
      <c r="BF8" s="2955"/>
      <c r="BG8" s="2955"/>
      <c r="BH8" s="2955"/>
      <c r="BI8" s="2955"/>
      <c r="BJ8" s="2955"/>
      <c r="BK8" s="2955"/>
      <c r="BL8" s="2955"/>
      <c r="BM8" s="2955"/>
      <c r="BN8" s="2955"/>
      <c r="BO8" s="2955"/>
      <c r="BP8" s="2955"/>
      <c r="BQ8" s="2955"/>
      <c r="BR8" s="2955"/>
      <c r="BS8" s="2955"/>
      <c r="BT8" s="2955"/>
      <c r="BU8" s="2955"/>
      <c r="BV8" s="2955"/>
      <c r="BW8" s="2955"/>
      <c r="BX8" s="2955"/>
      <c r="BY8" s="2955"/>
      <c r="BZ8" s="2955"/>
      <c r="CA8" s="2955"/>
      <c r="CB8" s="2955"/>
      <c r="CC8" s="2955"/>
      <c r="CD8" s="2955"/>
      <c r="CE8" s="2955"/>
      <c r="CF8" s="2955"/>
      <c r="CG8" s="2955"/>
      <c r="CH8" s="2955"/>
      <c r="CI8" s="2955"/>
      <c r="CJ8" s="2955"/>
      <c r="CK8" s="2955"/>
      <c r="CL8" s="2955"/>
      <c r="CM8" s="2955"/>
      <c r="CN8" s="2955"/>
      <c r="CO8" s="2955"/>
      <c r="CP8" s="2955"/>
      <c r="CQ8" s="2955"/>
      <c r="CR8" s="2955"/>
      <c r="CS8" s="2955"/>
      <c r="CT8" s="2955"/>
      <c r="CU8" s="2955"/>
      <c r="CV8" s="2955"/>
      <c r="CW8" s="2955"/>
      <c r="CX8" s="2955"/>
      <c r="CY8" s="2955"/>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5"/>
      <c r="DY8" s="2955"/>
      <c r="DZ8" s="2955"/>
      <c r="EA8" s="2955"/>
      <c r="EB8" s="2955"/>
      <c r="EC8" s="2955"/>
      <c r="ED8" s="2955"/>
      <c r="EE8" s="2955"/>
      <c r="EF8" s="2955"/>
      <c r="EG8" s="2955"/>
      <c r="EH8" s="2955"/>
      <c r="EI8" s="2955"/>
      <c r="EJ8" s="2955"/>
      <c r="EK8" s="2955"/>
      <c r="EL8" s="2955"/>
      <c r="EM8" s="2955"/>
      <c r="EN8" s="2955"/>
      <c r="EO8" s="2955"/>
      <c r="EP8" s="2955"/>
      <c r="EQ8" s="2955"/>
      <c r="ER8" s="2955"/>
      <c r="ES8" s="2955"/>
      <c r="ET8" s="2955"/>
      <c r="EU8" s="2955"/>
      <c r="EV8" s="2955"/>
      <c r="EW8" s="2955"/>
      <c r="EX8" s="2955"/>
      <c r="EY8" s="2955"/>
      <c r="EZ8" s="2955"/>
      <c r="FA8" s="2955"/>
      <c r="FB8" s="2955"/>
      <c r="FC8" s="2955"/>
      <c r="FD8" s="2955"/>
      <c r="FE8" s="2955"/>
      <c r="FF8" s="2955"/>
      <c r="FG8" s="2955"/>
      <c r="FH8" s="2955"/>
      <c r="FI8" s="2955"/>
      <c r="FJ8" s="2955"/>
      <c r="FK8" s="2955"/>
      <c r="FL8" s="2955"/>
      <c r="FM8" s="2955"/>
      <c r="FN8" s="2955"/>
      <c r="FO8" s="2955"/>
      <c r="FP8" s="2955"/>
      <c r="FQ8" s="2955"/>
      <c r="FR8" s="2955"/>
      <c r="FS8" s="2955"/>
      <c r="FT8" s="2955"/>
      <c r="FU8" s="2955"/>
      <c r="FV8" s="2955"/>
      <c r="FW8" s="2955"/>
      <c r="FX8" s="2955"/>
      <c r="FY8" s="2955"/>
      <c r="FZ8" s="2955"/>
      <c r="GA8" s="2955"/>
      <c r="GB8" s="2955"/>
      <c r="GC8" s="2955"/>
      <c r="GD8" s="2955"/>
      <c r="GE8" s="2955"/>
      <c r="GF8" s="2955"/>
      <c r="GG8" s="2955"/>
      <c r="GH8" s="2955"/>
      <c r="GI8" s="2955"/>
      <c r="GJ8" s="2955"/>
      <c r="GK8" s="2955"/>
      <c r="GL8" s="2955"/>
      <c r="GM8" s="2955"/>
      <c r="GN8" s="2955"/>
      <c r="GO8" s="2955"/>
      <c r="GP8" s="2955"/>
      <c r="GQ8" s="2955"/>
      <c r="GR8" s="2955"/>
      <c r="GS8" s="2955"/>
      <c r="GT8" s="2955"/>
      <c r="GU8" s="2955"/>
      <c r="GV8" s="2955"/>
      <c r="GW8" s="2955"/>
      <c r="GX8" s="2955"/>
      <c r="GY8" s="2955"/>
      <c r="GZ8" s="2955"/>
      <c r="HA8" s="2955"/>
      <c r="HB8" s="2955"/>
      <c r="HC8" s="2955"/>
      <c r="HD8" s="2955"/>
      <c r="HE8" s="2955"/>
      <c r="HF8" s="2955"/>
      <c r="HG8" s="2955"/>
      <c r="HH8" s="2955"/>
      <c r="HI8" s="2955"/>
      <c r="HJ8" s="2955"/>
      <c r="HK8" s="2955"/>
      <c r="HL8" s="2955"/>
      <c r="HM8" s="2955"/>
      <c r="HN8" s="2955"/>
      <c r="HO8" s="2955"/>
      <c r="HP8" s="2955"/>
      <c r="HQ8" s="2955"/>
      <c r="HR8" s="2955"/>
      <c r="HS8" s="2955"/>
      <c r="HT8" s="2955"/>
      <c r="HU8" s="2955"/>
      <c r="HV8" s="2955"/>
      <c r="HW8" s="2955"/>
      <c r="HX8" s="2955"/>
      <c r="HY8" s="2955"/>
      <c r="HZ8" s="2955"/>
      <c r="IA8" s="2955"/>
      <c r="IB8" s="2955"/>
      <c r="IC8" s="2955"/>
      <c r="ID8" s="2955"/>
      <c r="IE8" s="2955"/>
      <c r="IF8" s="2955"/>
      <c r="IG8" s="2955"/>
      <c r="IH8" s="2955"/>
      <c r="II8" s="2955"/>
      <c r="IJ8" s="2955"/>
      <c r="IK8" s="2955"/>
      <c r="IL8" s="2955"/>
      <c r="IM8" s="2955"/>
      <c r="IN8" s="2955"/>
      <c r="IO8" s="2955"/>
      <c r="IP8" s="2955"/>
    </row>
    <row r="9" spans="1:250" s="2977" customFormat="1" ht="15" customHeight="1">
      <c r="A9" s="3344"/>
      <c r="B9" s="3350" t="s">
        <v>3117</v>
      </c>
      <c r="C9" s="3352" t="s">
        <v>3118</v>
      </c>
      <c r="D9" s="3354" t="s">
        <v>3119</v>
      </c>
      <c r="E9" s="3355" t="s">
        <v>3120</v>
      </c>
      <c r="F9" s="2971" t="s">
        <v>3121</v>
      </c>
      <c r="G9" s="3352" t="s">
        <v>3122</v>
      </c>
      <c r="H9" s="3357">
        <v>528</v>
      </c>
      <c r="I9" s="2972" t="s">
        <v>3123</v>
      </c>
      <c r="J9" s="3357" t="s">
        <v>3124</v>
      </c>
      <c r="K9" s="2972"/>
      <c r="L9" s="2973"/>
      <c r="M9" s="2973">
        <f>71932*12/365*122</f>
        <v>288516.29589041095</v>
      </c>
      <c r="N9" s="2973">
        <f>71932*12</f>
        <v>863184</v>
      </c>
      <c r="O9" s="2974">
        <f>71932*12/365*243</f>
        <v>574667.70410958899</v>
      </c>
      <c r="P9" s="2975"/>
      <c r="Q9" s="2975"/>
      <c r="R9" s="2975"/>
      <c r="S9" s="2975"/>
      <c r="T9" s="2960">
        <f t="shared" si="0"/>
        <v>1726368</v>
      </c>
      <c r="U9" s="3331">
        <f>T9+T10</f>
        <v>2675112</v>
      </c>
      <c r="V9" s="3324">
        <f>U9/H9/1095</f>
        <v>4.6269406392694066</v>
      </c>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row>
    <row r="10" spans="1:250" s="2977" customFormat="1" ht="15" customHeight="1">
      <c r="A10" s="3344"/>
      <c r="B10" s="3351"/>
      <c r="C10" s="3353"/>
      <c r="D10" s="3332"/>
      <c r="E10" s="3356"/>
      <c r="F10" s="2971" t="s">
        <v>3125</v>
      </c>
      <c r="G10" s="3353"/>
      <c r="H10" s="3358"/>
      <c r="I10" s="2972" t="s">
        <v>3126</v>
      </c>
      <c r="J10" s="3358"/>
      <c r="K10" s="2972"/>
      <c r="L10" s="2973"/>
      <c r="M10" s="2973"/>
      <c r="N10" s="2973"/>
      <c r="O10" s="2974">
        <f>79062*12/365*122</f>
        <v>317114.43287671235</v>
      </c>
      <c r="P10" s="2975">
        <f>79062*12/365*243</f>
        <v>631629.56712328771</v>
      </c>
      <c r="Q10" s="2975"/>
      <c r="R10" s="2975"/>
      <c r="S10" s="2975"/>
      <c r="T10" s="2960">
        <f t="shared" si="0"/>
        <v>948744</v>
      </c>
      <c r="U10" s="3332"/>
      <c r="V10" s="3325"/>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row>
    <row r="11" spans="1:250" s="2953" customFormat="1" ht="15" hidden="1" customHeight="1">
      <c r="A11" s="3344"/>
      <c r="B11" s="3343" t="s">
        <v>3127</v>
      </c>
      <c r="C11" s="3336" t="s">
        <v>3128</v>
      </c>
      <c r="D11" s="3337" t="s">
        <v>3129</v>
      </c>
      <c r="E11" s="3338" t="s">
        <v>3130</v>
      </c>
      <c r="F11" s="2958" t="s">
        <v>3131</v>
      </c>
      <c r="G11" s="3330" t="s">
        <v>3132</v>
      </c>
      <c r="H11" s="3333">
        <v>491.11</v>
      </c>
      <c r="I11" s="2966" t="s">
        <v>3133</v>
      </c>
      <c r="J11" s="3333" t="s">
        <v>3134</v>
      </c>
      <c r="K11" s="2958"/>
      <c r="L11" s="2965">
        <v>526619.49815999996</v>
      </c>
      <c r="M11" s="2965"/>
      <c r="N11" s="2965"/>
      <c r="O11" s="2959"/>
      <c r="P11" s="2964"/>
      <c r="Q11" s="2964"/>
      <c r="R11" s="2964"/>
      <c r="S11" s="2964"/>
      <c r="T11" s="2960">
        <f t="shared" si="0"/>
        <v>0</v>
      </c>
      <c r="U11" s="2969"/>
      <c r="V11" s="2969"/>
      <c r="W11" s="2955"/>
      <c r="X11" s="2955"/>
      <c r="Y11" s="2955"/>
      <c r="Z11" s="2955"/>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row>
    <row r="12" spans="1:250" s="2953" customFormat="1" ht="15" customHeight="1">
      <c r="A12" s="3344"/>
      <c r="B12" s="3343"/>
      <c r="C12" s="3336"/>
      <c r="D12" s="3337"/>
      <c r="E12" s="3338"/>
      <c r="F12" s="2956" t="s">
        <v>3135</v>
      </c>
      <c r="G12" s="3330"/>
      <c r="H12" s="3333"/>
      <c r="I12" s="2958" t="s">
        <v>3136</v>
      </c>
      <c r="J12" s="3333"/>
      <c r="K12" s="2958"/>
      <c r="L12" s="2965"/>
      <c r="M12" s="2965">
        <f>4.04*365*H11</f>
        <v>724190.80599999998</v>
      </c>
      <c r="N12" s="2965">
        <f>H11*4.04*99</f>
        <v>196424.35560000001</v>
      </c>
      <c r="O12" s="2959"/>
      <c r="P12" s="2964"/>
      <c r="Q12" s="2964"/>
      <c r="R12" s="2964"/>
      <c r="S12" s="2964"/>
      <c r="T12" s="2960">
        <f t="shared" si="0"/>
        <v>920615.16159999999</v>
      </c>
      <c r="U12" s="3326">
        <f>T12+T13</f>
        <v>1914936.112</v>
      </c>
      <c r="V12" s="3324">
        <f>U12/H11/920</f>
        <v>4.2382608695652175</v>
      </c>
      <c r="W12" s="2955"/>
      <c r="X12" s="2955"/>
      <c r="Y12" s="2955"/>
      <c r="Z12" s="2955"/>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row>
    <row r="13" spans="1:250" s="2953" customFormat="1" ht="15" customHeight="1">
      <c r="A13" s="3344"/>
      <c r="B13" s="3343"/>
      <c r="C13" s="3336"/>
      <c r="D13" s="3337"/>
      <c r="E13" s="3338"/>
      <c r="F13" s="2956" t="s">
        <v>3137</v>
      </c>
      <c r="G13" s="3330"/>
      <c r="H13" s="3333"/>
      <c r="I13" s="2958" t="s">
        <v>3138</v>
      </c>
      <c r="J13" s="3333"/>
      <c r="K13" s="2958"/>
      <c r="L13" s="2965"/>
      <c r="M13" s="2965"/>
      <c r="N13" s="2965">
        <f>H11*4.44*266</f>
        <v>580020.55440000002</v>
      </c>
      <c r="O13" s="2959">
        <f>4.44*H11*190</f>
        <v>414300.39600000001</v>
      </c>
      <c r="P13" s="2964"/>
      <c r="Q13" s="2964"/>
      <c r="R13" s="2964"/>
      <c r="S13" s="2964"/>
      <c r="T13" s="2960">
        <f t="shared" si="0"/>
        <v>994320.95039999997</v>
      </c>
      <c r="U13" s="3327"/>
      <c r="V13" s="3325"/>
      <c r="W13" s="2955"/>
      <c r="X13" s="2955"/>
      <c r="Y13" s="2955"/>
      <c r="Z13" s="2955"/>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row>
    <row r="14" spans="1:250" s="2953" customFormat="1" ht="15" hidden="1" customHeight="1">
      <c r="A14" s="3344"/>
      <c r="B14" s="3343" t="s">
        <v>3139</v>
      </c>
      <c r="C14" s="3330" t="s">
        <v>3140</v>
      </c>
      <c r="D14" s="3337" t="s">
        <v>3141</v>
      </c>
      <c r="E14" s="3338" t="s">
        <v>3142</v>
      </c>
      <c r="F14" s="2956" t="s">
        <v>3143</v>
      </c>
      <c r="G14" s="3330" t="s">
        <v>3132</v>
      </c>
      <c r="H14" s="3333">
        <v>519.25</v>
      </c>
      <c r="I14" s="2958" t="s">
        <v>3144</v>
      </c>
      <c r="J14" s="3333" t="s">
        <v>3145</v>
      </c>
      <c r="K14" s="2958"/>
      <c r="L14" s="2965">
        <v>685337.30500000005</v>
      </c>
      <c r="N14" s="2965"/>
      <c r="O14" s="2959"/>
      <c r="P14" s="2964"/>
      <c r="Q14" s="2964"/>
      <c r="R14" s="2964"/>
      <c r="S14" s="2964"/>
      <c r="T14" s="2960">
        <f t="shared" si="0"/>
        <v>0</v>
      </c>
      <c r="U14" s="2969"/>
      <c r="V14" s="2969"/>
      <c r="W14" s="2955"/>
      <c r="X14" s="2955"/>
      <c r="Y14" s="2955"/>
      <c r="Z14" s="2955"/>
      <c r="AA14" s="2955"/>
      <c r="AB14" s="2955"/>
      <c r="AC14" s="2955"/>
      <c r="AD14" s="2955"/>
      <c r="AE14" s="2955"/>
      <c r="AF14" s="2955"/>
      <c r="AG14" s="2955"/>
      <c r="AH14" s="2955"/>
      <c r="AI14" s="2955"/>
      <c r="AJ14" s="2955"/>
      <c r="AK14" s="2955"/>
      <c r="AL14" s="2955"/>
      <c r="AM14" s="2955"/>
      <c r="AN14" s="2955"/>
      <c r="AO14" s="2955"/>
      <c r="AP14" s="2955"/>
      <c r="AQ14" s="2955"/>
      <c r="AR14" s="2955"/>
      <c r="AS14" s="2955"/>
      <c r="AT14" s="2955"/>
      <c r="AU14" s="2955"/>
      <c r="AV14" s="2955"/>
      <c r="AW14" s="2955"/>
      <c r="AX14" s="2955"/>
      <c r="AY14" s="2955"/>
      <c r="AZ14" s="2955"/>
      <c r="BA14" s="2955"/>
      <c r="BB14" s="2955"/>
      <c r="BC14" s="2955"/>
      <c r="BD14" s="2955"/>
      <c r="BE14" s="2955"/>
      <c r="BF14" s="2955"/>
      <c r="BG14" s="2955"/>
      <c r="BH14" s="2955"/>
      <c r="BI14" s="2955"/>
      <c r="BJ14" s="2955"/>
      <c r="BK14" s="2955"/>
      <c r="BL14" s="2955"/>
      <c r="BM14" s="2955"/>
      <c r="BN14" s="2955"/>
      <c r="BO14" s="2955"/>
      <c r="BP14" s="2955"/>
      <c r="BQ14" s="2955"/>
      <c r="BR14" s="2955"/>
      <c r="BS14" s="2955"/>
      <c r="BT14" s="2955"/>
      <c r="BU14" s="2955"/>
      <c r="BV14" s="2955"/>
      <c r="BW14" s="2955"/>
      <c r="BX14" s="2955"/>
      <c r="BY14" s="2955"/>
      <c r="BZ14" s="2955"/>
      <c r="CA14" s="2955"/>
      <c r="CB14" s="2955"/>
      <c r="CC14" s="2955"/>
      <c r="CD14" s="2955"/>
      <c r="CE14" s="2955"/>
      <c r="CF14" s="2955"/>
      <c r="CG14" s="2955"/>
      <c r="CH14" s="2955"/>
      <c r="CI14" s="2955"/>
      <c r="CJ14" s="2955"/>
      <c r="CK14" s="2955"/>
      <c r="CL14" s="2955"/>
      <c r="CM14" s="2955"/>
      <c r="CN14" s="2955"/>
      <c r="CO14" s="2955"/>
      <c r="CP14" s="2955"/>
      <c r="CQ14" s="2955"/>
      <c r="CR14" s="2955"/>
      <c r="CS14" s="2955"/>
      <c r="CT14" s="2955"/>
      <c r="CU14" s="2955"/>
      <c r="CV14" s="2955"/>
      <c r="CW14" s="2955"/>
      <c r="CX14" s="2955"/>
      <c r="CY14" s="2955"/>
      <c r="CZ14" s="2955"/>
      <c r="DA14" s="2955"/>
      <c r="DB14" s="2955"/>
      <c r="DC14" s="2955"/>
      <c r="DD14" s="2955"/>
      <c r="DE14" s="2955"/>
      <c r="DF14" s="2955"/>
      <c r="DG14" s="2955"/>
      <c r="DH14" s="2955"/>
      <c r="DI14" s="2955"/>
      <c r="DJ14" s="2955"/>
      <c r="DK14" s="2955"/>
      <c r="DL14" s="2955"/>
      <c r="DM14" s="2955"/>
      <c r="DN14" s="2955"/>
      <c r="DO14" s="2955"/>
      <c r="DP14" s="2955"/>
      <c r="DQ14" s="2955"/>
      <c r="DR14" s="2955"/>
      <c r="DS14" s="2955"/>
      <c r="DT14" s="2955"/>
      <c r="DU14" s="2955"/>
      <c r="DV14" s="2955"/>
      <c r="DW14" s="2955"/>
      <c r="DX14" s="2955"/>
      <c r="DY14" s="2955"/>
      <c r="DZ14" s="2955"/>
      <c r="EA14" s="2955"/>
      <c r="EB14" s="2955"/>
      <c r="EC14" s="2955"/>
      <c r="ED14" s="2955"/>
      <c r="EE14" s="2955"/>
      <c r="EF14" s="2955"/>
      <c r="EG14" s="2955"/>
      <c r="EH14" s="2955"/>
      <c r="EI14" s="2955"/>
      <c r="EJ14" s="2955"/>
      <c r="EK14" s="2955"/>
      <c r="EL14" s="2955"/>
      <c r="EM14" s="2955"/>
      <c r="EN14" s="2955"/>
      <c r="EO14" s="2955"/>
      <c r="EP14" s="2955"/>
      <c r="EQ14" s="2955"/>
      <c r="ER14" s="2955"/>
      <c r="ES14" s="2955"/>
      <c r="ET14" s="2955"/>
      <c r="EU14" s="2955"/>
      <c r="EV14" s="2955"/>
      <c r="EW14" s="2955"/>
      <c r="EX14" s="2955"/>
      <c r="EY14" s="2955"/>
      <c r="EZ14" s="2955"/>
      <c r="FA14" s="2955"/>
      <c r="FB14" s="2955"/>
      <c r="FC14" s="2955"/>
      <c r="FD14" s="2955"/>
      <c r="FE14" s="2955"/>
      <c r="FF14" s="2955"/>
      <c r="FG14" s="2955"/>
      <c r="FH14" s="2955"/>
      <c r="FI14" s="2955"/>
      <c r="FJ14" s="2955"/>
      <c r="FK14" s="2955"/>
      <c r="FL14" s="2955"/>
      <c r="FM14" s="2955"/>
      <c r="FN14" s="2955"/>
      <c r="FO14" s="2955"/>
      <c r="FP14" s="2955"/>
      <c r="FQ14" s="2955"/>
      <c r="FR14" s="2955"/>
      <c r="FS14" s="2955"/>
      <c r="FT14" s="2955"/>
      <c r="FU14" s="2955"/>
      <c r="FV14" s="2955"/>
      <c r="FW14" s="2955"/>
      <c r="FX14" s="2955"/>
      <c r="FY14" s="2955"/>
      <c r="FZ14" s="2955"/>
      <c r="GA14" s="2955"/>
      <c r="GB14" s="2955"/>
      <c r="GC14" s="2955"/>
      <c r="GD14" s="2955"/>
      <c r="GE14" s="2955"/>
      <c r="GF14" s="2955"/>
      <c r="GG14" s="2955"/>
      <c r="GH14" s="2955"/>
      <c r="GI14" s="2955"/>
      <c r="GJ14" s="2955"/>
      <c r="GK14" s="2955"/>
      <c r="GL14" s="2955"/>
      <c r="GM14" s="2955"/>
      <c r="GN14" s="2955"/>
      <c r="GO14" s="2955"/>
      <c r="GP14" s="2955"/>
      <c r="GQ14" s="2955"/>
      <c r="GR14" s="2955"/>
      <c r="GS14" s="2955"/>
      <c r="GT14" s="2955"/>
      <c r="GU14" s="2955"/>
      <c r="GV14" s="2955"/>
      <c r="GW14" s="2955"/>
      <c r="GX14" s="2955"/>
      <c r="GY14" s="2955"/>
      <c r="GZ14" s="2955"/>
      <c r="HA14" s="2955"/>
      <c r="HB14" s="2955"/>
      <c r="HC14" s="2955"/>
      <c r="HD14" s="2955"/>
      <c r="HE14" s="2955"/>
      <c r="HF14" s="2955"/>
      <c r="HG14" s="2955"/>
      <c r="HH14" s="2955"/>
      <c r="HI14" s="2955"/>
      <c r="HJ14" s="2955"/>
      <c r="HK14" s="2955"/>
      <c r="HL14" s="2955"/>
      <c r="HM14" s="2955"/>
      <c r="HN14" s="2955"/>
      <c r="HO14" s="2955"/>
      <c r="HP14" s="2955"/>
      <c r="HQ14" s="2955"/>
      <c r="HR14" s="2955"/>
      <c r="HS14" s="2955"/>
      <c r="HT14" s="2955"/>
      <c r="HU14" s="2955"/>
      <c r="HV14" s="2955"/>
      <c r="HW14" s="2955"/>
      <c r="HX14" s="2955"/>
      <c r="HY14" s="2955"/>
      <c r="HZ14" s="2955"/>
      <c r="IA14" s="2955"/>
      <c r="IB14" s="2955"/>
      <c r="IC14" s="2955"/>
      <c r="ID14" s="2955"/>
      <c r="IE14" s="2955"/>
      <c r="IF14" s="2955"/>
      <c r="IG14" s="2955"/>
      <c r="IH14" s="2955"/>
      <c r="II14" s="2955"/>
      <c r="IJ14" s="2955"/>
      <c r="IK14" s="2955"/>
      <c r="IL14" s="2955"/>
      <c r="IM14" s="2955"/>
      <c r="IN14" s="2955"/>
      <c r="IO14" s="2955"/>
      <c r="IP14" s="2955"/>
    </row>
    <row r="15" spans="1:250" s="2953" customFormat="1" ht="15" customHeight="1">
      <c r="A15" s="3344"/>
      <c r="B15" s="3343"/>
      <c r="C15" s="3330"/>
      <c r="D15" s="3337"/>
      <c r="E15" s="3338"/>
      <c r="F15" s="2956" t="s">
        <v>3146</v>
      </c>
      <c r="G15" s="3330"/>
      <c r="H15" s="3333"/>
      <c r="I15" s="2958" t="s">
        <v>3147</v>
      </c>
      <c r="J15" s="3333"/>
      <c r="K15" s="2958"/>
      <c r="L15" s="2965"/>
      <c r="M15" s="2965">
        <v>716409.22499999998</v>
      </c>
      <c r="N15" s="2965">
        <v>753701.76</v>
      </c>
      <c r="O15" s="2959">
        <v>788429.2</v>
      </c>
      <c r="P15" s="2964"/>
      <c r="Q15" s="2964"/>
      <c r="R15" s="2964"/>
      <c r="S15" s="2964"/>
      <c r="T15" s="2960">
        <f t="shared" si="0"/>
        <v>2258540.1849999996</v>
      </c>
      <c r="U15" s="3326">
        <f>T15+T16</f>
        <v>2638714.2649999997</v>
      </c>
      <c r="V15" s="3324">
        <f>U15/H14/1270</f>
        <v>4.0014015748031495</v>
      </c>
      <c r="W15" s="2955"/>
      <c r="X15" s="2955"/>
      <c r="Y15" s="2955"/>
      <c r="Z15" s="2955"/>
      <c r="AA15" s="2955"/>
      <c r="AB15" s="2955"/>
      <c r="AC15" s="2955"/>
      <c r="AD15" s="2955"/>
      <c r="AE15" s="2955"/>
      <c r="AF15" s="2955"/>
      <c r="AG15" s="2955"/>
      <c r="AH15" s="2955"/>
      <c r="AI15" s="2955"/>
      <c r="AJ15" s="2955"/>
      <c r="AK15" s="2955"/>
      <c r="AL15" s="2955"/>
      <c r="AM15" s="2955"/>
      <c r="AN15" s="2955"/>
      <c r="AO15" s="2955"/>
      <c r="AP15" s="2955"/>
      <c r="AQ15" s="2955"/>
      <c r="AR15" s="2955"/>
      <c r="AS15" s="2955"/>
      <c r="AT15" s="2955"/>
      <c r="AU15" s="2955"/>
      <c r="AV15" s="2955"/>
      <c r="AW15" s="2955"/>
      <c r="AX15" s="2955"/>
      <c r="AY15" s="2955"/>
      <c r="AZ15" s="2955"/>
      <c r="BA15" s="2955"/>
      <c r="BB15" s="2955"/>
      <c r="BC15" s="2955"/>
      <c r="BD15" s="2955"/>
      <c r="BE15" s="2955"/>
      <c r="BF15" s="2955"/>
      <c r="BG15" s="2955"/>
      <c r="BH15" s="2955"/>
      <c r="BI15" s="2955"/>
      <c r="BJ15" s="2955"/>
      <c r="BK15" s="2955"/>
      <c r="BL15" s="2955"/>
      <c r="BM15" s="2955"/>
      <c r="BN15" s="2955"/>
      <c r="BO15" s="2955"/>
      <c r="BP15" s="2955"/>
      <c r="BQ15" s="2955"/>
      <c r="BR15" s="2955"/>
      <c r="BS15" s="2955"/>
      <c r="BT15" s="2955"/>
      <c r="BU15" s="2955"/>
      <c r="BV15" s="2955"/>
      <c r="BW15" s="2955"/>
      <c r="BX15" s="2955"/>
      <c r="BY15" s="2955"/>
      <c r="BZ15" s="2955"/>
      <c r="CA15" s="2955"/>
      <c r="CB15" s="2955"/>
      <c r="CC15" s="2955"/>
      <c r="CD15" s="2955"/>
      <c r="CE15" s="2955"/>
      <c r="CF15" s="2955"/>
      <c r="CG15" s="2955"/>
      <c r="CH15" s="2955"/>
      <c r="CI15" s="2955"/>
      <c r="CJ15" s="2955"/>
      <c r="CK15" s="2955"/>
      <c r="CL15" s="2955"/>
      <c r="CM15" s="2955"/>
      <c r="CN15" s="2955"/>
      <c r="CO15" s="2955"/>
      <c r="CP15" s="2955"/>
      <c r="CQ15" s="2955"/>
      <c r="CR15" s="2955"/>
      <c r="CS15" s="2955"/>
      <c r="CT15" s="2955"/>
      <c r="CU15" s="2955"/>
      <c r="CV15" s="2955"/>
      <c r="CW15" s="2955"/>
      <c r="CX15" s="2955"/>
      <c r="CY15" s="2955"/>
      <c r="CZ15" s="2955"/>
      <c r="DA15" s="2955"/>
      <c r="DB15" s="2955"/>
      <c r="DC15" s="2955"/>
      <c r="DD15" s="2955"/>
      <c r="DE15" s="2955"/>
      <c r="DF15" s="2955"/>
      <c r="DG15" s="2955"/>
      <c r="DH15" s="2955"/>
      <c r="DI15" s="2955"/>
      <c r="DJ15" s="2955"/>
      <c r="DK15" s="2955"/>
      <c r="DL15" s="2955"/>
      <c r="DM15" s="2955"/>
      <c r="DN15" s="2955"/>
      <c r="DO15" s="2955"/>
      <c r="DP15" s="2955"/>
      <c r="DQ15" s="2955"/>
      <c r="DR15" s="2955"/>
      <c r="DS15" s="2955"/>
      <c r="DT15" s="2955"/>
      <c r="DU15" s="2955"/>
      <c r="DV15" s="2955"/>
      <c r="DW15" s="2955"/>
      <c r="DX15" s="2955"/>
      <c r="DY15" s="2955"/>
      <c r="DZ15" s="2955"/>
      <c r="EA15" s="2955"/>
      <c r="EB15" s="2955"/>
      <c r="EC15" s="2955"/>
      <c r="ED15" s="2955"/>
      <c r="EE15" s="2955"/>
      <c r="EF15" s="2955"/>
      <c r="EG15" s="2955"/>
      <c r="EH15" s="2955"/>
      <c r="EI15" s="2955"/>
      <c r="EJ15" s="2955"/>
      <c r="EK15" s="2955"/>
      <c r="EL15" s="2955"/>
      <c r="EM15" s="2955"/>
      <c r="EN15" s="2955"/>
      <c r="EO15" s="2955"/>
      <c r="EP15" s="2955"/>
      <c r="EQ15" s="2955"/>
      <c r="ER15" s="2955"/>
      <c r="ES15" s="2955"/>
      <c r="ET15" s="2955"/>
      <c r="EU15" s="2955"/>
      <c r="EV15" s="2955"/>
      <c r="EW15" s="2955"/>
      <c r="EX15" s="2955"/>
      <c r="EY15" s="2955"/>
      <c r="EZ15" s="2955"/>
      <c r="FA15" s="2955"/>
      <c r="FB15" s="2955"/>
      <c r="FC15" s="2955"/>
      <c r="FD15" s="2955"/>
      <c r="FE15" s="2955"/>
      <c r="FF15" s="2955"/>
      <c r="FG15" s="2955"/>
      <c r="FH15" s="2955"/>
      <c r="FI15" s="2955"/>
      <c r="FJ15" s="2955"/>
      <c r="FK15" s="2955"/>
      <c r="FL15" s="2955"/>
      <c r="FM15" s="2955"/>
      <c r="FN15" s="2955"/>
      <c r="FO15" s="2955"/>
      <c r="FP15" s="2955"/>
      <c r="FQ15" s="2955"/>
      <c r="FR15" s="2955"/>
      <c r="FS15" s="2955"/>
      <c r="FT15" s="2955"/>
      <c r="FU15" s="2955"/>
      <c r="FV15" s="2955"/>
      <c r="FW15" s="2955"/>
      <c r="FX15" s="2955"/>
      <c r="FY15" s="2955"/>
      <c r="FZ15" s="2955"/>
      <c r="GA15" s="2955"/>
      <c r="GB15" s="2955"/>
      <c r="GC15" s="2955"/>
      <c r="GD15" s="2955"/>
      <c r="GE15" s="2955"/>
      <c r="GF15" s="2955"/>
      <c r="GG15" s="2955"/>
      <c r="GH15" s="2955"/>
      <c r="GI15" s="2955"/>
      <c r="GJ15" s="2955"/>
      <c r="GK15" s="2955"/>
      <c r="GL15" s="2955"/>
      <c r="GM15" s="2955"/>
      <c r="GN15" s="2955"/>
      <c r="GO15" s="2955"/>
      <c r="GP15" s="2955"/>
      <c r="GQ15" s="2955"/>
      <c r="GR15" s="2955"/>
      <c r="GS15" s="2955"/>
      <c r="GT15" s="2955"/>
      <c r="GU15" s="2955"/>
      <c r="GV15" s="2955"/>
      <c r="GW15" s="2955"/>
      <c r="GX15" s="2955"/>
      <c r="GY15" s="2955"/>
      <c r="GZ15" s="2955"/>
      <c r="HA15" s="2955"/>
      <c r="HB15" s="2955"/>
      <c r="HC15" s="2955"/>
      <c r="HD15" s="2955"/>
      <c r="HE15" s="2955"/>
      <c r="HF15" s="2955"/>
      <c r="HG15" s="2955"/>
      <c r="HH15" s="2955"/>
      <c r="HI15" s="2955"/>
      <c r="HJ15" s="2955"/>
      <c r="HK15" s="2955"/>
      <c r="HL15" s="2955"/>
      <c r="HM15" s="2955"/>
      <c r="HN15" s="2955"/>
      <c r="HO15" s="2955"/>
      <c r="HP15" s="2955"/>
      <c r="HQ15" s="2955"/>
      <c r="HR15" s="2955"/>
      <c r="HS15" s="2955"/>
      <c r="HT15" s="2955"/>
      <c r="HU15" s="2955"/>
      <c r="HV15" s="2955"/>
      <c r="HW15" s="2955"/>
      <c r="HX15" s="2955"/>
      <c r="HY15" s="2955"/>
      <c r="HZ15" s="2955"/>
      <c r="IA15" s="2955"/>
      <c r="IB15" s="2955"/>
      <c r="IC15" s="2955"/>
      <c r="ID15" s="2955"/>
      <c r="IE15" s="2955"/>
      <c r="IF15" s="2955"/>
      <c r="IG15" s="2955"/>
      <c r="IH15" s="2955"/>
      <c r="II15" s="2955"/>
      <c r="IJ15" s="2955"/>
      <c r="IK15" s="2955"/>
      <c r="IL15" s="2955"/>
      <c r="IM15" s="2955"/>
      <c r="IN15" s="2955"/>
      <c r="IO15" s="2955"/>
      <c r="IP15" s="2955"/>
    </row>
    <row r="16" spans="1:250" s="2953" customFormat="1" ht="15" customHeight="1">
      <c r="A16" s="3344"/>
      <c r="B16" s="3343"/>
      <c r="C16" s="3330"/>
      <c r="D16" s="3337"/>
      <c r="E16" s="3338"/>
      <c r="F16" s="2956" t="s">
        <v>3148</v>
      </c>
      <c r="G16" s="3330"/>
      <c r="H16" s="3333"/>
      <c r="I16" s="2958" t="s">
        <v>3149</v>
      </c>
      <c r="J16" s="3333"/>
      <c r="K16" s="2958"/>
      <c r="L16" s="2965"/>
      <c r="M16" s="2965"/>
      <c r="N16" s="2965"/>
      <c r="O16" s="2959"/>
      <c r="P16" s="2964">
        <v>380174.08000000002</v>
      </c>
      <c r="Q16" s="2964"/>
      <c r="R16" s="2964"/>
      <c r="S16" s="2964"/>
      <c r="T16" s="2960">
        <f t="shared" si="0"/>
        <v>380174.08000000002</v>
      </c>
      <c r="U16" s="3327"/>
      <c r="V16" s="3325"/>
      <c r="W16" s="2955"/>
      <c r="X16" s="2955"/>
      <c r="Y16" s="2955"/>
      <c r="Z16" s="2955"/>
      <c r="AA16" s="2955"/>
      <c r="AB16" s="2955"/>
      <c r="AC16" s="2955"/>
      <c r="AD16" s="2955"/>
      <c r="AE16" s="2955"/>
      <c r="AF16" s="2955"/>
      <c r="AG16" s="2955"/>
      <c r="AH16" s="2955"/>
      <c r="AI16" s="2955"/>
      <c r="AJ16" s="2955"/>
      <c r="AK16" s="2955"/>
      <c r="AL16" s="2955"/>
      <c r="AM16" s="2955"/>
      <c r="AN16" s="2955"/>
      <c r="AO16" s="2955"/>
      <c r="AP16" s="2955"/>
      <c r="AQ16" s="2955"/>
      <c r="AR16" s="2955"/>
      <c r="AS16" s="2955"/>
      <c r="AT16" s="2955"/>
      <c r="AU16" s="2955"/>
      <c r="AV16" s="2955"/>
      <c r="AW16" s="2955"/>
      <c r="AX16" s="2955"/>
      <c r="AY16" s="2955"/>
      <c r="AZ16" s="2955"/>
      <c r="BA16" s="2955"/>
      <c r="BB16" s="2955"/>
      <c r="BC16" s="2955"/>
      <c r="BD16" s="2955"/>
      <c r="BE16" s="2955"/>
      <c r="BF16" s="2955"/>
      <c r="BG16" s="2955"/>
      <c r="BH16" s="2955"/>
      <c r="BI16" s="2955"/>
      <c r="BJ16" s="2955"/>
      <c r="BK16" s="2955"/>
      <c r="BL16" s="2955"/>
      <c r="BM16" s="2955"/>
      <c r="BN16" s="2955"/>
      <c r="BO16" s="2955"/>
      <c r="BP16" s="2955"/>
      <c r="BQ16" s="2955"/>
      <c r="BR16" s="2955"/>
      <c r="BS16" s="2955"/>
      <c r="BT16" s="2955"/>
      <c r="BU16" s="2955"/>
      <c r="BV16" s="2955"/>
      <c r="BW16" s="2955"/>
      <c r="BX16" s="2955"/>
      <c r="BY16" s="2955"/>
      <c r="BZ16" s="2955"/>
      <c r="CA16" s="2955"/>
      <c r="CB16" s="2955"/>
      <c r="CC16" s="2955"/>
      <c r="CD16" s="2955"/>
      <c r="CE16" s="2955"/>
      <c r="CF16" s="2955"/>
      <c r="CG16" s="2955"/>
      <c r="CH16" s="2955"/>
      <c r="CI16" s="2955"/>
      <c r="CJ16" s="2955"/>
      <c r="CK16" s="2955"/>
      <c r="CL16" s="2955"/>
      <c r="CM16" s="2955"/>
      <c r="CN16" s="2955"/>
      <c r="CO16" s="2955"/>
      <c r="CP16" s="2955"/>
      <c r="CQ16" s="2955"/>
      <c r="CR16" s="2955"/>
      <c r="CS16" s="2955"/>
      <c r="CT16" s="2955"/>
      <c r="CU16" s="2955"/>
      <c r="CV16" s="2955"/>
      <c r="CW16" s="2955"/>
      <c r="CX16" s="2955"/>
      <c r="CY16" s="2955"/>
      <c r="CZ16" s="2955"/>
      <c r="DA16" s="2955"/>
      <c r="DB16" s="2955"/>
      <c r="DC16" s="2955"/>
      <c r="DD16" s="2955"/>
      <c r="DE16" s="2955"/>
      <c r="DF16" s="2955"/>
      <c r="DG16" s="2955"/>
      <c r="DH16" s="2955"/>
      <c r="DI16" s="2955"/>
      <c r="DJ16" s="2955"/>
      <c r="DK16" s="2955"/>
      <c r="DL16" s="2955"/>
      <c r="DM16" s="2955"/>
      <c r="DN16" s="2955"/>
      <c r="DO16" s="2955"/>
      <c r="DP16" s="2955"/>
      <c r="DQ16" s="2955"/>
      <c r="DR16" s="2955"/>
      <c r="DS16" s="2955"/>
      <c r="DT16" s="2955"/>
      <c r="DU16" s="2955"/>
      <c r="DV16" s="2955"/>
      <c r="DW16" s="2955"/>
      <c r="DX16" s="2955"/>
      <c r="DY16" s="2955"/>
      <c r="DZ16" s="2955"/>
      <c r="EA16" s="2955"/>
      <c r="EB16" s="2955"/>
      <c r="EC16" s="2955"/>
      <c r="ED16" s="2955"/>
      <c r="EE16" s="2955"/>
      <c r="EF16" s="2955"/>
      <c r="EG16" s="2955"/>
      <c r="EH16" s="2955"/>
      <c r="EI16" s="2955"/>
      <c r="EJ16" s="2955"/>
      <c r="EK16" s="2955"/>
      <c r="EL16" s="2955"/>
      <c r="EM16" s="2955"/>
      <c r="EN16" s="2955"/>
      <c r="EO16" s="2955"/>
      <c r="EP16" s="2955"/>
      <c r="EQ16" s="2955"/>
      <c r="ER16" s="2955"/>
      <c r="ES16" s="2955"/>
      <c r="ET16" s="2955"/>
      <c r="EU16" s="2955"/>
      <c r="EV16" s="2955"/>
      <c r="EW16" s="2955"/>
      <c r="EX16" s="2955"/>
      <c r="EY16" s="2955"/>
      <c r="EZ16" s="2955"/>
      <c r="FA16" s="2955"/>
      <c r="FB16" s="2955"/>
      <c r="FC16" s="2955"/>
      <c r="FD16" s="2955"/>
      <c r="FE16" s="2955"/>
      <c r="FF16" s="2955"/>
      <c r="FG16" s="2955"/>
      <c r="FH16" s="2955"/>
      <c r="FI16" s="2955"/>
      <c r="FJ16" s="2955"/>
      <c r="FK16" s="2955"/>
      <c r="FL16" s="2955"/>
      <c r="FM16" s="2955"/>
      <c r="FN16" s="2955"/>
      <c r="FO16" s="2955"/>
      <c r="FP16" s="2955"/>
      <c r="FQ16" s="2955"/>
      <c r="FR16" s="2955"/>
      <c r="FS16" s="2955"/>
      <c r="FT16" s="2955"/>
      <c r="FU16" s="2955"/>
      <c r="FV16" s="2955"/>
      <c r="FW16" s="2955"/>
      <c r="FX16" s="2955"/>
      <c r="FY16" s="2955"/>
      <c r="FZ16" s="2955"/>
      <c r="GA16" s="2955"/>
      <c r="GB16" s="2955"/>
      <c r="GC16" s="2955"/>
      <c r="GD16" s="2955"/>
      <c r="GE16" s="2955"/>
      <c r="GF16" s="2955"/>
      <c r="GG16" s="2955"/>
      <c r="GH16" s="2955"/>
      <c r="GI16" s="2955"/>
      <c r="GJ16" s="2955"/>
      <c r="GK16" s="2955"/>
      <c r="GL16" s="2955"/>
      <c r="GM16" s="2955"/>
      <c r="GN16" s="2955"/>
      <c r="GO16" s="2955"/>
      <c r="GP16" s="2955"/>
      <c r="GQ16" s="2955"/>
      <c r="GR16" s="2955"/>
      <c r="GS16" s="2955"/>
      <c r="GT16" s="2955"/>
      <c r="GU16" s="2955"/>
      <c r="GV16" s="2955"/>
      <c r="GW16" s="2955"/>
      <c r="GX16" s="2955"/>
      <c r="GY16" s="2955"/>
      <c r="GZ16" s="2955"/>
      <c r="HA16" s="2955"/>
      <c r="HB16" s="2955"/>
      <c r="HC16" s="2955"/>
      <c r="HD16" s="2955"/>
      <c r="HE16" s="2955"/>
      <c r="HF16" s="2955"/>
      <c r="HG16" s="2955"/>
      <c r="HH16" s="2955"/>
      <c r="HI16" s="2955"/>
      <c r="HJ16" s="2955"/>
      <c r="HK16" s="2955"/>
      <c r="HL16" s="2955"/>
      <c r="HM16" s="2955"/>
      <c r="HN16" s="2955"/>
      <c r="HO16" s="2955"/>
      <c r="HP16" s="2955"/>
      <c r="HQ16" s="2955"/>
      <c r="HR16" s="2955"/>
      <c r="HS16" s="2955"/>
      <c r="HT16" s="2955"/>
      <c r="HU16" s="2955"/>
      <c r="HV16" s="2955"/>
      <c r="HW16" s="2955"/>
      <c r="HX16" s="2955"/>
      <c r="HY16" s="2955"/>
      <c r="HZ16" s="2955"/>
      <c r="IA16" s="2955"/>
      <c r="IB16" s="2955"/>
      <c r="IC16" s="2955"/>
      <c r="ID16" s="2955"/>
      <c r="IE16" s="2955"/>
      <c r="IF16" s="2955"/>
      <c r="IG16" s="2955"/>
      <c r="IH16" s="2955"/>
      <c r="II16" s="2955"/>
      <c r="IJ16" s="2955"/>
      <c r="IK16" s="2955"/>
      <c r="IL16" s="2955"/>
      <c r="IM16" s="2955"/>
      <c r="IN16" s="2955"/>
      <c r="IO16" s="2955"/>
      <c r="IP16" s="2955"/>
    </row>
    <row r="17" spans="1:250" s="2967" customFormat="1" ht="15" hidden="1" customHeight="1">
      <c r="A17" s="3344"/>
      <c r="B17" s="3343" t="s">
        <v>3150</v>
      </c>
      <c r="C17" s="3330" t="s">
        <v>3151</v>
      </c>
      <c r="D17" s="3337" t="s">
        <v>3141</v>
      </c>
      <c r="E17" s="3338" t="s">
        <v>3142</v>
      </c>
      <c r="F17" s="2956" t="s">
        <v>3143</v>
      </c>
      <c r="G17" s="2962"/>
      <c r="H17" s="3333">
        <v>519</v>
      </c>
      <c r="I17" s="2958" t="s">
        <v>3144</v>
      </c>
      <c r="J17" s="3333" t="s">
        <v>3145</v>
      </c>
      <c r="K17" s="2958"/>
      <c r="L17" s="2965">
        <v>685007.34</v>
      </c>
      <c r="M17" s="2965"/>
      <c r="N17" s="2965"/>
      <c r="O17" s="2959"/>
      <c r="P17" s="2964"/>
      <c r="Q17" s="2964"/>
      <c r="R17" s="2964"/>
      <c r="S17" s="2964"/>
      <c r="T17" s="2960">
        <f t="shared" si="0"/>
        <v>0</v>
      </c>
      <c r="U17" s="2969"/>
      <c r="V17" s="2969"/>
      <c r="W17" s="2955"/>
      <c r="X17" s="2955"/>
      <c r="Y17" s="2955"/>
      <c r="Z17" s="2955"/>
      <c r="AA17" s="2955"/>
      <c r="AB17" s="2955"/>
      <c r="AC17" s="2955"/>
      <c r="AD17" s="2955"/>
      <c r="AE17" s="2955"/>
      <c r="AF17" s="2955"/>
      <c r="AG17" s="2955"/>
      <c r="AH17" s="2955"/>
      <c r="AI17" s="2955"/>
      <c r="AJ17" s="2955"/>
      <c r="AK17" s="2955"/>
      <c r="AL17" s="2955"/>
      <c r="AM17" s="2955"/>
      <c r="AN17" s="2955"/>
      <c r="AO17" s="2955"/>
      <c r="AP17" s="2955"/>
      <c r="AQ17" s="2955"/>
      <c r="AR17" s="2955"/>
      <c r="AS17" s="2955"/>
      <c r="AT17" s="2955"/>
      <c r="AU17" s="2955"/>
      <c r="AV17" s="2955"/>
      <c r="AW17" s="2955"/>
      <c r="AX17" s="2955"/>
      <c r="AY17" s="2955"/>
      <c r="AZ17" s="2955"/>
      <c r="BA17" s="2955"/>
      <c r="BB17" s="2955"/>
      <c r="BC17" s="2955"/>
      <c r="BD17" s="2955"/>
      <c r="BE17" s="2955"/>
      <c r="BF17" s="2955"/>
      <c r="BG17" s="2955"/>
      <c r="BH17" s="2955"/>
      <c r="BI17" s="2955"/>
      <c r="BJ17" s="2955"/>
      <c r="BK17" s="2955"/>
      <c r="BL17" s="2955"/>
      <c r="BM17" s="2955"/>
      <c r="BN17" s="2955"/>
      <c r="BO17" s="2955"/>
      <c r="BP17" s="2955"/>
      <c r="BQ17" s="2955"/>
      <c r="BR17" s="2955"/>
      <c r="BS17" s="2955"/>
      <c r="BT17" s="2955"/>
      <c r="BU17" s="2955"/>
      <c r="BV17" s="2955"/>
      <c r="BW17" s="2955"/>
      <c r="BX17" s="2955"/>
      <c r="BY17" s="2955"/>
      <c r="BZ17" s="2955"/>
      <c r="CA17" s="2955"/>
      <c r="CB17" s="2955"/>
      <c r="CC17" s="2955"/>
      <c r="CD17" s="2955"/>
      <c r="CE17" s="2955"/>
      <c r="CF17" s="2955"/>
      <c r="CG17" s="2955"/>
      <c r="CH17" s="2955"/>
      <c r="CI17" s="2955"/>
      <c r="CJ17" s="2955"/>
      <c r="CK17" s="2955"/>
      <c r="CL17" s="2955"/>
      <c r="CM17" s="2955"/>
      <c r="CN17" s="2955"/>
      <c r="CO17" s="2955"/>
      <c r="CP17" s="2955"/>
      <c r="CQ17" s="2955"/>
      <c r="CR17" s="2955"/>
      <c r="CS17" s="2955"/>
      <c r="CT17" s="2955"/>
      <c r="CU17" s="2955"/>
      <c r="CV17" s="2955"/>
      <c r="CW17" s="2955"/>
      <c r="CX17" s="2955"/>
      <c r="CY17" s="2955"/>
      <c r="CZ17" s="2955"/>
      <c r="DA17" s="2955"/>
      <c r="DB17" s="2955"/>
      <c r="DC17" s="2955"/>
      <c r="DD17" s="2955"/>
      <c r="DE17" s="2955"/>
      <c r="DF17" s="2955"/>
      <c r="DG17" s="2955"/>
      <c r="DH17" s="2955"/>
      <c r="DI17" s="2955"/>
      <c r="DJ17" s="2955"/>
      <c r="DK17" s="2955"/>
      <c r="DL17" s="2955"/>
      <c r="DM17" s="2955"/>
      <c r="DN17" s="2955"/>
      <c r="DO17" s="2955"/>
      <c r="DP17" s="2955"/>
      <c r="DQ17" s="2955"/>
      <c r="DR17" s="2955"/>
      <c r="DS17" s="2955"/>
      <c r="DT17" s="2955"/>
      <c r="DU17" s="2955"/>
      <c r="DV17" s="2955"/>
      <c r="DW17" s="2955"/>
      <c r="DX17" s="2955"/>
      <c r="DY17" s="2955"/>
      <c r="DZ17" s="2955"/>
      <c r="EA17" s="2955"/>
      <c r="EB17" s="2955"/>
      <c r="EC17" s="2955"/>
      <c r="ED17" s="2955"/>
      <c r="EE17" s="2955"/>
      <c r="EF17" s="2955"/>
      <c r="EG17" s="2955"/>
      <c r="EH17" s="2955"/>
      <c r="EI17" s="2955"/>
      <c r="EJ17" s="2955"/>
      <c r="EK17" s="2955"/>
      <c r="EL17" s="2955"/>
      <c r="EM17" s="2955"/>
      <c r="EN17" s="2955"/>
      <c r="EO17" s="2955"/>
      <c r="EP17" s="2955"/>
      <c r="EQ17" s="2955"/>
      <c r="ER17" s="2955"/>
      <c r="ES17" s="2955"/>
      <c r="ET17" s="2955"/>
      <c r="EU17" s="2955"/>
      <c r="EV17" s="2955"/>
      <c r="EW17" s="2955"/>
      <c r="EX17" s="2955"/>
      <c r="EY17" s="2955"/>
      <c r="EZ17" s="2955"/>
      <c r="FA17" s="2955"/>
      <c r="FB17" s="2955"/>
      <c r="FC17" s="2955"/>
      <c r="FD17" s="2955"/>
      <c r="FE17" s="2955"/>
      <c r="FF17" s="2955"/>
      <c r="FG17" s="2955"/>
      <c r="FH17" s="2955"/>
      <c r="FI17" s="2955"/>
      <c r="FJ17" s="2955"/>
      <c r="FK17" s="2955"/>
      <c r="FL17" s="2955"/>
      <c r="FM17" s="2955"/>
      <c r="FN17" s="2955"/>
      <c r="FO17" s="2955"/>
      <c r="FP17" s="2955"/>
      <c r="FQ17" s="2955"/>
      <c r="FR17" s="2955"/>
      <c r="FS17" s="2955"/>
      <c r="FT17" s="2955"/>
      <c r="FU17" s="2955"/>
      <c r="FV17" s="2955"/>
      <c r="FW17" s="2955"/>
      <c r="FX17" s="2955"/>
      <c r="FY17" s="2955"/>
      <c r="FZ17" s="2955"/>
      <c r="GA17" s="2955"/>
      <c r="GB17" s="2955"/>
      <c r="GC17" s="2955"/>
      <c r="GD17" s="2955"/>
      <c r="GE17" s="2955"/>
      <c r="GF17" s="2955"/>
      <c r="GG17" s="2955"/>
      <c r="GH17" s="2955"/>
      <c r="GI17" s="2955"/>
      <c r="GJ17" s="2955"/>
      <c r="GK17" s="2955"/>
      <c r="GL17" s="2955"/>
      <c r="GM17" s="2955"/>
      <c r="GN17" s="2955"/>
      <c r="GO17" s="2955"/>
      <c r="GP17" s="2955"/>
      <c r="GQ17" s="2955"/>
      <c r="GR17" s="2955"/>
      <c r="GS17" s="2955"/>
      <c r="GT17" s="2955"/>
      <c r="GU17" s="2955"/>
      <c r="GV17" s="2955"/>
      <c r="GW17" s="2955"/>
      <c r="GX17" s="2955"/>
      <c r="GY17" s="2955"/>
      <c r="GZ17" s="2955"/>
      <c r="HA17" s="2955"/>
      <c r="HB17" s="2955"/>
      <c r="HC17" s="2955"/>
      <c r="HD17" s="2955"/>
      <c r="HE17" s="2955"/>
      <c r="HF17" s="2955"/>
      <c r="HG17" s="2955"/>
      <c r="HH17" s="2955"/>
      <c r="HI17" s="2955"/>
      <c r="HJ17" s="2955"/>
      <c r="HK17" s="2955"/>
      <c r="HL17" s="2955"/>
      <c r="HM17" s="2955"/>
      <c r="HN17" s="2955"/>
      <c r="HO17" s="2955"/>
      <c r="HP17" s="2955"/>
      <c r="HQ17" s="2955"/>
      <c r="HR17" s="2955"/>
      <c r="HS17" s="2955"/>
      <c r="HT17" s="2955"/>
      <c r="HU17" s="2955"/>
      <c r="HV17" s="2955"/>
      <c r="HW17" s="2955"/>
      <c r="HX17" s="2955"/>
      <c r="HY17" s="2955"/>
      <c r="HZ17" s="2955"/>
      <c r="IA17" s="2955"/>
      <c r="IB17" s="2955"/>
      <c r="IC17" s="2955"/>
      <c r="ID17" s="2955"/>
      <c r="IE17" s="2955"/>
      <c r="IF17" s="2955"/>
      <c r="IG17" s="2955"/>
      <c r="IH17" s="2955"/>
      <c r="II17" s="2955"/>
      <c r="IJ17" s="2955"/>
      <c r="IK17" s="2955"/>
      <c r="IL17" s="2955"/>
      <c r="IM17" s="2955"/>
      <c r="IN17" s="2955"/>
      <c r="IO17" s="2955"/>
      <c r="IP17" s="2955"/>
    </row>
    <row r="18" spans="1:250" s="2967" customFormat="1" ht="15" customHeight="1">
      <c r="A18" s="3344"/>
      <c r="B18" s="3343"/>
      <c r="C18" s="3330"/>
      <c r="D18" s="3337"/>
      <c r="E18" s="3338"/>
      <c r="F18" s="2956" t="s">
        <v>3146</v>
      </c>
      <c r="G18" s="2962"/>
      <c r="H18" s="3333"/>
      <c r="I18" s="2958" t="s">
        <v>3147</v>
      </c>
      <c r="J18" s="3333"/>
      <c r="K18" s="2958"/>
      <c r="L18" s="2965"/>
      <c r="M18" s="2965">
        <v>716064.3</v>
      </c>
      <c r="N18" s="2965">
        <f>3.78*H17*175</f>
        <v>343318.5</v>
      </c>
      <c r="O18" s="2959"/>
      <c r="P18" s="2964"/>
      <c r="Q18" s="2964"/>
      <c r="R18" s="2964"/>
      <c r="S18" s="2964"/>
      <c r="T18" s="2960">
        <f t="shared" si="0"/>
        <v>1059382.8</v>
      </c>
      <c r="U18" s="3326">
        <f>T18+T19</f>
        <v>2635482</v>
      </c>
      <c r="V18" s="3324">
        <f>U18/H17/1270</f>
        <v>3.9984251968503939</v>
      </c>
      <c r="W18" s="2955"/>
      <c r="X18" s="2955"/>
      <c r="Y18" s="2955"/>
      <c r="Z18" s="2955"/>
      <c r="AA18" s="2955"/>
      <c r="AB18" s="2955"/>
      <c r="AC18" s="2955"/>
      <c r="AD18" s="2955"/>
      <c r="AE18" s="2955"/>
      <c r="AF18" s="2955"/>
      <c r="AG18" s="2955"/>
      <c r="AH18" s="2955"/>
      <c r="AI18" s="2955"/>
      <c r="AJ18" s="2955"/>
      <c r="AK18" s="2955"/>
      <c r="AL18" s="2955"/>
      <c r="AM18" s="2955"/>
      <c r="AN18" s="2955"/>
      <c r="AO18" s="2955"/>
      <c r="AP18" s="2955"/>
      <c r="AQ18" s="2955"/>
      <c r="AR18" s="2955"/>
      <c r="AS18" s="2955"/>
      <c r="AT18" s="2955"/>
      <c r="AU18" s="2955"/>
      <c r="AV18" s="2955"/>
      <c r="AW18" s="2955"/>
      <c r="AX18" s="2955"/>
      <c r="AY18" s="2955"/>
      <c r="AZ18" s="2955"/>
      <c r="BA18" s="2955"/>
      <c r="BB18" s="2955"/>
      <c r="BC18" s="2955"/>
      <c r="BD18" s="2955"/>
      <c r="BE18" s="2955"/>
      <c r="BF18" s="2955"/>
      <c r="BG18" s="2955"/>
      <c r="BH18" s="2955"/>
      <c r="BI18" s="2955"/>
      <c r="BJ18" s="2955"/>
      <c r="BK18" s="2955"/>
      <c r="BL18" s="2955"/>
      <c r="BM18" s="2955"/>
      <c r="BN18" s="2955"/>
      <c r="BO18" s="2955"/>
      <c r="BP18" s="2955"/>
      <c r="BQ18" s="2955"/>
      <c r="BR18" s="2955"/>
      <c r="BS18" s="2955"/>
      <c r="BT18" s="2955"/>
      <c r="BU18" s="2955"/>
      <c r="BV18" s="2955"/>
      <c r="BW18" s="2955"/>
      <c r="BX18" s="2955"/>
      <c r="BY18" s="2955"/>
      <c r="BZ18" s="2955"/>
      <c r="CA18" s="2955"/>
      <c r="CB18" s="2955"/>
      <c r="CC18" s="2955"/>
      <c r="CD18" s="2955"/>
      <c r="CE18" s="2955"/>
      <c r="CF18" s="2955"/>
      <c r="CG18" s="2955"/>
      <c r="CH18" s="2955"/>
      <c r="CI18" s="2955"/>
      <c r="CJ18" s="2955"/>
      <c r="CK18" s="2955"/>
      <c r="CL18" s="2955"/>
      <c r="CM18" s="2955"/>
      <c r="CN18" s="2955"/>
      <c r="CO18" s="2955"/>
      <c r="CP18" s="2955"/>
      <c r="CQ18" s="2955"/>
      <c r="CR18" s="2955"/>
      <c r="CS18" s="2955"/>
      <c r="CT18" s="2955"/>
      <c r="CU18" s="2955"/>
      <c r="CV18" s="2955"/>
      <c r="CW18" s="2955"/>
      <c r="CX18" s="2955"/>
      <c r="CY18" s="2955"/>
      <c r="CZ18" s="2955"/>
      <c r="DA18" s="2955"/>
      <c r="DB18" s="2955"/>
      <c r="DC18" s="2955"/>
      <c r="DD18" s="2955"/>
      <c r="DE18" s="2955"/>
      <c r="DF18" s="2955"/>
      <c r="DG18" s="2955"/>
      <c r="DH18" s="2955"/>
      <c r="DI18" s="2955"/>
      <c r="DJ18" s="2955"/>
      <c r="DK18" s="2955"/>
      <c r="DL18" s="2955"/>
      <c r="DM18" s="2955"/>
      <c r="DN18" s="2955"/>
      <c r="DO18" s="2955"/>
      <c r="DP18" s="2955"/>
      <c r="DQ18" s="2955"/>
      <c r="DR18" s="2955"/>
      <c r="DS18" s="2955"/>
      <c r="DT18" s="2955"/>
      <c r="DU18" s="2955"/>
      <c r="DV18" s="2955"/>
      <c r="DW18" s="2955"/>
      <c r="DX18" s="2955"/>
      <c r="DY18" s="2955"/>
      <c r="DZ18" s="2955"/>
      <c r="EA18" s="2955"/>
      <c r="EB18" s="2955"/>
      <c r="EC18" s="2955"/>
      <c r="ED18" s="2955"/>
      <c r="EE18" s="2955"/>
      <c r="EF18" s="2955"/>
      <c r="EG18" s="2955"/>
      <c r="EH18" s="2955"/>
      <c r="EI18" s="2955"/>
      <c r="EJ18" s="2955"/>
      <c r="EK18" s="2955"/>
      <c r="EL18" s="2955"/>
      <c r="EM18" s="2955"/>
      <c r="EN18" s="2955"/>
      <c r="EO18" s="2955"/>
      <c r="EP18" s="2955"/>
      <c r="EQ18" s="2955"/>
      <c r="ER18" s="2955"/>
      <c r="ES18" s="2955"/>
      <c r="ET18" s="2955"/>
      <c r="EU18" s="2955"/>
      <c r="EV18" s="2955"/>
      <c r="EW18" s="2955"/>
      <c r="EX18" s="2955"/>
      <c r="EY18" s="2955"/>
      <c r="EZ18" s="2955"/>
      <c r="FA18" s="2955"/>
      <c r="FB18" s="2955"/>
      <c r="FC18" s="2955"/>
      <c r="FD18" s="2955"/>
      <c r="FE18" s="2955"/>
      <c r="FF18" s="2955"/>
      <c r="FG18" s="2955"/>
      <c r="FH18" s="2955"/>
      <c r="FI18" s="2955"/>
      <c r="FJ18" s="2955"/>
      <c r="FK18" s="2955"/>
      <c r="FL18" s="2955"/>
      <c r="FM18" s="2955"/>
      <c r="FN18" s="2955"/>
      <c r="FO18" s="2955"/>
      <c r="FP18" s="2955"/>
      <c r="FQ18" s="2955"/>
      <c r="FR18" s="2955"/>
      <c r="FS18" s="2955"/>
      <c r="FT18" s="2955"/>
      <c r="FU18" s="2955"/>
      <c r="FV18" s="2955"/>
      <c r="FW18" s="2955"/>
      <c r="FX18" s="2955"/>
      <c r="FY18" s="2955"/>
      <c r="FZ18" s="2955"/>
      <c r="GA18" s="2955"/>
      <c r="GB18" s="2955"/>
      <c r="GC18" s="2955"/>
      <c r="GD18" s="2955"/>
      <c r="GE18" s="2955"/>
      <c r="GF18" s="2955"/>
      <c r="GG18" s="2955"/>
      <c r="GH18" s="2955"/>
      <c r="GI18" s="2955"/>
      <c r="GJ18" s="2955"/>
      <c r="GK18" s="2955"/>
      <c r="GL18" s="2955"/>
      <c r="GM18" s="2955"/>
      <c r="GN18" s="2955"/>
      <c r="GO18" s="2955"/>
      <c r="GP18" s="2955"/>
      <c r="GQ18" s="2955"/>
      <c r="GR18" s="2955"/>
      <c r="GS18" s="2955"/>
      <c r="GT18" s="2955"/>
      <c r="GU18" s="2955"/>
      <c r="GV18" s="2955"/>
      <c r="GW18" s="2955"/>
      <c r="GX18" s="2955"/>
      <c r="GY18" s="2955"/>
      <c r="GZ18" s="2955"/>
      <c r="HA18" s="2955"/>
      <c r="HB18" s="2955"/>
      <c r="HC18" s="2955"/>
      <c r="HD18" s="2955"/>
      <c r="HE18" s="2955"/>
      <c r="HF18" s="2955"/>
      <c r="HG18" s="2955"/>
      <c r="HH18" s="2955"/>
      <c r="HI18" s="2955"/>
      <c r="HJ18" s="2955"/>
      <c r="HK18" s="2955"/>
      <c r="HL18" s="2955"/>
      <c r="HM18" s="2955"/>
      <c r="HN18" s="2955"/>
      <c r="HO18" s="2955"/>
      <c r="HP18" s="2955"/>
      <c r="HQ18" s="2955"/>
      <c r="HR18" s="2955"/>
      <c r="HS18" s="2955"/>
      <c r="HT18" s="2955"/>
      <c r="HU18" s="2955"/>
      <c r="HV18" s="2955"/>
      <c r="HW18" s="2955"/>
      <c r="HX18" s="2955"/>
      <c r="HY18" s="2955"/>
      <c r="HZ18" s="2955"/>
      <c r="IA18" s="2955"/>
      <c r="IB18" s="2955"/>
      <c r="IC18" s="2955"/>
      <c r="ID18" s="2955"/>
      <c r="IE18" s="2955"/>
      <c r="IF18" s="2955"/>
      <c r="IG18" s="2955"/>
      <c r="IH18" s="2955"/>
      <c r="II18" s="2955"/>
      <c r="IJ18" s="2955"/>
      <c r="IK18" s="2955"/>
      <c r="IL18" s="2955"/>
      <c r="IM18" s="2955"/>
      <c r="IN18" s="2955"/>
      <c r="IO18" s="2955"/>
      <c r="IP18" s="2955"/>
    </row>
    <row r="19" spans="1:250" s="2967" customFormat="1" ht="15" customHeight="1">
      <c r="A19" s="3344"/>
      <c r="B19" s="3343"/>
      <c r="C19" s="3330"/>
      <c r="D19" s="3337"/>
      <c r="E19" s="3338"/>
      <c r="F19" s="2956" t="s">
        <v>3148</v>
      </c>
      <c r="G19" s="2962"/>
      <c r="H19" s="3333"/>
      <c r="I19" s="2958" t="s">
        <v>3149</v>
      </c>
      <c r="J19" s="3333"/>
      <c r="K19" s="2958"/>
      <c r="L19" s="2965"/>
      <c r="M19" s="2965"/>
      <c r="N19" s="2965">
        <f>4.16*H17*190</f>
        <v>410217.6</v>
      </c>
      <c r="O19" s="2959">
        <f>4.16*365*H17</f>
        <v>788049.60000000009</v>
      </c>
      <c r="P19" s="2964">
        <f>4.16*H17*175</f>
        <v>377832</v>
      </c>
      <c r="Q19" s="2964"/>
      <c r="R19" s="2964"/>
      <c r="S19" s="2964"/>
      <c r="T19" s="2960">
        <f t="shared" si="0"/>
        <v>1576099.2000000002</v>
      </c>
      <c r="U19" s="3327"/>
      <c r="V19" s="3325"/>
      <c r="W19" s="2955"/>
      <c r="X19" s="2955"/>
      <c r="Y19" s="2955"/>
      <c r="Z19" s="2955"/>
      <c r="AA19" s="2955"/>
      <c r="AB19" s="2955"/>
      <c r="AC19" s="2955"/>
      <c r="AD19" s="2955"/>
      <c r="AE19" s="2955"/>
      <c r="AF19" s="2955"/>
      <c r="AG19" s="2955"/>
      <c r="AH19" s="2955"/>
      <c r="AI19" s="2955"/>
      <c r="AJ19" s="2955"/>
      <c r="AK19" s="2955"/>
      <c r="AL19" s="2955"/>
      <c r="AM19" s="2955"/>
      <c r="AN19" s="2955"/>
      <c r="AO19" s="2955"/>
      <c r="AP19" s="2955"/>
      <c r="AQ19" s="2955"/>
      <c r="AR19" s="2955"/>
      <c r="AS19" s="2955"/>
      <c r="AT19" s="2955"/>
      <c r="AU19" s="2955"/>
      <c r="AV19" s="2955"/>
      <c r="AW19" s="2955"/>
      <c r="AX19" s="2955"/>
      <c r="AY19" s="2955"/>
      <c r="AZ19" s="2955"/>
      <c r="BA19" s="2955"/>
      <c r="BB19" s="2955"/>
      <c r="BC19" s="2955"/>
      <c r="BD19" s="2955"/>
      <c r="BE19" s="2955"/>
      <c r="BF19" s="2955"/>
      <c r="BG19" s="2955"/>
      <c r="BH19" s="2955"/>
      <c r="BI19" s="2955"/>
      <c r="BJ19" s="2955"/>
      <c r="BK19" s="2955"/>
      <c r="BL19" s="2955"/>
      <c r="BM19" s="2955"/>
      <c r="BN19" s="2955"/>
      <c r="BO19" s="2955"/>
      <c r="BP19" s="2955"/>
      <c r="BQ19" s="2955"/>
      <c r="BR19" s="2955"/>
      <c r="BS19" s="2955"/>
      <c r="BT19" s="2955"/>
      <c r="BU19" s="2955"/>
      <c r="BV19" s="2955"/>
      <c r="BW19" s="2955"/>
      <c r="BX19" s="2955"/>
      <c r="BY19" s="2955"/>
      <c r="BZ19" s="2955"/>
      <c r="CA19" s="2955"/>
      <c r="CB19" s="2955"/>
      <c r="CC19" s="2955"/>
      <c r="CD19" s="2955"/>
      <c r="CE19" s="2955"/>
      <c r="CF19" s="2955"/>
      <c r="CG19" s="2955"/>
      <c r="CH19" s="2955"/>
      <c r="CI19" s="2955"/>
      <c r="CJ19" s="2955"/>
      <c r="CK19" s="2955"/>
      <c r="CL19" s="2955"/>
      <c r="CM19" s="2955"/>
      <c r="CN19" s="2955"/>
      <c r="CO19" s="2955"/>
      <c r="CP19" s="2955"/>
      <c r="CQ19" s="2955"/>
      <c r="CR19" s="2955"/>
      <c r="CS19" s="2955"/>
      <c r="CT19" s="2955"/>
      <c r="CU19" s="2955"/>
      <c r="CV19" s="2955"/>
      <c r="CW19" s="2955"/>
      <c r="CX19" s="2955"/>
      <c r="CY19" s="2955"/>
      <c r="CZ19" s="2955"/>
      <c r="DA19" s="2955"/>
      <c r="DB19" s="2955"/>
      <c r="DC19" s="2955"/>
      <c r="DD19" s="2955"/>
      <c r="DE19" s="2955"/>
      <c r="DF19" s="2955"/>
      <c r="DG19" s="2955"/>
      <c r="DH19" s="2955"/>
      <c r="DI19" s="2955"/>
      <c r="DJ19" s="2955"/>
      <c r="DK19" s="2955"/>
      <c r="DL19" s="2955"/>
      <c r="DM19" s="2955"/>
      <c r="DN19" s="2955"/>
      <c r="DO19" s="2955"/>
      <c r="DP19" s="2955"/>
      <c r="DQ19" s="2955"/>
      <c r="DR19" s="2955"/>
      <c r="DS19" s="2955"/>
      <c r="DT19" s="2955"/>
      <c r="DU19" s="2955"/>
      <c r="DV19" s="2955"/>
      <c r="DW19" s="2955"/>
      <c r="DX19" s="2955"/>
      <c r="DY19" s="2955"/>
      <c r="DZ19" s="2955"/>
      <c r="EA19" s="2955"/>
      <c r="EB19" s="2955"/>
      <c r="EC19" s="2955"/>
      <c r="ED19" s="2955"/>
      <c r="EE19" s="2955"/>
      <c r="EF19" s="2955"/>
      <c r="EG19" s="2955"/>
      <c r="EH19" s="2955"/>
      <c r="EI19" s="2955"/>
      <c r="EJ19" s="2955"/>
      <c r="EK19" s="2955"/>
      <c r="EL19" s="2955"/>
      <c r="EM19" s="2955"/>
      <c r="EN19" s="2955"/>
      <c r="EO19" s="2955"/>
      <c r="EP19" s="2955"/>
      <c r="EQ19" s="2955"/>
      <c r="ER19" s="2955"/>
      <c r="ES19" s="2955"/>
      <c r="ET19" s="2955"/>
      <c r="EU19" s="2955"/>
      <c r="EV19" s="2955"/>
      <c r="EW19" s="2955"/>
      <c r="EX19" s="2955"/>
      <c r="EY19" s="2955"/>
      <c r="EZ19" s="2955"/>
      <c r="FA19" s="2955"/>
      <c r="FB19" s="2955"/>
      <c r="FC19" s="2955"/>
      <c r="FD19" s="2955"/>
      <c r="FE19" s="2955"/>
      <c r="FF19" s="2955"/>
      <c r="FG19" s="2955"/>
      <c r="FH19" s="2955"/>
      <c r="FI19" s="2955"/>
      <c r="FJ19" s="2955"/>
      <c r="FK19" s="2955"/>
      <c r="FL19" s="2955"/>
      <c r="FM19" s="2955"/>
      <c r="FN19" s="2955"/>
      <c r="FO19" s="2955"/>
      <c r="FP19" s="2955"/>
      <c r="FQ19" s="2955"/>
      <c r="FR19" s="2955"/>
      <c r="FS19" s="2955"/>
      <c r="FT19" s="2955"/>
      <c r="FU19" s="2955"/>
      <c r="FV19" s="2955"/>
      <c r="FW19" s="2955"/>
      <c r="FX19" s="2955"/>
      <c r="FY19" s="2955"/>
      <c r="FZ19" s="2955"/>
      <c r="GA19" s="2955"/>
      <c r="GB19" s="2955"/>
      <c r="GC19" s="2955"/>
      <c r="GD19" s="2955"/>
      <c r="GE19" s="2955"/>
      <c r="GF19" s="2955"/>
      <c r="GG19" s="2955"/>
      <c r="GH19" s="2955"/>
      <c r="GI19" s="2955"/>
      <c r="GJ19" s="2955"/>
      <c r="GK19" s="2955"/>
      <c r="GL19" s="2955"/>
      <c r="GM19" s="2955"/>
      <c r="GN19" s="2955"/>
      <c r="GO19" s="2955"/>
      <c r="GP19" s="2955"/>
      <c r="GQ19" s="2955"/>
      <c r="GR19" s="2955"/>
      <c r="GS19" s="2955"/>
      <c r="GT19" s="2955"/>
      <c r="GU19" s="2955"/>
      <c r="GV19" s="2955"/>
      <c r="GW19" s="2955"/>
      <c r="GX19" s="2955"/>
      <c r="GY19" s="2955"/>
      <c r="GZ19" s="2955"/>
      <c r="HA19" s="2955"/>
      <c r="HB19" s="2955"/>
      <c r="HC19" s="2955"/>
      <c r="HD19" s="2955"/>
      <c r="HE19" s="2955"/>
      <c r="HF19" s="2955"/>
      <c r="HG19" s="2955"/>
      <c r="HH19" s="2955"/>
      <c r="HI19" s="2955"/>
      <c r="HJ19" s="2955"/>
      <c r="HK19" s="2955"/>
      <c r="HL19" s="2955"/>
      <c r="HM19" s="2955"/>
      <c r="HN19" s="2955"/>
      <c r="HO19" s="2955"/>
      <c r="HP19" s="2955"/>
      <c r="HQ19" s="2955"/>
      <c r="HR19" s="2955"/>
      <c r="HS19" s="2955"/>
      <c r="HT19" s="2955"/>
      <c r="HU19" s="2955"/>
      <c r="HV19" s="2955"/>
      <c r="HW19" s="2955"/>
      <c r="HX19" s="2955"/>
      <c r="HY19" s="2955"/>
      <c r="HZ19" s="2955"/>
      <c r="IA19" s="2955"/>
      <c r="IB19" s="2955"/>
      <c r="IC19" s="2955"/>
      <c r="ID19" s="2955"/>
      <c r="IE19" s="2955"/>
      <c r="IF19" s="2955"/>
      <c r="IG19" s="2955"/>
      <c r="IH19" s="2955"/>
      <c r="II19" s="2955"/>
      <c r="IJ19" s="2955"/>
      <c r="IK19" s="2955"/>
      <c r="IL19" s="2955"/>
      <c r="IM19" s="2955"/>
      <c r="IN19" s="2955"/>
      <c r="IO19" s="2955"/>
      <c r="IP19" s="2955"/>
    </row>
    <row r="20" spans="1:250" s="2967" customFormat="1" ht="15" customHeight="1">
      <c r="A20" s="3344"/>
      <c r="B20" s="3343" t="s">
        <v>3152</v>
      </c>
      <c r="C20" s="3330" t="s">
        <v>3153</v>
      </c>
      <c r="D20" s="3337" t="s">
        <v>3154</v>
      </c>
      <c r="E20" s="3338" t="s">
        <v>3155</v>
      </c>
      <c r="F20" s="2956" t="s">
        <v>3156</v>
      </c>
      <c r="G20" s="2962"/>
      <c r="H20" s="3333">
        <v>1041.6099999999999</v>
      </c>
      <c r="I20" s="2958" t="s">
        <v>3157</v>
      </c>
      <c r="J20" s="3333" t="s">
        <v>3145</v>
      </c>
      <c r="K20" s="2958"/>
      <c r="L20" s="2965"/>
      <c r="M20" s="2965">
        <f>124510*9</f>
        <v>1120590</v>
      </c>
      <c r="N20" s="2965">
        <f>124510*12</f>
        <v>1494120</v>
      </c>
      <c r="O20" s="2959">
        <f>124510*4</f>
        <v>498040</v>
      </c>
      <c r="P20" s="2964"/>
      <c r="Q20" s="2964"/>
      <c r="R20" s="2964"/>
      <c r="S20" s="2964"/>
      <c r="T20" s="2960">
        <f t="shared" si="0"/>
        <v>3112750</v>
      </c>
      <c r="U20" s="3326">
        <f>T20+T21</f>
        <v>4658160.5999999996</v>
      </c>
      <c r="V20" s="3324">
        <f>U20/H20/1095</f>
        <v>4.0840890018389606</v>
      </c>
      <c r="W20" s="2955"/>
      <c r="X20" s="2955"/>
      <c r="Y20" s="2955"/>
      <c r="Z20" s="2955"/>
      <c r="AA20" s="2955"/>
      <c r="AB20" s="2955"/>
      <c r="AC20" s="2955"/>
      <c r="AD20" s="2955"/>
      <c r="AE20" s="2955"/>
      <c r="AF20" s="2955"/>
      <c r="AG20" s="2955"/>
      <c r="AH20" s="2955"/>
      <c r="AI20" s="2955"/>
      <c r="AJ20" s="2955"/>
      <c r="AK20" s="2955"/>
      <c r="AL20" s="2955"/>
      <c r="AM20" s="2955"/>
      <c r="AN20" s="2955"/>
      <c r="AO20" s="2955"/>
      <c r="AP20" s="2955"/>
      <c r="AQ20" s="2955"/>
      <c r="AR20" s="2955"/>
      <c r="AS20" s="2955"/>
      <c r="AT20" s="2955"/>
      <c r="AU20" s="2955"/>
      <c r="AV20" s="2955"/>
      <c r="AW20" s="2955"/>
      <c r="AX20" s="2955"/>
      <c r="AY20" s="2955"/>
      <c r="AZ20" s="2955"/>
      <c r="BA20" s="2955"/>
      <c r="BB20" s="2955"/>
      <c r="BC20" s="2955"/>
      <c r="BD20" s="2955"/>
      <c r="BE20" s="2955"/>
      <c r="BF20" s="2955"/>
      <c r="BG20" s="2955"/>
      <c r="BH20" s="2955"/>
      <c r="BI20" s="2955"/>
      <c r="BJ20" s="2955"/>
      <c r="BK20" s="2955"/>
      <c r="BL20" s="2955"/>
      <c r="BM20" s="2955"/>
      <c r="BN20" s="2955"/>
      <c r="BO20" s="2955"/>
      <c r="BP20" s="2955"/>
      <c r="BQ20" s="2955"/>
      <c r="BR20" s="2955"/>
      <c r="BS20" s="2955"/>
      <c r="BT20" s="2955"/>
      <c r="BU20" s="2955"/>
      <c r="BV20" s="2955"/>
      <c r="BW20" s="2955"/>
      <c r="BX20" s="2955"/>
      <c r="BY20" s="2955"/>
      <c r="BZ20" s="2955"/>
      <c r="CA20" s="2955"/>
      <c r="CB20" s="2955"/>
      <c r="CC20" s="2955"/>
      <c r="CD20" s="2955"/>
      <c r="CE20" s="2955"/>
      <c r="CF20" s="2955"/>
      <c r="CG20" s="2955"/>
      <c r="CH20" s="2955"/>
      <c r="CI20" s="2955"/>
      <c r="CJ20" s="2955"/>
      <c r="CK20" s="2955"/>
      <c r="CL20" s="2955"/>
      <c r="CM20" s="2955"/>
      <c r="CN20" s="2955"/>
      <c r="CO20" s="2955"/>
      <c r="CP20" s="2955"/>
      <c r="CQ20" s="2955"/>
      <c r="CR20" s="2955"/>
      <c r="CS20" s="2955"/>
      <c r="CT20" s="2955"/>
      <c r="CU20" s="2955"/>
      <c r="CV20" s="2955"/>
      <c r="CW20" s="2955"/>
      <c r="CX20" s="2955"/>
      <c r="CY20" s="2955"/>
      <c r="CZ20" s="2955"/>
      <c r="DA20" s="2955"/>
      <c r="DB20" s="2955"/>
      <c r="DC20" s="2955"/>
      <c r="DD20" s="2955"/>
      <c r="DE20" s="2955"/>
      <c r="DF20" s="2955"/>
      <c r="DG20" s="2955"/>
      <c r="DH20" s="2955"/>
      <c r="DI20" s="2955"/>
      <c r="DJ20" s="2955"/>
      <c r="DK20" s="2955"/>
      <c r="DL20" s="2955"/>
      <c r="DM20" s="2955"/>
      <c r="DN20" s="2955"/>
      <c r="DO20" s="2955"/>
      <c r="DP20" s="2955"/>
      <c r="DQ20" s="2955"/>
      <c r="DR20" s="2955"/>
      <c r="DS20" s="2955"/>
      <c r="DT20" s="2955"/>
      <c r="DU20" s="2955"/>
      <c r="DV20" s="2955"/>
      <c r="DW20" s="2955"/>
      <c r="DX20" s="2955"/>
      <c r="DY20" s="2955"/>
      <c r="DZ20" s="2955"/>
      <c r="EA20" s="2955"/>
      <c r="EB20" s="2955"/>
      <c r="EC20" s="2955"/>
      <c r="ED20" s="2955"/>
      <c r="EE20" s="2955"/>
      <c r="EF20" s="2955"/>
      <c r="EG20" s="2955"/>
      <c r="EH20" s="2955"/>
      <c r="EI20" s="2955"/>
      <c r="EJ20" s="2955"/>
      <c r="EK20" s="2955"/>
      <c r="EL20" s="2955"/>
      <c r="EM20" s="2955"/>
      <c r="EN20" s="2955"/>
      <c r="EO20" s="2955"/>
      <c r="EP20" s="2955"/>
      <c r="EQ20" s="2955"/>
      <c r="ER20" s="2955"/>
      <c r="ES20" s="2955"/>
      <c r="ET20" s="2955"/>
      <c r="EU20" s="2955"/>
      <c r="EV20" s="2955"/>
      <c r="EW20" s="2955"/>
      <c r="EX20" s="2955"/>
      <c r="EY20" s="2955"/>
      <c r="EZ20" s="2955"/>
      <c r="FA20" s="2955"/>
      <c r="FB20" s="2955"/>
      <c r="FC20" s="2955"/>
      <c r="FD20" s="2955"/>
      <c r="FE20" s="2955"/>
      <c r="FF20" s="2955"/>
      <c r="FG20" s="2955"/>
      <c r="FH20" s="2955"/>
      <c r="FI20" s="2955"/>
      <c r="FJ20" s="2955"/>
      <c r="FK20" s="2955"/>
      <c r="FL20" s="2955"/>
      <c r="FM20" s="2955"/>
      <c r="FN20" s="2955"/>
      <c r="FO20" s="2955"/>
      <c r="FP20" s="2955"/>
      <c r="FQ20" s="2955"/>
      <c r="FR20" s="2955"/>
      <c r="FS20" s="2955"/>
      <c r="FT20" s="2955"/>
      <c r="FU20" s="2955"/>
      <c r="FV20" s="2955"/>
      <c r="FW20" s="2955"/>
      <c r="FX20" s="2955"/>
      <c r="FY20" s="2955"/>
      <c r="FZ20" s="2955"/>
      <c r="GA20" s="2955"/>
      <c r="GB20" s="2955"/>
      <c r="GC20" s="2955"/>
      <c r="GD20" s="2955"/>
      <c r="GE20" s="2955"/>
      <c r="GF20" s="2955"/>
      <c r="GG20" s="2955"/>
      <c r="GH20" s="2955"/>
      <c r="GI20" s="2955"/>
      <c r="GJ20" s="2955"/>
      <c r="GK20" s="2955"/>
      <c r="GL20" s="2955"/>
      <c r="GM20" s="2955"/>
      <c r="GN20" s="2955"/>
      <c r="GO20" s="2955"/>
      <c r="GP20" s="2955"/>
      <c r="GQ20" s="2955"/>
      <c r="GR20" s="2955"/>
      <c r="GS20" s="2955"/>
      <c r="GT20" s="2955"/>
      <c r="GU20" s="2955"/>
      <c r="GV20" s="2955"/>
      <c r="GW20" s="2955"/>
      <c r="GX20" s="2955"/>
      <c r="GY20" s="2955"/>
      <c r="GZ20" s="2955"/>
      <c r="HA20" s="2955"/>
      <c r="HB20" s="2955"/>
      <c r="HC20" s="2955"/>
      <c r="HD20" s="2955"/>
      <c r="HE20" s="2955"/>
      <c r="HF20" s="2955"/>
      <c r="HG20" s="2955"/>
      <c r="HH20" s="2955"/>
      <c r="HI20" s="2955"/>
      <c r="HJ20" s="2955"/>
      <c r="HK20" s="2955"/>
      <c r="HL20" s="2955"/>
      <c r="HM20" s="2955"/>
      <c r="HN20" s="2955"/>
      <c r="HO20" s="2955"/>
      <c r="HP20" s="2955"/>
      <c r="HQ20" s="2955"/>
      <c r="HR20" s="2955"/>
      <c r="HS20" s="2955"/>
      <c r="HT20" s="2955"/>
      <c r="HU20" s="2955"/>
      <c r="HV20" s="2955"/>
      <c r="HW20" s="2955"/>
      <c r="HX20" s="2955"/>
      <c r="HY20" s="2955"/>
      <c r="HZ20" s="2955"/>
      <c r="IA20" s="2955"/>
      <c r="IB20" s="2955"/>
      <c r="IC20" s="2955"/>
      <c r="ID20" s="2955"/>
      <c r="IE20" s="2955"/>
      <c r="IF20" s="2955"/>
      <c r="IG20" s="2955"/>
      <c r="IH20" s="2955"/>
      <c r="II20" s="2955"/>
      <c r="IJ20" s="2955"/>
      <c r="IK20" s="2955"/>
      <c r="IL20" s="2955"/>
      <c r="IM20" s="2955"/>
      <c r="IN20" s="2955"/>
      <c r="IO20" s="2955"/>
      <c r="IP20" s="2955"/>
    </row>
    <row r="21" spans="1:250" s="2967" customFormat="1" ht="15" customHeight="1">
      <c r="A21" s="3344"/>
      <c r="B21" s="3343"/>
      <c r="C21" s="3330"/>
      <c r="D21" s="3337"/>
      <c r="E21" s="3338"/>
      <c r="F21" s="2956" t="s">
        <v>3158</v>
      </c>
      <c r="G21" s="2962"/>
      <c r="H21" s="3333"/>
      <c r="I21" s="2958" t="s">
        <v>3159</v>
      </c>
      <c r="J21" s="3333"/>
      <c r="K21" s="2958"/>
      <c r="L21" s="2965"/>
      <c r="M21" s="2965"/>
      <c r="N21" s="2965"/>
      <c r="O21" s="2959">
        <f>136762*8</f>
        <v>1094096</v>
      </c>
      <c r="P21" s="2964">
        <f>136762*3.3</f>
        <v>451314.6</v>
      </c>
      <c r="Q21" s="2964"/>
      <c r="R21" s="2964"/>
      <c r="S21" s="2964"/>
      <c r="T21" s="2960">
        <f t="shared" si="0"/>
        <v>1545410.6</v>
      </c>
      <c r="U21" s="3327"/>
      <c r="V21" s="3325"/>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2955"/>
      <c r="AR21" s="2955"/>
      <c r="AS21" s="2955"/>
      <c r="AT21" s="2955"/>
      <c r="AU21" s="2955"/>
      <c r="AV21" s="2955"/>
      <c r="AW21" s="2955"/>
      <c r="AX21" s="2955"/>
      <c r="AY21" s="2955"/>
      <c r="AZ21" s="2955"/>
      <c r="BA21" s="2955"/>
      <c r="BB21" s="2955"/>
      <c r="BC21" s="2955"/>
      <c r="BD21" s="2955"/>
      <c r="BE21" s="2955"/>
      <c r="BF21" s="2955"/>
      <c r="BG21" s="2955"/>
      <c r="BH21" s="2955"/>
      <c r="BI21" s="2955"/>
      <c r="BJ21" s="2955"/>
      <c r="BK21" s="2955"/>
      <c r="BL21" s="2955"/>
      <c r="BM21" s="2955"/>
      <c r="BN21" s="2955"/>
      <c r="BO21" s="2955"/>
      <c r="BP21" s="2955"/>
      <c r="BQ21" s="2955"/>
      <c r="BR21" s="2955"/>
      <c r="BS21" s="2955"/>
      <c r="BT21" s="2955"/>
      <c r="BU21" s="2955"/>
      <c r="BV21" s="2955"/>
      <c r="BW21" s="2955"/>
      <c r="BX21" s="2955"/>
      <c r="BY21" s="2955"/>
      <c r="BZ21" s="2955"/>
      <c r="CA21" s="2955"/>
      <c r="CB21" s="2955"/>
      <c r="CC21" s="2955"/>
      <c r="CD21" s="2955"/>
      <c r="CE21" s="2955"/>
      <c r="CF21" s="2955"/>
      <c r="CG21" s="2955"/>
      <c r="CH21" s="2955"/>
      <c r="CI21" s="2955"/>
      <c r="CJ21" s="2955"/>
      <c r="CK21" s="2955"/>
      <c r="CL21" s="2955"/>
      <c r="CM21" s="2955"/>
      <c r="CN21" s="2955"/>
      <c r="CO21" s="2955"/>
      <c r="CP21" s="2955"/>
      <c r="CQ21" s="2955"/>
      <c r="CR21" s="2955"/>
      <c r="CS21" s="2955"/>
      <c r="CT21" s="2955"/>
      <c r="CU21" s="2955"/>
      <c r="CV21" s="2955"/>
      <c r="CW21" s="2955"/>
      <c r="CX21" s="2955"/>
      <c r="CY21" s="2955"/>
      <c r="CZ21" s="2955"/>
      <c r="DA21" s="2955"/>
      <c r="DB21" s="2955"/>
      <c r="DC21" s="2955"/>
      <c r="DD21" s="2955"/>
      <c r="DE21" s="2955"/>
      <c r="DF21" s="2955"/>
      <c r="DG21" s="2955"/>
      <c r="DH21" s="2955"/>
      <c r="DI21" s="2955"/>
      <c r="DJ21" s="2955"/>
      <c r="DK21" s="2955"/>
      <c r="DL21" s="2955"/>
      <c r="DM21" s="2955"/>
      <c r="DN21" s="2955"/>
      <c r="DO21" s="2955"/>
      <c r="DP21" s="2955"/>
      <c r="DQ21" s="2955"/>
      <c r="DR21" s="2955"/>
      <c r="DS21" s="2955"/>
      <c r="DT21" s="2955"/>
      <c r="DU21" s="2955"/>
      <c r="DV21" s="2955"/>
      <c r="DW21" s="2955"/>
      <c r="DX21" s="2955"/>
      <c r="DY21" s="2955"/>
      <c r="DZ21" s="2955"/>
      <c r="EA21" s="2955"/>
      <c r="EB21" s="2955"/>
      <c r="EC21" s="2955"/>
      <c r="ED21" s="2955"/>
      <c r="EE21" s="2955"/>
      <c r="EF21" s="2955"/>
      <c r="EG21" s="2955"/>
      <c r="EH21" s="2955"/>
      <c r="EI21" s="2955"/>
      <c r="EJ21" s="2955"/>
      <c r="EK21" s="2955"/>
      <c r="EL21" s="2955"/>
      <c r="EM21" s="2955"/>
      <c r="EN21" s="2955"/>
      <c r="EO21" s="2955"/>
      <c r="EP21" s="2955"/>
      <c r="EQ21" s="2955"/>
      <c r="ER21" s="2955"/>
      <c r="ES21" s="2955"/>
      <c r="ET21" s="2955"/>
      <c r="EU21" s="2955"/>
      <c r="EV21" s="2955"/>
      <c r="EW21" s="2955"/>
      <c r="EX21" s="2955"/>
      <c r="EY21" s="2955"/>
      <c r="EZ21" s="2955"/>
      <c r="FA21" s="2955"/>
      <c r="FB21" s="2955"/>
      <c r="FC21" s="2955"/>
      <c r="FD21" s="2955"/>
      <c r="FE21" s="2955"/>
      <c r="FF21" s="2955"/>
      <c r="FG21" s="2955"/>
      <c r="FH21" s="2955"/>
      <c r="FI21" s="2955"/>
      <c r="FJ21" s="2955"/>
      <c r="FK21" s="2955"/>
      <c r="FL21" s="2955"/>
      <c r="FM21" s="2955"/>
      <c r="FN21" s="2955"/>
      <c r="FO21" s="2955"/>
      <c r="FP21" s="2955"/>
      <c r="FQ21" s="2955"/>
      <c r="FR21" s="2955"/>
      <c r="FS21" s="2955"/>
      <c r="FT21" s="2955"/>
      <c r="FU21" s="2955"/>
      <c r="FV21" s="2955"/>
      <c r="FW21" s="2955"/>
      <c r="FX21" s="2955"/>
      <c r="FY21" s="2955"/>
      <c r="FZ21" s="2955"/>
      <c r="GA21" s="2955"/>
      <c r="GB21" s="2955"/>
      <c r="GC21" s="2955"/>
      <c r="GD21" s="2955"/>
      <c r="GE21" s="2955"/>
      <c r="GF21" s="2955"/>
      <c r="GG21" s="2955"/>
      <c r="GH21" s="2955"/>
      <c r="GI21" s="2955"/>
      <c r="GJ21" s="2955"/>
      <c r="GK21" s="2955"/>
      <c r="GL21" s="2955"/>
      <c r="GM21" s="2955"/>
      <c r="GN21" s="2955"/>
      <c r="GO21" s="2955"/>
      <c r="GP21" s="2955"/>
      <c r="GQ21" s="2955"/>
      <c r="GR21" s="2955"/>
      <c r="GS21" s="2955"/>
      <c r="GT21" s="2955"/>
      <c r="GU21" s="2955"/>
      <c r="GV21" s="2955"/>
      <c r="GW21" s="2955"/>
      <c r="GX21" s="2955"/>
      <c r="GY21" s="2955"/>
      <c r="GZ21" s="2955"/>
      <c r="HA21" s="2955"/>
      <c r="HB21" s="2955"/>
      <c r="HC21" s="2955"/>
      <c r="HD21" s="2955"/>
      <c r="HE21" s="2955"/>
      <c r="HF21" s="2955"/>
      <c r="HG21" s="2955"/>
      <c r="HH21" s="2955"/>
      <c r="HI21" s="2955"/>
      <c r="HJ21" s="2955"/>
      <c r="HK21" s="2955"/>
      <c r="HL21" s="2955"/>
      <c r="HM21" s="2955"/>
      <c r="HN21" s="2955"/>
      <c r="HO21" s="2955"/>
      <c r="HP21" s="2955"/>
      <c r="HQ21" s="2955"/>
      <c r="HR21" s="2955"/>
      <c r="HS21" s="2955"/>
      <c r="HT21" s="2955"/>
      <c r="HU21" s="2955"/>
      <c r="HV21" s="2955"/>
      <c r="HW21" s="2955"/>
      <c r="HX21" s="2955"/>
      <c r="HY21" s="2955"/>
      <c r="HZ21" s="2955"/>
      <c r="IA21" s="2955"/>
      <c r="IB21" s="2955"/>
      <c r="IC21" s="2955"/>
      <c r="ID21" s="2955"/>
      <c r="IE21" s="2955"/>
      <c r="IF21" s="2955"/>
      <c r="IG21" s="2955"/>
      <c r="IH21" s="2955"/>
      <c r="II21" s="2955"/>
      <c r="IJ21" s="2955"/>
      <c r="IK21" s="2955"/>
      <c r="IL21" s="2955"/>
      <c r="IM21" s="2955"/>
      <c r="IN21" s="2955"/>
      <c r="IO21" s="2955"/>
      <c r="IP21" s="2955"/>
    </row>
    <row r="22" spans="1:250" s="2967" customFormat="1" ht="15" customHeight="1">
      <c r="A22" s="3344"/>
      <c r="B22" s="3343"/>
      <c r="C22" s="3330"/>
      <c r="D22" s="3337"/>
      <c r="E22" s="3338"/>
      <c r="F22" s="2956"/>
      <c r="G22" s="2962"/>
      <c r="H22" s="3333"/>
      <c r="I22" s="2958"/>
      <c r="J22" s="3333"/>
      <c r="K22" s="2958"/>
      <c r="L22" s="2965"/>
      <c r="M22" s="2965"/>
      <c r="N22" s="2965"/>
      <c r="O22" s="2959"/>
      <c r="P22" s="2964"/>
      <c r="Q22" s="2964"/>
      <c r="R22" s="2964"/>
      <c r="S22" s="2964"/>
      <c r="T22" s="2960">
        <f t="shared" si="0"/>
        <v>0</v>
      </c>
      <c r="U22" s="2969"/>
      <c r="V22" s="2969"/>
      <c r="W22" s="2955"/>
      <c r="X22" s="2955"/>
      <c r="Y22" s="2955"/>
      <c r="Z22" s="2955"/>
      <c r="AA22" s="2955"/>
      <c r="AB22" s="2955"/>
      <c r="AC22" s="2955"/>
      <c r="AD22" s="2955"/>
      <c r="AE22" s="2955"/>
      <c r="AF22" s="2955"/>
      <c r="AG22" s="2955"/>
      <c r="AH22" s="2955"/>
      <c r="AI22" s="2955"/>
      <c r="AJ22" s="2955"/>
      <c r="AK22" s="2955"/>
      <c r="AL22" s="2955"/>
      <c r="AM22" s="2955"/>
      <c r="AN22" s="2955"/>
      <c r="AO22" s="2955"/>
      <c r="AP22" s="2955"/>
      <c r="AQ22" s="2955"/>
      <c r="AR22" s="2955"/>
      <c r="AS22" s="2955"/>
      <c r="AT22" s="2955"/>
      <c r="AU22" s="2955"/>
      <c r="AV22" s="2955"/>
      <c r="AW22" s="2955"/>
      <c r="AX22" s="2955"/>
      <c r="AY22" s="2955"/>
      <c r="AZ22" s="2955"/>
      <c r="BA22" s="2955"/>
      <c r="BB22" s="2955"/>
      <c r="BC22" s="2955"/>
      <c r="BD22" s="2955"/>
      <c r="BE22" s="2955"/>
      <c r="BF22" s="2955"/>
      <c r="BG22" s="2955"/>
      <c r="BH22" s="2955"/>
      <c r="BI22" s="2955"/>
      <c r="BJ22" s="2955"/>
      <c r="BK22" s="2955"/>
      <c r="BL22" s="2955"/>
      <c r="BM22" s="2955"/>
      <c r="BN22" s="2955"/>
      <c r="BO22" s="2955"/>
      <c r="BP22" s="2955"/>
      <c r="BQ22" s="2955"/>
      <c r="BR22" s="2955"/>
      <c r="BS22" s="2955"/>
      <c r="BT22" s="2955"/>
      <c r="BU22" s="2955"/>
      <c r="BV22" s="2955"/>
      <c r="BW22" s="2955"/>
      <c r="BX22" s="2955"/>
      <c r="BY22" s="2955"/>
      <c r="BZ22" s="2955"/>
      <c r="CA22" s="2955"/>
      <c r="CB22" s="2955"/>
      <c r="CC22" s="2955"/>
      <c r="CD22" s="2955"/>
      <c r="CE22" s="2955"/>
      <c r="CF22" s="2955"/>
      <c r="CG22" s="2955"/>
      <c r="CH22" s="2955"/>
      <c r="CI22" s="2955"/>
      <c r="CJ22" s="2955"/>
      <c r="CK22" s="2955"/>
      <c r="CL22" s="2955"/>
      <c r="CM22" s="2955"/>
      <c r="CN22" s="2955"/>
      <c r="CO22" s="2955"/>
      <c r="CP22" s="2955"/>
      <c r="CQ22" s="2955"/>
      <c r="CR22" s="2955"/>
      <c r="CS22" s="2955"/>
      <c r="CT22" s="2955"/>
      <c r="CU22" s="2955"/>
      <c r="CV22" s="2955"/>
      <c r="CW22" s="2955"/>
      <c r="CX22" s="2955"/>
      <c r="CY22" s="2955"/>
      <c r="CZ22" s="2955"/>
      <c r="DA22" s="2955"/>
      <c r="DB22" s="2955"/>
      <c r="DC22" s="2955"/>
      <c r="DD22" s="2955"/>
      <c r="DE22" s="2955"/>
      <c r="DF22" s="2955"/>
      <c r="DG22" s="2955"/>
      <c r="DH22" s="2955"/>
      <c r="DI22" s="2955"/>
      <c r="DJ22" s="2955"/>
      <c r="DK22" s="2955"/>
      <c r="DL22" s="2955"/>
      <c r="DM22" s="2955"/>
      <c r="DN22" s="2955"/>
      <c r="DO22" s="2955"/>
      <c r="DP22" s="2955"/>
      <c r="DQ22" s="2955"/>
      <c r="DR22" s="2955"/>
      <c r="DS22" s="2955"/>
      <c r="DT22" s="2955"/>
      <c r="DU22" s="2955"/>
      <c r="DV22" s="2955"/>
      <c r="DW22" s="2955"/>
      <c r="DX22" s="2955"/>
      <c r="DY22" s="2955"/>
      <c r="DZ22" s="2955"/>
      <c r="EA22" s="2955"/>
      <c r="EB22" s="2955"/>
      <c r="EC22" s="2955"/>
      <c r="ED22" s="2955"/>
      <c r="EE22" s="2955"/>
      <c r="EF22" s="2955"/>
      <c r="EG22" s="2955"/>
      <c r="EH22" s="2955"/>
      <c r="EI22" s="2955"/>
      <c r="EJ22" s="2955"/>
      <c r="EK22" s="2955"/>
      <c r="EL22" s="2955"/>
      <c r="EM22" s="2955"/>
      <c r="EN22" s="2955"/>
      <c r="EO22" s="2955"/>
      <c r="EP22" s="2955"/>
      <c r="EQ22" s="2955"/>
      <c r="ER22" s="2955"/>
      <c r="ES22" s="2955"/>
      <c r="ET22" s="2955"/>
      <c r="EU22" s="2955"/>
      <c r="EV22" s="2955"/>
      <c r="EW22" s="2955"/>
      <c r="EX22" s="2955"/>
      <c r="EY22" s="2955"/>
      <c r="EZ22" s="2955"/>
      <c r="FA22" s="2955"/>
      <c r="FB22" s="2955"/>
      <c r="FC22" s="2955"/>
      <c r="FD22" s="2955"/>
      <c r="FE22" s="2955"/>
      <c r="FF22" s="2955"/>
      <c r="FG22" s="2955"/>
      <c r="FH22" s="2955"/>
      <c r="FI22" s="2955"/>
      <c r="FJ22" s="2955"/>
      <c r="FK22" s="2955"/>
      <c r="FL22" s="2955"/>
      <c r="FM22" s="2955"/>
      <c r="FN22" s="2955"/>
      <c r="FO22" s="2955"/>
      <c r="FP22" s="2955"/>
      <c r="FQ22" s="2955"/>
      <c r="FR22" s="2955"/>
      <c r="FS22" s="2955"/>
      <c r="FT22" s="2955"/>
      <c r="FU22" s="2955"/>
      <c r="FV22" s="2955"/>
      <c r="FW22" s="2955"/>
      <c r="FX22" s="2955"/>
      <c r="FY22" s="2955"/>
      <c r="FZ22" s="2955"/>
      <c r="GA22" s="2955"/>
      <c r="GB22" s="2955"/>
      <c r="GC22" s="2955"/>
      <c r="GD22" s="2955"/>
      <c r="GE22" s="2955"/>
      <c r="GF22" s="2955"/>
      <c r="GG22" s="2955"/>
      <c r="GH22" s="2955"/>
      <c r="GI22" s="2955"/>
      <c r="GJ22" s="2955"/>
      <c r="GK22" s="2955"/>
      <c r="GL22" s="2955"/>
      <c r="GM22" s="2955"/>
      <c r="GN22" s="2955"/>
      <c r="GO22" s="2955"/>
      <c r="GP22" s="2955"/>
      <c r="GQ22" s="2955"/>
      <c r="GR22" s="2955"/>
      <c r="GS22" s="2955"/>
      <c r="GT22" s="2955"/>
      <c r="GU22" s="2955"/>
      <c r="GV22" s="2955"/>
      <c r="GW22" s="2955"/>
      <c r="GX22" s="2955"/>
      <c r="GY22" s="2955"/>
      <c r="GZ22" s="2955"/>
      <c r="HA22" s="2955"/>
      <c r="HB22" s="2955"/>
      <c r="HC22" s="2955"/>
      <c r="HD22" s="2955"/>
      <c r="HE22" s="2955"/>
      <c r="HF22" s="2955"/>
      <c r="HG22" s="2955"/>
      <c r="HH22" s="2955"/>
      <c r="HI22" s="2955"/>
      <c r="HJ22" s="2955"/>
      <c r="HK22" s="2955"/>
      <c r="HL22" s="2955"/>
      <c r="HM22" s="2955"/>
      <c r="HN22" s="2955"/>
      <c r="HO22" s="2955"/>
      <c r="HP22" s="2955"/>
      <c r="HQ22" s="2955"/>
      <c r="HR22" s="2955"/>
      <c r="HS22" s="2955"/>
      <c r="HT22" s="2955"/>
      <c r="HU22" s="2955"/>
      <c r="HV22" s="2955"/>
      <c r="HW22" s="2955"/>
      <c r="HX22" s="2955"/>
      <c r="HY22" s="2955"/>
      <c r="HZ22" s="2955"/>
      <c r="IA22" s="2955"/>
      <c r="IB22" s="2955"/>
      <c r="IC22" s="2955"/>
      <c r="ID22" s="2955"/>
      <c r="IE22" s="2955"/>
      <c r="IF22" s="2955"/>
      <c r="IG22" s="2955"/>
      <c r="IH22" s="2955"/>
      <c r="II22" s="2955"/>
      <c r="IJ22" s="2955"/>
      <c r="IK22" s="2955"/>
      <c r="IL22" s="2955"/>
      <c r="IM22" s="2955"/>
      <c r="IN22" s="2955"/>
      <c r="IO22" s="2955"/>
      <c r="IP22" s="2955"/>
    </row>
    <row r="23" spans="1:250" s="2967" customFormat="1" ht="15" customHeight="1">
      <c r="A23" s="3344"/>
      <c r="B23" s="3343" t="s">
        <v>3160</v>
      </c>
      <c r="C23" s="3330" t="s">
        <v>3161</v>
      </c>
      <c r="D23" s="3337" t="s">
        <v>3162</v>
      </c>
      <c r="E23" s="3338" t="s">
        <v>3155</v>
      </c>
      <c r="F23" s="2956" t="s">
        <v>3163</v>
      </c>
      <c r="G23" s="2962"/>
      <c r="H23" s="3333">
        <v>1040.3699999999999</v>
      </c>
      <c r="I23" s="2958" t="s">
        <v>3164</v>
      </c>
      <c r="J23" s="3333" t="s">
        <v>3145</v>
      </c>
      <c r="K23" s="2958"/>
      <c r="L23" s="2965"/>
      <c r="M23" s="2965"/>
      <c r="N23" s="2965"/>
      <c r="O23" s="2959"/>
      <c r="P23" s="2964"/>
      <c r="Q23" s="2964"/>
      <c r="R23" s="2964"/>
      <c r="S23" s="2964"/>
      <c r="T23" s="2960">
        <f t="shared" si="0"/>
        <v>0</v>
      </c>
      <c r="U23" s="2969"/>
      <c r="V23" s="2969"/>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2955"/>
      <c r="AV23" s="2955"/>
      <c r="AW23" s="2955"/>
      <c r="AX23" s="2955"/>
      <c r="AY23" s="2955"/>
      <c r="AZ23" s="2955"/>
      <c r="BA23" s="2955"/>
      <c r="BB23" s="2955"/>
      <c r="BC23" s="2955"/>
      <c r="BD23" s="2955"/>
      <c r="BE23" s="2955"/>
      <c r="BF23" s="2955"/>
      <c r="BG23" s="2955"/>
      <c r="BH23" s="2955"/>
      <c r="BI23" s="2955"/>
      <c r="BJ23" s="2955"/>
      <c r="BK23" s="2955"/>
      <c r="BL23" s="2955"/>
      <c r="BM23" s="2955"/>
      <c r="BN23" s="2955"/>
      <c r="BO23" s="2955"/>
      <c r="BP23" s="2955"/>
      <c r="BQ23" s="2955"/>
      <c r="BR23" s="2955"/>
      <c r="BS23" s="2955"/>
      <c r="BT23" s="2955"/>
      <c r="BU23" s="2955"/>
      <c r="BV23" s="2955"/>
      <c r="BW23" s="2955"/>
      <c r="BX23" s="2955"/>
      <c r="BY23" s="2955"/>
      <c r="BZ23" s="2955"/>
      <c r="CA23" s="2955"/>
      <c r="CB23" s="2955"/>
      <c r="CC23" s="2955"/>
      <c r="CD23" s="2955"/>
      <c r="CE23" s="2955"/>
      <c r="CF23" s="2955"/>
      <c r="CG23" s="2955"/>
      <c r="CH23" s="2955"/>
      <c r="CI23" s="2955"/>
      <c r="CJ23" s="2955"/>
      <c r="CK23" s="2955"/>
      <c r="CL23" s="2955"/>
      <c r="CM23" s="2955"/>
      <c r="CN23" s="2955"/>
      <c r="CO23" s="2955"/>
      <c r="CP23" s="2955"/>
      <c r="CQ23" s="2955"/>
      <c r="CR23" s="2955"/>
      <c r="CS23" s="2955"/>
      <c r="CT23" s="2955"/>
      <c r="CU23" s="2955"/>
      <c r="CV23" s="2955"/>
      <c r="CW23" s="2955"/>
      <c r="CX23" s="2955"/>
      <c r="CY23" s="2955"/>
      <c r="CZ23" s="2955"/>
      <c r="DA23" s="2955"/>
      <c r="DB23" s="2955"/>
      <c r="DC23" s="2955"/>
      <c r="DD23" s="2955"/>
      <c r="DE23" s="2955"/>
      <c r="DF23" s="2955"/>
      <c r="DG23" s="2955"/>
      <c r="DH23" s="2955"/>
      <c r="DI23" s="2955"/>
      <c r="DJ23" s="2955"/>
      <c r="DK23" s="2955"/>
      <c r="DL23" s="2955"/>
      <c r="DM23" s="2955"/>
      <c r="DN23" s="2955"/>
      <c r="DO23" s="2955"/>
      <c r="DP23" s="2955"/>
      <c r="DQ23" s="2955"/>
      <c r="DR23" s="2955"/>
      <c r="DS23" s="2955"/>
      <c r="DT23" s="2955"/>
      <c r="DU23" s="2955"/>
      <c r="DV23" s="2955"/>
      <c r="DW23" s="2955"/>
      <c r="DX23" s="2955"/>
      <c r="DY23" s="2955"/>
      <c r="DZ23" s="2955"/>
      <c r="EA23" s="2955"/>
      <c r="EB23" s="2955"/>
      <c r="EC23" s="2955"/>
      <c r="ED23" s="2955"/>
      <c r="EE23" s="2955"/>
      <c r="EF23" s="2955"/>
      <c r="EG23" s="2955"/>
      <c r="EH23" s="2955"/>
      <c r="EI23" s="2955"/>
      <c r="EJ23" s="2955"/>
      <c r="EK23" s="2955"/>
      <c r="EL23" s="2955"/>
      <c r="EM23" s="2955"/>
      <c r="EN23" s="2955"/>
      <c r="EO23" s="2955"/>
      <c r="EP23" s="2955"/>
      <c r="EQ23" s="2955"/>
      <c r="ER23" s="2955"/>
      <c r="ES23" s="2955"/>
      <c r="ET23" s="2955"/>
      <c r="EU23" s="2955"/>
      <c r="EV23" s="2955"/>
      <c r="EW23" s="2955"/>
      <c r="EX23" s="2955"/>
      <c r="EY23" s="2955"/>
      <c r="EZ23" s="2955"/>
      <c r="FA23" s="2955"/>
      <c r="FB23" s="2955"/>
      <c r="FC23" s="2955"/>
      <c r="FD23" s="2955"/>
      <c r="FE23" s="2955"/>
      <c r="FF23" s="2955"/>
      <c r="FG23" s="2955"/>
      <c r="FH23" s="2955"/>
      <c r="FI23" s="2955"/>
      <c r="FJ23" s="2955"/>
      <c r="FK23" s="2955"/>
      <c r="FL23" s="2955"/>
      <c r="FM23" s="2955"/>
      <c r="FN23" s="2955"/>
      <c r="FO23" s="2955"/>
      <c r="FP23" s="2955"/>
      <c r="FQ23" s="2955"/>
      <c r="FR23" s="2955"/>
      <c r="FS23" s="2955"/>
      <c r="FT23" s="2955"/>
      <c r="FU23" s="2955"/>
      <c r="FV23" s="2955"/>
      <c r="FW23" s="2955"/>
      <c r="FX23" s="2955"/>
      <c r="FY23" s="2955"/>
      <c r="FZ23" s="2955"/>
      <c r="GA23" s="2955"/>
      <c r="GB23" s="2955"/>
      <c r="GC23" s="2955"/>
      <c r="GD23" s="2955"/>
      <c r="GE23" s="2955"/>
      <c r="GF23" s="2955"/>
      <c r="GG23" s="2955"/>
      <c r="GH23" s="2955"/>
      <c r="GI23" s="2955"/>
      <c r="GJ23" s="2955"/>
      <c r="GK23" s="2955"/>
      <c r="GL23" s="2955"/>
      <c r="GM23" s="2955"/>
      <c r="GN23" s="2955"/>
      <c r="GO23" s="2955"/>
      <c r="GP23" s="2955"/>
      <c r="GQ23" s="2955"/>
      <c r="GR23" s="2955"/>
      <c r="GS23" s="2955"/>
      <c r="GT23" s="2955"/>
      <c r="GU23" s="2955"/>
      <c r="GV23" s="2955"/>
      <c r="GW23" s="2955"/>
      <c r="GX23" s="2955"/>
      <c r="GY23" s="2955"/>
      <c r="GZ23" s="2955"/>
      <c r="HA23" s="2955"/>
      <c r="HB23" s="2955"/>
      <c r="HC23" s="2955"/>
      <c r="HD23" s="2955"/>
      <c r="HE23" s="2955"/>
      <c r="HF23" s="2955"/>
      <c r="HG23" s="2955"/>
      <c r="HH23" s="2955"/>
      <c r="HI23" s="2955"/>
      <c r="HJ23" s="2955"/>
      <c r="HK23" s="2955"/>
      <c r="HL23" s="2955"/>
      <c r="HM23" s="2955"/>
      <c r="HN23" s="2955"/>
      <c r="HO23" s="2955"/>
      <c r="HP23" s="2955"/>
      <c r="HQ23" s="2955"/>
      <c r="HR23" s="2955"/>
      <c r="HS23" s="2955"/>
      <c r="HT23" s="2955"/>
      <c r="HU23" s="2955"/>
      <c r="HV23" s="2955"/>
      <c r="HW23" s="2955"/>
      <c r="HX23" s="2955"/>
      <c r="HY23" s="2955"/>
      <c r="HZ23" s="2955"/>
      <c r="IA23" s="2955"/>
      <c r="IB23" s="2955"/>
      <c r="IC23" s="2955"/>
      <c r="ID23" s="2955"/>
      <c r="IE23" s="2955"/>
      <c r="IF23" s="2955"/>
      <c r="IG23" s="2955"/>
      <c r="IH23" s="2955"/>
      <c r="II23" s="2955"/>
      <c r="IJ23" s="2955"/>
      <c r="IK23" s="2955"/>
      <c r="IL23" s="2955"/>
      <c r="IM23" s="2955"/>
      <c r="IN23" s="2955"/>
      <c r="IO23" s="2955"/>
      <c r="IP23" s="2955"/>
    </row>
    <row r="24" spans="1:250" s="2967" customFormat="1" ht="15" customHeight="1">
      <c r="A24" s="3344"/>
      <c r="B24" s="3343"/>
      <c r="C24" s="3330"/>
      <c r="D24" s="3337"/>
      <c r="E24" s="3338"/>
      <c r="F24" s="2956" t="s">
        <v>3165</v>
      </c>
      <c r="G24" s="2962"/>
      <c r="H24" s="3333"/>
      <c r="I24" s="2958" t="s">
        <v>3166</v>
      </c>
      <c r="J24" s="3333"/>
      <c r="K24" s="2958"/>
      <c r="L24" s="2965"/>
      <c r="M24" s="2965">
        <f>127844*5</f>
        <v>639220</v>
      </c>
      <c r="N24" s="2965">
        <f>127844*12</f>
        <v>1534128</v>
      </c>
      <c r="O24" s="2959">
        <f>127844*7+(140502*5)</f>
        <v>1597418</v>
      </c>
      <c r="P24" s="2964">
        <f>(140502*8)</f>
        <v>1124016</v>
      </c>
      <c r="Q24" s="2964"/>
      <c r="R24" s="2964"/>
      <c r="S24" s="2964"/>
      <c r="T24" s="2960">
        <f t="shared" si="0"/>
        <v>4894782</v>
      </c>
      <c r="U24" s="2980">
        <f>T24</f>
        <v>4894782</v>
      </c>
      <c r="V24" s="2980">
        <f>U24/H23/1126</f>
        <v>4.178372392483471</v>
      </c>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2955"/>
      <c r="AV24" s="2955"/>
      <c r="AW24" s="2955"/>
      <c r="AX24" s="2955"/>
      <c r="AY24" s="2955"/>
      <c r="AZ24" s="2955"/>
      <c r="BA24" s="2955"/>
      <c r="BB24" s="2955"/>
      <c r="BC24" s="2955"/>
      <c r="BD24" s="2955"/>
      <c r="BE24" s="2955"/>
      <c r="BF24" s="2955"/>
      <c r="BG24" s="2955"/>
      <c r="BH24" s="2955"/>
      <c r="BI24" s="2955"/>
      <c r="BJ24" s="2955"/>
      <c r="BK24" s="2955"/>
      <c r="BL24" s="2955"/>
      <c r="BM24" s="2955"/>
      <c r="BN24" s="2955"/>
      <c r="BO24" s="2955"/>
      <c r="BP24" s="2955"/>
      <c r="BQ24" s="2955"/>
      <c r="BR24" s="2955"/>
      <c r="BS24" s="2955"/>
      <c r="BT24" s="2955"/>
      <c r="BU24" s="2955"/>
      <c r="BV24" s="2955"/>
      <c r="BW24" s="2955"/>
      <c r="BX24" s="2955"/>
      <c r="BY24" s="2955"/>
      <c r="BZ24" s="2955"/>
      <c r="CA24" s="2955"/>
      <c r="CB24" s="2955"/>
      <c r="CC24" s="2955"/>
      <c r="CD24" s="2955"/>
      <c r="CE24" s="2955"/>
      <c r="CF24" s="2955"/>
      <c r="CG24" s="2955"/>
      <c r="CH24" s="2955"/>
      <c r="CI24" s="2955"/>
      <c r="CJ24" s="2955"/>
      <c r="CK24" s="2955"/>
      <c r="CL24" s="2955"/>
      <c r="CM24" s="2955"/>
      <c r="CN24" s="2955"/>
      <c r="CO24" s="2955"/>
      <c r="CP24" s="2955"/>
      <c r="CQ24" s="2955"/>
      <c r="CR24" s="2955"/>
      <c r="CS24" s="2955"/>
      <c r="CT24" s="2955"/>
      <c r="CU24" s="2955"/>
      <c r="CV24" s="2955"/>
      <c r="CW24" s="2955"/>
      <c r="CX24" s="2955"/>
      <c r="CY24" s="2955"/>
      <c r="CZ24" s="2955"/>
      <c r="DA24" s="2955"/>
      <c r="DB24" s="2955"/>
      <c r="DC24" s="2955"/>
      <c r="DD24" s="2955"/>
      <c r="DE24" s="2955"/>
      <c r="DF24" s="2955"/>
      <c r="DG24" s="2955"/>
      <c r="DH24" s="2955"/>
      <c r="DI24" s="2955"/>
      <c r="DJ24" s="2955"/>
      <c r="DK24" s="2955"/>
      <c r="DL24" s="2955"/>
      <c r="DM24" s="2955"/>
      <c r="DN24" s="2955"/>
      <c r="DO24" s="2955"/>
      <c r="DP24" s="2955"/>
      <c r="DQ24" s="2955"/>
      <c r="DR24" s="2955"/>
      <c r="DS24" s="2955"/>
      <c r="DT24" s="2955"/>
      <c r="DU24" s="2955"/>
      <c r="DV24" s="2955"/>
      <c r="DW24" s="2955"/>
      <c r="DX24" s="2955"/>
      <c r="DY24" s="2955"/>
      <c r="DZ24" s="2955"/>
      <c r="EA24" s="2955"/>
      <c r="EB24" s="2955"/>
      <c r="EC24" s="2955"/>
      <c r="ED24" s="2955"/>
      <c r="EE24" s="2955"/>
      <c r="EF24" s="2955"/>
      <c r="EG24" s="2955"/>
      <c r="EH24" s="2955"/>
      <c r="EI24" s="2955"/>
      <c r="EJ24" s="2955"/>
      <c r="EK24" s="2955"/>
      <c r="EL24" s="2955"/>
      <c r="EM24" s="2955"/>
      <c r="EN24" s="2955"/>
      <c r="EO24" s="2955"/>
      <c r="EP24" s="2955"/>
      <c r="EQ24" s="2955"/>
      <c r="ER24" s="2955"/>
      <c r="ES24" s="2955"/>
      <c r="ET24" s="2955"/>
      <c r="EU24" s="2955"/>
      <c r="EV24" s="2955"/>
      <c r="EW24" s="2955"/>
      <c r="EX24" s="2955"/>
      <c r="EY24" s="2955"/>
      <c r="EZ24" s="2955"/>
      <c r="FA24" s="2955"/>
      <c r="FB24" s="2955"/>
      <c r="FC24" s="2955"/>
      <c r="FD24" s="2955"/>
      <c r="FE24" s="2955"/>
      <c r="FF24" s="2955"/>
      <c r="FG24" s="2955"/>
      <c r="FH24" s="2955"/>
      <c r="FI24" s="2955"/>
      <c r="FJ24" s="2955"/>
      <c r="FK24" s="2955"/>
      <c r="FL24" s="2955"/>
      <c r="FM24" s="2955"/>
      <c r="FN24" s="2955"/>
      <c r="FO24" s="2955"/>
      <c r="FP24" s="2955"/>
      <c r="FQ24" s="2955"/>
      <c r="FR24" s="2955"/>
      <c r="FS24" s="2955"/>
      <c r="FT24" s="2955"/>
      <c r="FU24" s="2955"/>
      <c r="FV24" s="2955"/>
      <c r="FW24" s="2955"/>
      <c r="FX24" s="2955"/>
      <c r="FY24" s="2955"/>
      <c r="FZ24" s="2955"/>
      <c r="GA24" s="2955"/>
      <c r="GB24" s="2955"/>
      <c r="GC24" s="2955"/>
      <c r="GD24" s="2955"/>
      <c r="GE24" s="2955"/>
      <c r="GF24" s="2955"/>
      <c r="GG24" s="2955"/>
      <c r="GH24" s="2955"/>
      <c r="GI24" s="2955"/>
      <c r="GJ24" s="2955"/>
      <c r="GK24" s="2955"/>
      <c r="GL24" s="2955"/>
      <c r="GM24" s="2955"/>
      <c r="GN24" s="2955"/>
      <c r="GO24" s="2955"/>
      <c r="GP24" s="2955"/>
      <c r="GQ24" s="2955"/>
      <c r="GR24" s="2955"/>
      <c r="GS24" s="2955"/>
      <c r="GT24" s="2955"/>
      <c r="GU24" s="2955"/>
      <c r="GV24" s="2955"/>
      <c r="GW24" s="2955"/>
      <c r="GX24" s="2955"/>
      <c r="GY24" s="2955"/>
      <c r="GZ24" s="2955"/>
      <c r="HA24" s="2955"/>
      <c r="HB24" s="2955"/>
      <c r="HC24" s="2955"/>
      <c r="HD24" s="2955"/>
      <c r="HE24" s="2955"/>
      <c r="HF24" s="2955"/>
      <c r="HG24" s="2955"/>
      <c r="HH24" s="2955"/>
      <c r="HI24" s="2955"/>
      <c r="HJ24" s="2955"/>
      <c r="HK24" s="2955"/>
      <c r="HL24" s="2955"/>
      <c r="HM24" s="2955"/>
      <c r="HN24" s="2955"/>
      <c r="HO24" s="2955"/>
      <c r="HP24" s="2955"/>
      <c r="HQ24" s="2955"/>
      <c r="HR24" s="2955"/>
      <c r="HS24" s="2955"/>
      <c r="HT24" s="2955"/>
      <c r="HU24" s="2955"/>
      <c r="HV24" s="2955"/>
      <c r="HW24" s="2955"/>
      <c r="HX24" s="2955"/>
      <c r="HY24" s="2955"/>
      <c r="HZ24" s="2955"/>
      <c r="IA24" s="2955"/>
      <c r="IB24" s="2955"/>
      <c r="IC24" s="2955"/>
      <c r="ID24" s="2955"/>
      <c r="IE24" s="2955"/>
      <c r="IF24" s="2955"/>
      <c r="IG24" s="2955"/>
      <c r="IH24" s="2955"/>
      <c r="II24" s="2955"/>
      <c r="IJ24" s="2955"/>
      <c r="IK24" s="2955"/>
      <c r="IL24" s="2955"/>
      <c r="IM24" s="2955"/>
      <c r="IN24" s="2955"/>
      <c r="IO24" s="2955"/>
      <c r="IP24" s="2955"/>
    </row>
    <row r="25" spans="1:250" s="2967" customFormat="1" ht="15" customHeight="1">
      <c r="A25" s="3344"/>
      <c r="B25" s="3343"/>
      <c r="C25" s="3330"/>
      <c r="D25" s="3337"/>
      <c r="E25" s="3338"/>
      <c r="F25" s="2956"/>
      <c r="G25" s="2962"/>
      <c r="H25" s="3333"/>
      <c r="I25" s="2958"/>
      <c r="J25" s="3333"/>
      <c r="K25" s="2958"/>
      <c r="L25" s="2965"/>
      <c r="M25" s="2965"/>
      <c r="N25" s="2965"/>
      <c r="O25" s="2959"/>
      <c r="P25" s="2964"/>
      <c r="Q25" s="2964"/>
      <c r="R25" s="2964"/>
      <c r="S25" s="2964"/>
      <c r="T25" s="2960">
        <f t="shared" si="0"/>
        <v>0</v>
      </c>
      <c r="U25" s="2969"/>
      <c r="V25" s="2969"/>
      <c r="W25" s="2955"/>
      <c r="X25" s="2955"/>
      <c r="Y25" s="2955"/>
      <c r="Z25" s="2955"/>
      <c r="AA25" s="2955"/>
      <c r="AB25" s="2955"/>
      <c r="AC25" s="2955"/>
      <c r="AD25" s="2955"/>
      <c r="AE25" s="2955"/>
      <c r="AF25" s="2955"/>
      <c r="AG25" s="2955"/>
      <c r="AH25" s="2955"/>
      <c r="AI25" s="2955"/>
      <c r="AJ25" s="2955"/>
      <c r="AK25" s="2955"/>
      <c r="AL25" s="2955"/>
      <c r="AM25" s="2955"/>
      <c r="AN25" s="2955"/>
      <c r="AO25" s="2955"/>
      <c r="AP25" s="2955"/>
      <c r="AQ25" s="2955"/>
      <c r="AR25" s="2955"/>
      <c r="AS25" s="2955"/>
      <c r="AT25" s="2955"/>
      <c r="AU25" s="2955"/>
      <c r="AV25" s="2955"/>
      <c r="AW25" s="2955"/>
      <c r="AX25" s="2955"/>
      <c r="AY25" s="2955"/>
      <c r="AZ25" s="2955"/>
      <c r="BA25" s="2955"/>
      <c r="BB25" s="2955"/>
      <c r="BC25" s="2955"/>
      <c r="BD25" s="2955"/>
      <c r="BE25" s="2955"/>
      <c r="BF25" s="2955"/>
      <c r="BG25" s="2955"/>
      <c r="BH25" s="2955"/>
      <c r="BI25" s="2955"/>
      <c r="BJ25" s="2955"/>
      <c r="BK25" s="2955"/>
      <c r="BL25" s="2955"/>
      <c r="BM25" s="2955"/>
      <c r="BN25" s="2955"/>
      <c r="BO25" s="2955"/>
      <c r="BP25" s="2955"/>
      <c r="BQ25" s="2955"/>
      <c r="BR25" s="2955"/>
      <c r="BS25" s="2955"/>
      <c r="BT25" s="2955"/>
      <c r="BU25" s="2955"/>
      <c r="BV25" s="2955"/>
      <c r="BW25" s="2955"/>
      <c r="BX25" s="2955"/>
      <c r="BY25" s="2955"/>
      <c r="BZ25" s="2955"/>
      <c r="CA25" s="2955"/>
      <c r="CB25" s="2955"/>
      <c r="CC25" s="2955"/>
      <c r="CD25" s="2955"/>
      <c r="CE25" s="2955"/>
      <c r="CF25" s="2955"/>
      <c r="CG25" s="2955"/>
      <c r="CH25" s="2955"/>
      <c r="CI25" s="2955"/>
      <c r="CJ25" s="2955"/>
      <c r="CK25" s="2955"/>
      <c r="CL25" s="2955"/>
      <c r="CM25" s="2955"/>
      <c r="CN25" s="2955"/>
      <c r="CO25" s="2955"/>
      <c r="CP25" s="2955"/>
      <c r="CQ25" s="2955"/>
      <c r="CR25" s="2955"/>
      <c r="CS25" s="2955"/>
      <c r="CT25" s="2955"/>
      <c r="CU25" s="2955"/>
      <c r="CV25" s="2955"/>
      <c r="CW25" s="2955"/>
      <c r="CX25" s="2955"/>
      <c r="CY25" s="2955"/>
      <c r="CZ25" s="2955"/>
      <c r="DA25" s="2955"/>
      <c r="DB25" s="2955"/>
      <c r="DC25" s="2955"/>
      <c r="DD25" s="2955"/>
      <c r="DE25" s="2955"/>
      <c r="DF25" s="2955"/>
      <c r="DG25" s="2955"/>
      <c r="DH25" s="2955"/>
      <c r="DI25" s="2955"/>
      <c r="DJ25" s="2955"/>
      <c r="DK25" s="2955"/>
      <c r="DL25" s="2955"/>
      <c r="DM25" s="2955"/>
      <c r="DN25" s="2955"/>
      <c r="DO25" s="2955"/>
      <c r="DP25" s="2955"/>
      <c r="DQ25" s="2955"/>
      <c r="DR25" s="2955"/>
      <c r="DS25" s="2955"/>
      <c r="DT25" s="2955"/>
      <c r="DU25" s="2955"/>
      <c r="DV25" s="2955"/>
      <c r="DW25" s="2955"/>
      <c r="DX25" s="2955"/>
      <c r="DY25" s="2955"/>
      <c r="DZ25" s="2955"/>
      <c r="EA25" s="2955"/>
      <c r="EB25" s="2955"/>
      <c r="EC25" s="2955"/>
      <c r="ED25" s="2955"/>
      <c r="EE25" s="2955"/>
      <c r="EF25" s="2955"/>
      <c r="EG25" s="2955"/>
      <c r="EH25" s="2955"/>
      <c r="EI25" s="2955"/>
      <c r="EJ25" s="2955"/>
      <c r="EK25" s="2955"/>
      <c r="EL25" s="2955"/>
      <c r="EM25" s="2955"/>
      <c r="EN25" s="2955"/>
      <c r="EO25" s="2955"/>
      <c r="EP25" s="2955"/>
      <c r="EQ25" s="2955"/>
      <c r="ER25" s="2955"/>
      <c r="ES25" s="2955"/>
      <c r="ET25" s="2955"/>
      <c r="EU25" s="2955"/>
      <c r="EV25" s="2955"/>
      <c r="EW25" s="2955"/>
      <c r="EX25" s="2955"/>
      <c r="EY25" s="2955"/>
      <c r="EZ25" s="2955"/>
      <c r="FA25" s="2955"/>
      <c r="FB25" s="2955"/>
      <c r="FC25" s="2955"/>
      <c r="FD25" s="2955"/>
      <c r="FE25" s="2955"/>
      <c r="FF25" s="2955"/>
      <c r="FG25" s="2955"/>
      <c r="FH25" s="2955"/>
      <c r="FI25" s="2955"/>
      <c r="FJ25" s="2955"/>
      <c r="FK25" s="2955"/>
      <c r="FL25" s="2955"/>
      <c r="FM25" s="2955"/>
      <c r="FN25" s="2955"/>
      <c r="FO25" s="2955"/>
      <c r="FP25" s="2955"/>
      <c r="FQ25" s="2955"/>
      <c r="FR25" s="2955"/>
      <c r="FS25" s="2955"/>
      <c r="FT25" s="2955"/>
      <c r="FU25" s="2955"/>
      <c r="FV25" s="2955"/>
      <c r="FW25" s="2955"/>
      <c r="FX25" s="2955"/>
      <c r="FY25" s="2955"/>
      <c r="FZ25" s="2955"/>
      <c r="GA25" s="2955"/>
      <c r="GB25" s="2955"/>
      <c r="GC25" s="2955"/>
      <c r="GD25" s="2955"/>
      <c r="GE25" s="2955"/>
      <c r="GF25" s="2955"/>
      <c r="GG25" s="2955"/>
      <c r="GH25" s="2955"/>
      <c r="GI25" s="2955"/>
      <c r="GJ25" s="2955"/>
      <c r="GK25" s="2955"/>
      <c r="GL25" s="2955"/>
      <c r="GM25" s="2955"/>
      <c r="GN25" s="2955"/>
      <c r="GO25" s="2955"/>
      <c r="GP25" s="2955"/>
      <c r="GQ25" s="2955"/>
      <c r="GR25" s="2955"/>
      <c r="GS25" s="2955"/>
      <c r="GT25" s="2955"/>
      <c r="GU25" s="2955"/>
      <c r="GV25" s="2955"/>
      <c r="GW25" s="2955"/>
      <c r="GX25" s="2955"/>
      <c r="GY25" s="2955"/>
      <c r="GZ25" s="2955"/>
      <c r="HA25" s="2955"/>
      <c r="HB25" s="2955"/>
      <c r="HC25" s="2955"/>
      <c r="HD25" s="2955"/>
      <c r="HE25" s="2955"/>
      <c r="HF25" s="2955"/>
      <c r="HG25" s="2955"/>
      <c r="HH25" s="2955"/>
      <c r="HI25" s="2955"/>
      <c r="HJ25" s="2955"/>
      <c r="HK25" s="2955"/>
      <c r="HL25" s="2955"/>
      <c r="HM25" s="2955"/>
      <c r="HN25" s="2955"/>
      <c r="HO25" s="2955"/>
      <c r="HP25" s="2955"/>
      <c r="HQ25" s="2955"/>
      <c r="HR25" s="2955"/>
      <c r="HS25" s="2955"/>
      <c r="HT25" s="2955"/>
      <c r="HU25" s="2955"/>
      <c r="HV25" s="2955"/>
      <c r="HW25" s="2955"/>
      <c r="HX25" s="2955"/>
      <c r="HY25" s="2955"/>
      <c r="HZ25" s="2955"/>
      <c r="IA25" s="2955"/>
      <c r="IB25" s="2955"/>
      <c r="IC25" s="2955"/>
      <c r="ID25" s="2955"/>
      <c r="IE25" s="2955"/>
      <c r="IF25" s="2955"/>
      <c r="IG25" s="2955"/>
      <c r="IH25" s="2955"/>
      <c r="II25" s="2955"/>
      <c r="IJ25" s="2955"/>
      <c r="IK25" s="2955"/>
      <c r="IL25" s="2955"/>
      <c r="IM25" s="2955"/>
      <c r="IN25" s="2955"/>
      <c r="IO25" s="2955"/>
      <c r="IP25" s="2955"/>
    </row>
    <row r="26" spans="1:250" s="2953" customFormat="1" ht="15" customHeight="1">
      <c r="A26" s="3344"/>
      <c r="B26" s="3343" t="s">
        <v>3167</v>
      </c>
      <c r="C26" s="3330" t="s">
        <v>3168</v>
      </c>
      <c r="D26" s="3337" t="s">
        <v>3169</v>
      </c>
      <c r="E26" s="3338" t="s">
        <v>3142</v>
      </c>
      <c r="F26" s="2956" t="s">
        <v>3163</v>
      </c>
      <c r="G26" s="3330" t="s">
        <v>3132</v>
      </c>
      <c r="H26" s="3333">
        <v>1040.3699999999999</v>
      </c>
      <c r="I26" s="2958" t="s">
        <v>3170</v>
      </c>
      <c r="J26" s="3333" t="s">
        <v>3145</v>
      </c>
      <c r="K26" s="2958"/>
      <c r="L26" s="2965"/>
      <c r="M26" s="2965">
        <f>124407*5</f>
        <v>622035</v>
      </c>
      <c r="N26" s="2965">
        <f>124407*12</f>
        <v>1492884</v>
      </c>
      <c r="O26" s="2959">
        <f>124407*7</f>
        <v>870849</v>
      </c>
      <c r="P26" s="2964"/>
      <c r="Q26" s="2964"/>
      <c r="R26" s="2964"/>
      <c r="S26" s="2964"/>
      <c r="T26" s="2960">
        <f t="shared" si="0"/>
        <v>2985768</v>
      </c>
      <c r="U26" s="3326">
        <f>T26+T27</f>
        <v>4763193</v>
      </c>
      <c r="V26" s="3324">
        <f>U26/H26/1095</f>
        <v>4.1811547288036754</v>
      </c>
      <c r="W26" s="2955"/>
      <c r="X26" s="2955"/>
      <c r="Y26" s="2955"/>
      <c r="Z26" s="2955"/>
      <c r="AA26" s="2955"/>
      <c r="AB26" s="2955"/>
      <c r="AC26" s="2955"/>
      <c r="AD26" s="2955"/>
      <c r="AE26" s="2955"/>
      <c r="AF26" s="2955"/>
      <c r="AG26" s="2955"/>
      <c r="AH26" s="2955"/>
      <c r="AI26" s="2955"/>
      <c r="AJ26" s="2955"/>
      <c r="AK26" s="2955"/>
      <c r="AL26" s="2955"/>
      <c r="AM26" s="2955"/>
      <c r="AN26" s="2955"/>
      <c r="AO26" s="2955"/>
      <c r="AP26" s="2955"/>
      <c r="AQ26" s="2955"/>
      <c r="AR26" s="2955"/>
      <c r="AS26" s="2955"/>
      <c r="AT26" s="2955"/>
      <c r="AU26" s="2955"/>
      <c r="AV26" s="2955"/>
      <c r="AW26" s="2955"/>
      <c r="AX26" s="2955"/>
      <c r="AY26" s="2955"/>
      <c r="AZ26" s="2955"/>
      <c r="BA26" s="2955"/>
      <c r="BB26" s="2955"/>
      <c r="BC26" s="2955"/>
      <c r="BD26" s="2955"/>
      <c r="BE26" s="2955"/>
      <c r="BF26" s="2955"/>
      <c r="BG26" s="2955"/>
      <c r="BH26" s="2955"/>
      <c r="BI26" s="2955"/>
      <c r="BJ26" s="2955"/>
      <c r="BK26" s="2955"/>
      <c r="BL26" s="2955"/>
      <c r="BM26" s="2955"/>
      <c r="BN26" s="2955"/>
      <c r="BO26" s="2955"/>
      <c r="BP26" s="2955"/>
      <c r="BQ26" s="2955"/>
      <c r="BR26" s="2955"/>
      <c r="BS26" s="2955"/>
      <c r="BT26" s="2955"/>
      <c r="BU26" s="2955"/>
      <c r="BV26" s="2955"/>
      <c r="BW26" s="2955"/>
      <c r="BX26" s="2955"/>
      <c r="BY26" s="2955"/>
      <c r="BZ26" s="2955"/>
      <c r="CA26" s="2955"/>
      <c r="CB26" s="2955"/>
      <c r="CC26" s="2955"/>
      <c r="CD26" s="2955"/>
      <c r="CE26" s="2955"/>
      <c r="CF26" s="2955"/>
      <c r="CG26" s="2955"/>
      <c r="CH26" s="2955"/>
      <c r="CI26" s="2955"/>
      <c r="CJ26" s="2955"/>
      <c r="CK26" s="2955"/>
      <c r="CL26" s="2955"/>
      <c r="CM26" s="2955"/>
      <c r="CN26" s="2955"/>
      <c r="CO26" s="2955"/>
      <c r="CP26" s="2955"/>
      <c r="CQ26" s="2955"/>
      <c r="CR26" s="2955"/>
      <c r="CS26" s="2955"/>
      <c r="CT26" s="2955"/>
      <c r="CU26" s="2955"/>
      <c r="CV26" s="2955"/>
      <c r="CW26" s="2955"/>
      <c r="CX26" s="2955"/>
      <c r="CY26" s="2955"/>
      <c r="CZ26" s="2955"/>
      <c r="DA26" s="2955"/>
      <c r="DB26" s="2955"/>
      <c r="DC26" s="2955"/>
      <c r="DD26" s="2955"/>
      <c r="DE26" s="2955"/>
      <c r="DF26" s="2955"/>
      <c r="DG26" s="2955"/>
      <c r="DH26" s="2955"/>
      <c r="DI26" s="2955"/>
      <c r="DJ26" s="2955"/>
      <c r="DK26" s="2955"/>
      <c r="DL26" s="2955"/>
      <c r="DM26" s="2955"/>
      <c r="DN26" s="2955"/>
      <c r="DO26" s="2955"/>
      <c r="DP26" s="2955"/>
      <c r="DQ26" s="2955"/>
      <c r="DR26" s="2955"/>
      <c r="DS26" s="2955"/>
      <c r="DT26" s="2955"/>
      <c r="DU26" s="2955"/>
      <c r="DV26" s="2955"/>
      <c r="DW26" s="2955"/>
      <c r="DX26" s="2955"/>
      <c r="DY26" s="2955"/>
      <c r="DZ26" s="2955"/>
      <c r="EA26" s="2955"/>
      <c r="EB26" s="2955"/>
      <c r="EC26" s="2955"/>
      <c r="ED26" s="2955"/>
      <c r="EE26" s="2955"/>
      <c r="EF26" s="2955"/>
      <c r="EG26" s="2955"/>
      <c r="EH26" s="2955"/>
      <c r="EI26" s="2955"/>
      <c r="EJ26" s="2955"/>
      <c r="EK26" s="2955"/>
      <c r="EL26" s="2955"/>
      <c r="EM26" s="2955"/>
      <c r="EN26" s="2955"/>
      <c r="EO26" s="2955"/>
      <c r="EP26" s="2955"/>
      <c r="EQ26" s="2955"/>
      <c r="ER26" s="2955"/>
      <c r="ES26" s="2955"/>
      <c r="ET26" s="2955"/>
      <c r="EU26" s="2955"/>
      <c r="EV26" s="2955"/>
      <c r="EW26" s="2955"/>
      <c r="EX26" s="2955"/>
      <c r="EY26" s="2955"/>
      <c r="EZ26" s="2955"/>
      <c r="FA26" s="2955"/>
      <c r="FB26" s="2955"/>
      <c r="FC26" s="2955"/>
      <c r="FD26" s="2955"/>
      <c r="FE26" s="2955"/>
      <c r="FF26" s="2955"/>
      <c r="FG26" s="2955"/>
      <c r="FH26" s="2955"/>
      <c r="FI26" s="2955"/>
      <c r="FJ26" s="2955"/>
      <c r="FK26" s="2955"/>
      <c r="FL26" s="2955"/>
      <c r="FM26" s="2955"/>
      <c r="FN26" s="2955"/>
      <c r="FO26" s="2955"/>
      <c r="FP26" s="2955"/>
      <c r="FQ26" s="2955"/>
      <c r="FR26" s="2955"/>
      <c r="FS26" s="2955"/>
      <c r="FT26" s="2955"/>
      <c r="FU26" s="2955"/>
      <c r="FV26" s="2955"/>
      <c r="FW26" s="2955"/>
      <c r="FX26" s="2955"/>
      <c r="FY26" s="2955"/>
      <c r="FZ26" s="2955"/>
      <c r="GA26" s="2955"/>
      <c r="GB26" s="2955"/>
      <c r="GC26" s="2955"/>
      <c r="GD26" s="2955"/>
      <c r="GE26" s="2955"/>
      <c r="GF26" s="2955"/>
      <c r="GG26" s="2955"/>
      <c r="GH26" s="2955"/>
      <c r="GI26" s="2955"/>
      <c r="GJ26" s="2955"/>
      <c r="GK26" s="2955"/>
      <c r="GL26" s="2955"/>
      <c r="GM26" s="2955"/>
      <c r="GN26" s="2955"/>
      <c r="GO26" s="2955"/>
      <c r="GP26" s="2955"/>
      <c r="GQ26" s="2955"/>
      <c r="GR26" s="2955"/>
      <c r="GS26" s="2955"/>
      <c r="GT26" s="2955"/>
      <c r="GU26" s="2955"/>
      <c r="GV26" s="2955"/>
      <c r="GW26" s="2955"/>
      <c r="GX26" s="2955"/>
      <c r="GY26" s="2955"/>
      <c r="GZ26" s="2955"/>
      <c r="HA26" s="2955"/>
      <c r="HB26" s="2955"/>
      <c r="HC26" s="2955"/>
      <c r="HD26" s="2955"/>
      <c r="HE26" s="2955"/>
      <c r="HF26" s="2955"/>
      <c r="HG26" s="2955"/>
      <c r="HH26" s="2955"/>
      <c r="HI26" s="2955"/>
      <c r="HJ26" s="2955"/>
      <c r="HK26" s="2955"/>
      <c r="HL26" s="2955"/>
      <c r="HM26" s="2955"/>
      <c r="HN26" s="2955"/>
      <c r="HO26" s="2955"/>
      <c r="HP26" s="2955"/>
      <c r="HQ26" s="2955"/>
      <c r="HR26" s="2955"/>
      <c r="HS26" s="2955"/>
      <c r="HT26" s="2955"/>
      <c r="HU26" s="2955"/>
      <c r="HV26" s="2955"/>
      <c r="HW26" s="2955"/>
      <c r="HX26" s="2955"/>
      <c r="HY26" s="2955"/>
      <c r="HZ26" s="2955"/>
      <c r="IA26" s="2955"/>
      <c r="IB26" s="2955"/>
      <c r="IC26" s="2955"/>
      <c r="ID26" s="2955"/>
      <c r="IE26" s="2955"/>
      <c r="IF26" s="2955"/>
      <c r="IG26" s="2955"/>
      <c r="IH26" s="2955"/>
      <c r="II26" s="2955"/>
      <c r="IJ26" s="2955"/>
      <c r="IK26" s="2955"/>
      <c r="IL26" s="2955"/>
      <c r="IM26" s="2955"/>
      <c r="IN26" s="2955"/>
      <c r="IO26" s="2955"/>
      <c r="IP26" s="2955"/>
    </row>
    <row r="27" spans="1:250" s="2953" customFormat="1" ht="15" customHeight="1">
      <c r="A27" s="3344"/>
      <c r="B27" s="3343"/>
      <c r="C27" s="3330"/>
      <c r="D27" s="3337"/>
      <c r="E27" s="3338"/>
      <c r="F27" s="2956" t="s">
        <v>3165</v>
      </c>
      <c r="G27" s="3330"/>
      <c r="H27" s="3333"/>
      <c r="I27" s="2958" t="s">
        <v>3171</v>
      </c>
      <c r="J27" s="3333"/>
      <c r="K27" s="2958"/>
      <c r="L27" s="2965"/>
      <c r="M27" s="2965"/>
      <c r="N27" s="2965"/>
      <c r="O27" s="2959">
        <f>136725*5</f>
        <v>683625</v>
      </c>
      <c r="P27" s="2964">
        <f>136725*8</f>
        <v>1093800</v>
      </c>
      <c r="Q27" s="2964"/>
      <c r="R27" s="2964"/>
      <c r="S27" s="2964"/>
      <c r="T27" s="2960">
        <f t="shared" si="0"/>
        <v>1777425</v>
      </c>
      <c r="U27" s="3327"/>
      <c r="V27" s="3325"/>
      <c r="W27" s="2955"/>
      <c r="X27" s="2955"/>
      <c r="Y27" s="2955"/>
      <c r="Z27" s="2955"/>
      <c r="AA27" s="2955"/>
      <c r="AB27" s="2955"/>
      <c r="AC27" s="2955"/>
      <c r="AD27" s="2955"/>
      <c r="AE27" s="2955"/>
      <c r="AF27" s="2955"/>
      <c r="AG27" s="2955"/>
      <c r="AH27" s="2955"/>
      <c r="AI27" s="2955"/>
      <c r="AJ27" s="2955"/>
      <c r="AK27" s="2955"/>
      <c r="AL27" s="2955"/>
      <c r="AM27" s="2955"/>
      <c r="AN27" s="2955"/>
      <c r="AO27" s="2955"/>
      <c r="AP27" s="2955"/>
      <c r="AQ27" s="2955"/>
      <c r="AR27" s="2955"/>
      <c r="AS27" s="2955"/>
      <c r="AT27" s="2955"/>
      <c r="AU27" s="2955"/>
      <c r="AV27" s="2955"/>
      <c r="AW27" s="2955"/>
      <c r="AX27" s="2955"/>
      <c r="AY27" s="2955"/>
      <c r="AZ27" s="2955"/>
      <c r="BA27" s="2955"/>
      <c r="BB27" s="2955"/>
      <c r="BC27" s="2955"/>
      <c r="BD27" s="2955"/>
      <c r="BE27" s="2955"/>
      <c r="BF27" s="2955"/>
      <c r="BG27" s="2955"/>
      <c r="BH27" s="2955"/>
      <c r="BI27" s="2955"/>
      <c r="BJ27" s="2955"/>
      <c r="BK27" s="2955"/>
      <c r="BL27" s="2955"/>
      <c r="BM27" s="2955"/>
      <c r="BN27" s="2955"/>
      <c r="BO27" s="2955"/>
      <c r="BP27" s="2955"/>
      <c r="BQ27" s="2955"/>
      <c r="BR27" s="2955"/>
      <c r="BS27" s="2955"/>
      <c r="BT27" s="2955"/>
      <c r="BU27" s="2955"/>
      <c r="BV27" s="2955"/>
      <c r="BW27" s="2955"/>
      <c r="BX27" s="2955"/>
      <c r="BY27" s="2955"/>
      <c r="BZ27" s="2955"/>
      <c r="CA27" s="2955"/>
      <c r="CB27" s="2955"/>
      <c r="CC27" s="2955"/>
      <c r="CD27" s="2955"/>
      <c r="CE27" s="2955"/>
      <c r="CF27" s="2955"/>
      <c r="CG27" s="2955"/>
      <c r="CH27" s="2955"/>
      <c r="CI27" s="2955"/>
      <c r="CJ27" s="2955"/>
      <c r="CK27" s="2955"/>
      <c r="CL27" s="2955"/>
      <c r="CM27" s="2955"/>
      <c r="CN27" s="2955"/>
      <c r="CO27" s="2955"/>
      <c r="CP27" s="2955"/>
      <c r="CQ27" s="2955"/>
      <c r="CR27" s="2955"/>
      <c r="CS27" s="2955"/>
      <c r="CT27" s="2955"/>
      <c r="CU27" s="2955"/>
      <c r="CV27" s="2955"/>
      <c r="CW27" s="2955"/>
      <c r="CX27" s="2955"/>
      <c r="CY27" s="2955"/>
      <c r="CZ27" s="2955"/>
      <c r="DA27" s="2955"/>
      <c r="DB27" s="2955"/>
      <c r="DC27" s="2955"/>
      <c r="DD27" s="2955"/>
      <c r="DE27" s="2955"/>
      <c r="DF27" s="2955"/>
      <c r="DG27" s="2955"/>
      <c r="DH27" s="2955"/>
      <c r="DI27" s="2955"/>
      <c r="DJ27" s="2955"/>
      <c r="DK27" s="2955"/>
      <c r="DL27" s="2955"/>
      <c r="DM27" s="2955"/>
      <c r="DN27" s="2955"/>
      <c r="DO27" s="2955"/>
      <c r="DP27" s="2955"/>
      <c r="DQ27" s="2955"/>
      <c r="DR27" s="2955"/>
      <c r="DS27" s="2955"/>
      <c r="DT27" s="2955"/>
      <c r="DU27" s="2955"/>
      <c r="DV27" s="2955"/>
      <c r="DW27" s="2955"/>
      <c r="DX27" s="2955"/>
      <c r="DY27" s="2955"/>
      <c r="DZ27" s="2955"/>
      <c r="EA27" s="2955"/>
      <c r="EB27" s="2955"/>
      <c r="EC27" s="2955"/>
      <c r="ED27" s="2955"/>
      <c r="EE27" s="2955"/>
      <c r="EF27" s="2955"/>
      <c r="EG27" s="2955"/>
      <c r="EH27" s="2955"/>
      <c r="EI27" s="2955"/>
      <c r="EJ27" s="2955"/>
      <c r="EK27" s="2955"/>
      <c r="EL27" s="2955"/>
      <c r="EM27" s="2955"/>
      <c r="EN27" s="2955"/>
      <c r="EO27" s="2955"/>
      <c r="EP27" s="2955"/>
      <c r="EQ27" s="2955"/>
      <c r="ER27" s="2955"/>
      <c r="ES27" s="2955"/>
      <c r="ET27" s="2955"/>
      <c r="EU27" s="2955"/>
      <c r="EV27" s="2955"/>
      <c r="EW27" s="2955"/>
      <c r="EX27" s="2955"/>
      <c r="EY27" s="2955"/>
      <c r="EZ27" s="2955"/>
      <c r="FA27" s="2955"/>
      <c r="FB27" s="2955"/>
      <c r="FC27" s="2955"/>
      <c r="FD27" s="2955"/>
      <c r="FE27" s="2955"/>
      <c r="FF27" s="2955"/>
      <c r="FG27" s="2955"/>
      <c r="FH27" s="2955"/>
      <c r="FI27" s="2955"/>
      <c r="FJ27" s="2955"/>
      <c r="FK27" s="2955"/>
      <c r="FL27" s="2955"/>
      <c r="FM27" s="2955"/>
      <c r="FN27" s="2955"/>
      <c r="FO27" s="2955"/>
      <c r="FP27" s="2955"/>
      <c r="FQ27" s="2955"/>
      <c r="FR27" s="2955"/>
      <c r="FS27" s="2955"/>
      <c r="FT27" s="2955"/>
      <c r="FU27" s="2955"/>
      <c r="FV27" s="2955"/>
      <c r="FW27" s="2955"/>
      <c r="FX27" s="2955"/>
      <c r="FY27" s="2955"/>
      <c r="FZ27" s="2955"/>
      <c r="GA27" s="2955"/>
      <c r="GB27" s="2955"/>
      <c r="GC27" s="2955"/>
      <c r="GD27" s="2955"/>
      <c r="GE27" s="2955"/>
      <c r="GF27" s="2955"/>
      <c r="GG27" s="2955"/>
      <c r="GH27" s="2955"/>
      <c r="GI27" s="2955"/>
      <c r="GJ27" s="2955"/>
      <c r="GK27" s="2955"/>
      <c r="GL27" s="2955"/>
      <c r="GM27" s="2955"/>
      <c r="GN27" s="2955"/>
      <c r="GO27" s="2955"/>
      <c r="GP27" s="2955"/>
      <c r="GQ27" s="2955"/>
      <c r="GR27" s="2955"/>
      <c r="GS27" s="2955"/>
      <c r="GT27" s="2955"/>
      <c r="GU27" s="2955"/>
      <c r="GV27" s="2955"/>
      <c r="GW27" s="2955"/>
      <c r="GX27" s="2955"/>
      <c r="GY27" s="2955"/>
      <c r="GZ27" s="2955"/>
      <c r="HA27" s="2955"/>
      <c r="HB27" s="2955"/>
      <c r="HC27" s="2955"/>
      <c r="HD27" s="2955"/>
      <c r="HE27" s="2955"/>
      <c r="HF27" s="2955"/>
      <c r="HG27" s="2955"/>
      <c r="HH27" s="2955"/>
      <c r="HI27" s="2955"/>
      <c r="HJ27" s="2955"/>
      <c r="HK27" s="2955"/>
      <c r="HL27" s="2955"/>
      <c r="HM27" s="2955"/>
      <c r="HN27" s="2955"/>
      <c r="HO27" s="2955"/>
      <c r="HP27" s="2955"/>
      <c r="HQ27" s="2955"/>
      <c r="HR27" s="2955"/>
      <c r="HS27" s="2955"/>
      <c r="HT27" s="2955"/>
      <c r="HU27" s="2955"/>
      <c r="HV27" s="2955"/>
      <c r="HW27" s="2955"/>
      <c r="HX27" s="2955"/>
      <c r="HY27" s="2955"/>
      <c r="HZ27" s="2955"/>
      <c r="IA27" s="2955"/>
      <c r="IB27" s="2955"/>
      <c r="IC27" s="2955"/>
      <c r="ID27" s="2955"/>
      <c r="IE27" s="2955"/>
      <c r="IF27" s="2955"/>
      <c r="IG27" s="2955"/>
      <c r="IH27" s="2955"/>
      <c r="II27" s="2955"/>
      <c r="IJ27" s="2955"/>
      <c r="IK27" s="2955"/>
      <c r="IL27" s="2955"/>
      <c r="IM27" s="2955"/>
      <c r="IN27" s="2955"/>
      <c r="IO27" s="2955"/>
      <c r="IP27" s="2955"/>
    </row>
    <row r="28" spans="1:250" s="2953" customFormat="1" ht="15" customHeight="1">
      <c r="A28" s="3344"/>
      <c r="B28" s="3343"/>
      <c r="C28" s="3330"/>
      <c r="D28" s="3337"/>
      <c r="E28" s="3338"/>
      <c r="F28" s="2956"/>
      <c r="G28" s="3330"/>
      <c r="H28" s="3333"/>
      <c r="I28" s="2958"/>
      <c r="J28" s="3333"/>
      <c r="K28" s="2958"/>
      <c r="L28" s="2965"/>
      <c r="M28" s="2965"/>
      <c r="N28" s="2965"/>
      <c r="O28" s="2959"/>
      <c r="P28" s="2964"/>
      <c r="Q28" s="2964"/>
      <c r="R28" s="2964"/>
      <c r="S28" s="2964"/>
      <c r="T28" s="2960">
        <f t="shared" si="0"/>
        <v>0</v>
      </c>
      <c r="U28" s="2969"/>
      <c r="V28" s="2969"/>
      <c r="W28" s="2955"/>
      <c r="X28" s="2955"/>
      <c r="Y28" s="2955"/>
      <c r="Z28" s="2955"/>
      <c r="AA28" s="2955"/>
      <c r="AB28" s="2955"/>
      <c r="AC28" s="2955"/>
      <c r="AD28" s="2955"/>
      <c r="AE28" s="2955"/>
      <c r="AF28" s="2955"/>
      <c r="AG28" s="2955"/>
      <c r="AH28" s="2955"/>
      <c r="AI28" s="2955"/>
      <c r="AJ28" s="2955"/>
      <c r="AK28" s="2955"/>
      <c r="AL28" s="2955"/>
      <c r="AM28" s="2955"/>
      <c r="AN28" s="2955"/>
      <c r="AO28" s="2955"/>
      <c r="AP28" s="2955"/>
      <c r="AQ28" s="2955"/>
      <c r="AR28" s="2955"/>
      <c r="AS28" s="2955"/>
      <c r="AT28" s="2955"/>
      <c r="AU28" s="2955"/>
      <c r="AV28" s="2955"/>
      <c r="AW28" s="2955"/>
      <c r="AX28" s="2955"/>
      <c r="AY28" s="2955"/>
      <c r="AZ28" s="2955"/>
      <c r="BA28" s="2955"/>
      <c r="BB28" s="2955"/>
      <c r="BC28" s="2955"/>
      <c r="BD28" s="2955"/>
      <c r="BE28" s="2955"/>
      <c r="BF28" s="2955"/>
      <c r="BG28" s="2955"/>
      <c r="BH28" s="2955"/>
      <c r="BI28" s="2955"/>
      <c r="BJ28" s="2955"/>
      <c r="BK28" s="2955"/>
      <c r="BL28" s="2955"/>
      <c r="BM28" s="2955"/>
      <c r="BN28" s="2955"/>
      <c r="BO28" s="2955"/>
      <c r="BP28" s="2955"/>
      <c r="BQ28" s="2955"/>
      <c r="BR28" s="2955"/>
      <c r="BS28" s="2955"/>
      <c r="BT28" s="2955"/>
      <c r="BU28" s="2955"/>
      <c r="BV28" s="2955"/>
      <c r="BW28" s="2955"/>
      <c r="BX28" s="2955"/>
      <c r="BY28" s="2955"/>
      <c r="BZ28" s="2955"/>
      <c r="CA28" s="2955"/>
      <c r="CB28" s="2955"/>
      <c r="CC28" s="2955"/>
      <c r="CD28" s="2955"/>
      <c r="CE28" s="2955"/>
      <c r="CF28" s="2955"/>
      <c r="CG28" s="2955"/>
      <c r="CH28" s="2955"/>
      <c r="CI28" s="2955"/>
      <c r="CJ28" s="2955"/>
      <c r="CK28" s="2955"/>
      <c r="CL28" s="2955"/>
      <c r="CM28" s="2955"/>
      <c r="CN28" s="2955"/>
      <c r="CO28" s="2955"/>
      <c r="CP28" s="2955"/>
      <c r="CQ28" s="2955"/>
      <c r="CR28" s="2955"/>
      <c r="CS28" s="2955"/>
      <c r="CT28" s="2955"/>
      <c r="CU28" s="2955"/>
      <c r="CV28" s="2955"/>
      <c r="CW28" s="2955"/>
      <c r="CX28" s="2955"/>
      <c r="CY28" s="2955"/>
      <c r="CZ28" s="2955"/>
      <c r="DA28" s="2955"/>
      <c r="DB28" s="2955"/>
      <c r="DC28" s="2955"/>
      <c r="DD28" s="2955"/>
      <c r="DE28" s="2955"/>
      <c r="DF28" s="2955"/>
      <c r="DG28" s="2955"/>
      <c r="DH28" s="2955"/>
      <c r="DI28" s="2955"/>
      <c r="DJ28" s="2955"/>
      <c r="DK28" s="2955"/>
      <c r="DL28" s="2955"/>
      <c r="DM28" s="2955"/>
      <c r="DN28" s="2955"/>
      <c r="DO28" s="2955"/>
      <c r="DP28" s="2955"/>
      <c r="DQ28" s="2955"/>
      <c r="DR28" s="2955"/>
      <c r="DS28" s="2955"/>
      <c r="DT28" s="2955"/>
      <c r="DU28" s="2955"/>
      <c r="DV28" s="2955"/>
      <c r="DW28" s="2955"/>
      <c r="DX28" s="2955"/>
      <c r="DY28" s="2955"/>
      <c r="DZ28" s="2955"/>
      <c r="EA28" s="2955"/>
      <c r="EB28" s="2955"/>
      <c r="EC28" s="2955"/>
      <c r="ED28" s="2955"/>
      <c r="EE28" s="2955"/>
      <c r="EF28" s="2955"/>
      <c r="EG28" s="2955"/>
      <c r="EH28" s="2955"/>
      <c r="EI28" s="2955"/>
      <c r="EJ28" s="2955"/>
      <c r="EK28" s="2955"/>
      <c r="EL28" s="2955"/>
      <c r="EM28" s="2955"/>
      <c r="EN28" s="2955"/>
      <c r="EO28" s="2955"/>
      <c r="EP28" s="2955"/>
      <c r="EQ28" s="2955"/>
      <c r="ER28" s="2955"/>
      <c r="ES28" s="2955"/>
      <c r="ET28" s="2955"/>
      <c r="EU28" s="2955"/>
      <c r="EV28" s="2955"/>
      <c r="EW28" s="2955"/>
      <c r="EX28" s="2955"/>
      <c r="EY28" s="2955"/>
      <c r="EZ28" s="2955"/>
      <c r="FA28" s="2955"/>
      <c r="FB28" s="2955"/>
      <c r="FC28" s="2955"/>
      <c r="FD28" s="2955"/>
      <c r="FE28" s="2955"/>
      <c r="FF28" s="2955"/>
      <c r="FG28" s="2955"/>
      <c r="FH28" s="2955"/>
      <c r="FI28" s="2955"/>
      <c r="FJ28" s="2955"/>
      <c r="FK28" s="2955"/>
      <c r="FL28" s="2955"/>
      <c r="FM28" s="2955"/>
      <c r="FN28" s="2955"/>
      <c r="FO28" s="2955"/>
      <c r="FP28" s="2955"/>
      <c r="FQ28" s="2955"/>
      <c r="FR28" s="2955"/>
      <c r="FS28" s="2955"/>
      <c r="FT28" s="2955"/>
      <c r="FU28" s="2955"/>
      <c r="FV28" s="2955"/>
      <c r="FW28" s="2955"/>
      <c r="FX28" s="2955"/>
      <c r="FY28" s="2955"/>
      <c r="FZ28" s="2955"/>
      <c r="GA28" s="2955"/>
      <c r="GB28" s="2955"/>
      <c r="GC28" s="2955"/>
      <c r="GD28" s="2955"/>
      <c r="GE28" s="2955"/>
      <c r="GF28" s="2955"/>
      <c r="GG28" s="2955"/>
      <c r="GH28" s="2955"/>
      <c r="GI28" s="2955"/>
      <c r="GJ28" s="2955"/>
      <c r="GK28" s="2955"/>
      <c r="GL28" s="2955"/>
      <c r="GM28" s="2955"/>
      <c r="GN28" s="2955"/>
      <c r="GO28" s="2955"/>
      <c r="GP28" s="2955"/>
      <c r="GQ28" s="2955"/>
      <c r="GR28" s="2955"/>
      <c r="GS28" s="2955"/>
      <c r="GT28" s="2955"/>
      <c r="GU28" s="2955"/>
      <c r="GV28" s="2955"/>
      <c r="GW28" s="2955"/>
      <c r="GX28" s="2955"/>
      <c r="GY28" s="2955"/>
      <c r="GZ28" s="2955"/>
      <c r="HA28" s="2955"/>
      <c r="HB28" s="2955"/>
      <c r="HC28" s="2955"/>
      <c r="HD28" s="2955"/>
      <c r="HE28" s="2955"/>
      <c r="HF28" s="2955"/>
      <c r="HG28" s="2955"/>
      <c r="HH28" s="2955"/>
      <c r="HI28" s="2955"/>
      <c r="HJ28" s="2955"/>
      <c r="HK28" s="2955"/>
      <c r="HL28" s="2955"/>
      <c r="HM28" s="2955"/>
      <c r="HN28" s="2955"/>
      <c r="HO28" s="2955"/>
      <c r="HP28" s="2955"/>
      <c r="HQ28" s="2955"/>
      <c r="HR28" s="2955"/>
      <c r="HS28" s="2955"/>
      <c r="HT28" s="2955"/>
      <c r="HU28" s="2955"/>
      <c r="HV28" s="2955"/>
      <c r="HW28" s="2955"/>
      <c r="HX28" s="2955"/>
      <c r="HY28" s="2955"/>
      <c r="HZ28" s="2955"/>
      <c r="IA28" s="2955"/>
      <c r="IB28" s="2955"/>
      <c r="IC28" s="2955"/>
      <c r="ID28" s="2955"/>
      <c r="IE28" s="2955"/>
      <c r="IF28" s="2955"/>
      <c r="IG28" s="2955"/>
      <c r="IH28" s="2955"/>
      <c r="II28" s="2955"/>
      <c r="IJ28" s="2955"/>
      <c r="IK28" s="2955"/>
      <c r="IL28" s="2955"/>
      <c r="IM28" s="2955"/>
      <c r="IN28" s="2955"/>
      <c r="IO28" s="2955"/>
      <c r="IP28" s="2955"/>
    </row>
    <row r="29" spans="1:250" s="2953" customFormat="1" ht="15" hidden="1" customHeight="1">
      <c r="A29" s="3344"/>
      <c r="B29" s="3329" t="s">
        <v>3172</v>
      </c>
      <c r="C29" s="3336" t="s">
        <v>3173</v>
      </c>
      <c r="D29" s="3337" t="s">
        <v>3174</v>
      </c>
      <c r="E29" s="3338" t="s">
        <v>3142</v>
      </c>
      <c r="F29" s="2956" t="s">
        <v>3143</v>
      </c>
      <c r="G29" s="3330" t="s">
        <v>3132</v>
      </c>
      <c r="H29" s="3333">
        <v>1040.3699999999999</v>
      </c>
      <c r="I29" s="2958" t="s">
        <v>3144</v>
      </c>
      <c r="J29" s="3333" t="s">
        <v>3145</v>
      </c>
      <c r="K29" s="2958"/>
      <c r="L29" s="2965">
        <v>626302.74</v>
      </c>
      <c r="M29" s="2965"/>
      <c r="N29" s="2965"/>
      <c r="O29" s="2964"/>
      <c r="P29" s="2964"/>
      <c r="Q29" s="2964"/>
      <c r="R29" s="2964"/>
      <c r="S29" s="2964"/>
      <c r="T29" s="2960">
        <f t="shared" si="0"/>
        <v>0</v>
      </c>
      <c r="U29" s="2969"/>
      <c r="V29" s="2969"/>
      <c r="W29" s="2955"/>
      <c r="X29" s="2955"/>
      <c r="Y29" s="2955"/>
      <c r="Z29" s="2955"/>
      <c r="AA29" s="2955"/>
      <c r="AB29" s="2955"/>
      <c r="AC29" s="2955"/>
      <c r="AD29" s="2955"/>
      <c r="AE29" s="2955"/>
      <c r="AF29" s="2955"/>
      <c r="AG29" s="2955"/>
      <c r="AH29" s="2955"/>
      <c r="AI29" s="2955"/>
      <c r="AJ29" s="2955"/>
      <c r="AK29" s="2955"/>
      <c r="AL29" s="2955"/>
      <c r="AM29" s="2955"/>
      <c r="AN29" s="2955"/>
      <c r="AO29" s="2955"/>
      <c r="AP29" s="2955"/>
      <c r="AQ29" s="2955"/>
      <c r="AR29" s="2955"/>
      <c r="AS29" s="2955"/>
      <c r="AT29" s="2955"/>
      <c r="AU29" s="2955"/>
      <c r="AV29" s="2955"/>
      <c r="AW29" s="2955"/>
      <c r="AX29" s="2955"/>
      <c r="AY29" s="2955"/>
      <c r="AZ29" s="2955"/>
      <c r="BA29" s="2955"/>
      <c r="BB29" s="2955"/>
      <c r="BC29" s="2955"/>
      <c r="BD29" s="2955"/>
      <c r="BE29" s="2955"/>
      <c r="BF29" s="2955"/>
      <c r="BG29" s="2955"/>
      <c r="BH29" s="2955"/>
      <c r="BI29" s="2955"/>
      <c r="BJ29" s="2955"/>
      <c r="BK29" s="2955"/>
      <c r="BL29" s="2955"/>
      <c r="BM29" s="2955"/>
      <c r="BN29" s="2955"/>
      <c r="BO29" s="2955"/>
      <c r="BP29" s="2955"/>
      <c r="BQ29" s="2955"/>
      <c r="BR29" s="2955"/>
      <c r="BS29" s="2955"/>
      <c r="BT29" s="2955"/>
      <c r="BU29" s="2955"/>
      <c r="BV29" s="2955"/>
      <c r="BW29" s="2955"/>
      <c r="BX29" s="2955"/>
      <c r="BY29" s="2955"/>
      <c r="BZ29" s="2955"/>
      <c r="CA29" s="2955"/>
      <c r="CB29" s="2955"/>
      <c r="CC29" s="2955"/>
      <c r="CD29" s="2955"/>
      <c r="CE29" s="2955"/>
      <c r="CF29" s="2955"/>
      <c r="CG29" s="2955"/>
      <c r="CH29" s="2955"/>
      <c r="CI29" s="2955"/>
      <c r="CJ29" s="2955"/>
      <c r="CK29" s="2955"/>
      <c r="CL29" s="2955"/>
      <c r="CM29" s="2955"/>
      <c r="CN29" s="2955"/>
      <c r="CO29" s="2955"/>
      <c r="CP29" s="2955"/>
      <c r="CQ29" s="2955"/>
      <c r="CR29" s="2955"/>
      <c r="CS29" s="2955"/>
      <c r="CT29" s="2955"/>
      <c r="CU29" s="2955"/>
      <c r="CV29" s="2955"/>
      <c r="CW29" s="2955"/>
      <c r="CX29" s="2955"/>
      <c r="CY29" s="2955"/>
      <c r="CZ29" s="2955"/>
      <c r="DA29" s="2955"/>
      <c r="DB29" s="2955"/>
      <c r="DC29" s="2955"/>
      <c r="DD29" s="2955"/>
      <c r="DE29" s="2955"/>
      <c r="DF29" s="2955"/>
      <c r="DG29" s="2955"/>
      <c r="DH29" s="2955"/>
      <c r="DI29" s="2955"/>
      <c r="DJ29" s="2955"/>
      <c r="DK29" s="2955"/>
      <c r="DL29" s="2955"/>
      <c r="DM29" s="2955"/>
      <c r="DN29" s="2955"/>
      <c r="DO29" s="2955"/>
      <c r="DP29" s="2955"/>
      <c r="DQ29" s="2955"/>
      <c r="DR29" s="2955"/>
      <c r="DS29" s="2955"/>
      <c r="DT29" s="2955"/>
      <c r="DU29" s="2955"/>
      <c r="DV29" s="2955"/>
      <c r="DW29" s="2955"/>
      <c r="DX29" s="2955"/>
      <c r="DY29" s="2955"/>
      <c r="DZ29" s="2955"/>
      <c r="EA29" s="2955"/>
      <c r="EB29" s="2955"/>
      <c r="EC29" s="2955"/>
      <c r="ED29" s="2955"/>
      <c r="EE29" s="2955"/>
      <c r="EF29" s="2955"/>
      <c r="EG29" s="2955"/>
      <c r="EH29" s="2955"/>
      <c r="EI29" s="2955"/>
      <c r="EJ29" s="2955"/>
      <c r="EK29" s="2955"/>
      <c r="EL29" s="2955"/>
      <c r="EM29" s="2955"/>
      <c r="EN29" s="2955"/>
      <c r="EO29" s="2955"/>
      <c r="EP29" s="2955"/>
      <c r="EQ29" s="2955"/>
      <c r="ER29" s="2955"/>
      <c r="ES29" s="2955"/>
      <c r="ET29" s="2955"/>
      <c r="EU29" s="2955"/>
      <c r="EV29" s="2955"/>
      <c r="EW29" s="2955"/>
      <c r="EX29" s="2955"/>
      <c r="EY29" s="2955"/>
      <c r="EZ29" s="2955"/>
      <c r="FA29" s="2955"/>
      <c r="FB29" s="2955"/>
      <c r="FC29" s="2955"/>
      <c r="FD29" s="2955"/>
      <c r="FE29" s="2955"/>
      <c r="FF29" s="2955"/>
      <c r="FG29" s="2955"/>
      <c r="FH29" s="2955"/>
      <c r="FI29" s="2955"/>
      <c r="FJ29" s="2955"/>
      <c r="FK29" s="2955"/>
      <c r="FL29" s="2955"/>
      <c r="FM29" s="2955"/>
      <c r="FN29" s="2955"/>
      <c r="FO29" s="2955"/>
      <c r="FP29" s="2955"/>
      <c r="FQ29" s="2955"/>
      <c r="FR29" s="2955"/>
      <c r="FS29" s="2955"/>
      <c r="FT29" s="2955"/>
      <c r="FU29" s="2955"/>
      <c r="FV29" s="2955"/>
      <c r="FW29" s="2955"/>
      <c r="FX29" s="2955"/>
      <c r="FY29" s="2955"/>
      <c r="FZ29" s="2955"/>
      <c r="GA29" s="2955"/>
      <c r="GB29" s="2955"/>
      <c r="GC29" s="2955"/>
      <c r="GD29" s="2955"/>
      <c r="GE29" s="2955"/>
      <c r="GF29" s="2955"/>
      <c r="GG29" s="2955"/>
      <c r="GH29" s="2955"/>
      <c r="GI29" s="2955"/>
      <c r="GJ29" s="2955"/>
      <c r="GK29" s="2955"/>
      <c r="GL29" s="2955"/>
      <c r="GM29" s="2955"/>
      <c r="GN29" s="2955"/>
      <c r="GO29" s="2955"/>
      <c r="GP29" s="2955"/>
      <c r="GQ29" s="2955"/>
      <c r="GR29" s="2955"/>
      <c r="GS29" s="2955"/>
      <c r="GT29" s="2955"/>
      <c r="GU29" s="2955"/>
      <c r="GV29" s="2955"/>
      <c r="GW29" s="2955"/>
      <c r="GX29" s="2955"/>
      <c r="GY29" s="2955"/>
      <c r="GZ29" s="2955"/>
      <c r="HA29" s="2955"/>
      <c r="HB29" s="2955"/>
      <c r="HC29" s="2955"/>
      <c r="HD29" s="2955"/>
      <c r="HE29" s="2955"/>
      <c r="HF29" s="2955"/>
      <c r="HG29" s="2955"/>
      <c r="HH29" s="2955"/>
      <c r="HI29" s="2955"/>
      <c r="HJ29" s="2955"/>
      <c r="HK29" s="2955"/>
      <c r="HL29" s="2955"/>
      <c r="HM29" s="2955"/>
      <c r="HN29" s="2955"/>
      <c r="HO29" s="2955"/>
      <c r="HP29" s="2955"/>
      <c r="HQ29" s="2955"/>
      <c r="HR29" s="2955"/>
      <c r="HS29" s="2955"/>
      <c r="HT29" s="2955"/>
      <c r="HU29" s="2955"/>
      <c r="HV29" s="2955"/>
      <c r="HW29" s="2955"/>
      <c r="HX29" s="2955"/>
      <c r="HY29" s="2955"/>
      <c r="HZ29" s="2955"/>
      <c r="IA29" s="2955"/>
      <c r="IB29" s="2955"/>
      <c r="IC29" s="2955"/>
      <c r="ID29" s="2955"/>
      <c r="IE29" s="2955"/>
      <c r="IF29" s="2955"/>
      <c r="IG29" s="2955"/>
      <c r="IH29" s="2955"/>
      <c r="II29" s="2955"/>
      <c r="IJ29" s="2955"/>
      <c r="IK29" s="2955"/>
      <c r="IL29" s="2955"/>
      <c r="IM29" s="2955"/>
      <c r="IN29" s="2955"/>
      <c r="IO29" s="2955"/>
      <c r="IP29" s="2955"/>
    </row>
    <row r="30" spans="1:250" s="2953" customFormat="1" ht="15" customHeight="1">
      <c r="A30" s="3344"/>
      <c r="B30" s="3329"/>
      <c r="C30" s="3336"/>
      <c r="D30" s="3337"/>
      <c r="E30" s="3338"/>
      <c r="F30" s="2956" t="s">
        <v>3146</v>
      </c>
      <c r="G30" s="3330"/>
      <c r="H30" s="3333"/>
      <c r="I30" s="2958" t="s">
        <v>3147</v>
      </c>
      <c r="J30" s="3333"/>
      <c r="K30" s="2958"/>
      <c r="L30" s="2965">
        <v>747193.73400000005</v>
      </c>
      <c r="M30" s="2965">
        <v>1439331.0876</v>
      </c>
      <c r="N30" s="2965">
        <v>688204.755</v>
      </c>
      <c r="O30" s="2964"/>
      <c r="P30" s="2964"/>
      <c r="Q30" s="2964"/>
      <c r="R30" s="2964"/>
      <c r="S30" s="2964"/>
      <c r="T30" s="2960">
        <f t="shared" si="0"/>
        <v>2127535.8426000001</v>
      </c>
      <c r="U30" s="3326">
        <f>T30+T31</f>
        <v>5295587.3370000003</v>
      </c>
      <c r="V30" s="3324">
        <f>U30/H29/1270</f>
        <v>4.0079527559055119</v>
      </c>
      <c r="W30" s="2955"/>
      <c r="X30" s="2955"/>
      <c r="Y30" s="2955"/>
      <c r="Z30" s="2955"/>
      <c r="AA30" s="2955"/>
      <c r="AB30" s="2955"/>
      <c r="AC30" s="2955"/>
      <c r="AD30" s="2955"/>
      <c r="AE30" s="2955"/>
      <c r="AF30" s="2955"/>
      <c r="AG30" s="2955"/>
      <c r="AH30" s="2955"/>
      <c r="AI30" s="2955"/>
      <c r="AJ30" s="2955"/>
      <c r="AK30" s="2955"/>
      <c r="AL30" s="2955"/>
      <c r="AM30" s="2955"/>
      <c r="AN30" s="2955"/>
      <c r="AO30" s="2955"/>
      <c r="AP30" s="2955"/>
      <c r="AQ30" s="2955"/>
      <c r="AR30" s="2955"/>
      <c r="AS30" s="2955"/>
      <c r="AT30" s="2955"/>
      <c r="AU30" s="2955"/>
      <c r="AV30" s="2955"/>
      <c r="AW30" s="2955"/>
      <c r="AX30" s="2955"/>
      <c r="AY30" s="2955"/>
      <c r="AZ30" s="2955"/>
      <c r="BA30" s="2955"/>
      <c r="BB30" s="2955"/>
      <c r="BC30" s="2955"/>
      <c r="BD30" s="2955"/>
      <c r="BE30" s="2955"/>
      <c r="BF30" s="2955"/>
      <c r="BG30" s="2955"/>
      <c r="BH30" s="2955"/>
      <c r="BI30" s="2955"/>
      <c r="BJ30" s="2955"/>
      <c r="BK30" s="2955"/>
      <c r="BL30" s="2955"/>
      <c r="BM30" s="2955"/>
      <c r="BN30" s="2955"/>
      <c r="BO30" s="2955"/>
      <c r="BP30" s="2955"/>
      <c r="BQ30" s="2955"/>
      <c r="BR30" s="2955"/>
      <c r="BS30" s="2955"/>
      <c r="BT30" s="2955"/>
      <c r="BU30" s="2955"/>
      <c r="BV30" s="2955"/>
      <c r="BW30" s="2955"/>
      <c r="BX30" s="2955"/>
      <c r="BY30" s="2955"/>
      <c r="BZ30" s="2955"/>
      <c r="CA30" s="2955"/>
      <c r="CB30" s="2955"/>
      <c r="CC30" s="2955"/>
      <c r="CD30" s="2955"/>
      <c r="CE30" s="2955"/>
      <c r="CF30" s="2955"/>
      <c r="CG30" s="2955"/>
      <c r="CH30" s="2955"/>
      <c r="CI30" s="2955"/>
      <c r="CJ30" s="2955"/>
      <c r="CK30" s="2955"/>
      <c r="CL30" s="2955"/>
      <c r="CM30" s="2955"/>
      <c r="CN30" s="2955"/>
      <c r="CO30" s="2955"/>
      <c r="CP30" s="2955"/>
      <c r="CQ30" s="2955"/>
      <c r="CR30" s="2955"/>
      <c r="CS30" s="2955"/>
      <c r="CT30" s="2955"/>
      <c r="CU30" s="2955"/>
      <c r="CV30" s="2955"/>
      <c r="CW30" s="2955"/>
      <c r="CX30" s="2955"/>
      <c r="CY30" s="2955"/>
      <c r="CZ30" s="2955"/>
      <c r="DA30" s="2955"/>
      <c r="DB30" s="2955"/>
      <c r="DC30" s="2955"/>
      <c r="DD30" s="2955"/>
      <c r="DE30" s="2955"/>
      <c r="DF30" s="2955"/>
      <c r="DG30" s="2955"/>
      <c r="DH30" s="2955"/>
      <c r="DI30" s="2955"/>
      <c r="DJ30" s="2955"/>
      <c r="DK30" s="2955"/>
      <c r="DL30" s="2955"/>
      <c r="DM30" s="2955"/>
      <c r="DN30" s="2955"/>
      <c r="DO30" s="2955"/>
      <c r="DP30" s="2955"/>
      <c r="DQ30" s="2955"/>
      <c r="DR30" s="2955"/>
      <c r="DS30" s="2955"/>
      <c r="DT30" s="2955"/>
      <c r="DU30" s="2955"/>
      <c r="DV30" s="2955"/>
      <c r="DW30" s="2955"/>
      <c r="DX30" s="2955"/>
      <c r="DY30" s="2955"/>
      <c r="DZ30" s="2955"/>
      <c r="EA30" s="2955"/>
      <c r="EB30" s="2955"/>
      <c r="EC30" s="2955"/>
      <c r="ED30" s="2955"/>
      <c r="EE30" s="2955"/>
      <c r="EF30" s="2955"/>
      <c r="EG30" s="2955"/>
      <c r="EH30" s="2955"/>
      <c r="EI30" s="2955"/>
      <c r="EJ30" s="2955"/>
      <c r="EK30" s="2955"/>
      <c r="EL30" s="2955"/>
      <c r="EM30" s="2955"/>
      <c r="EN30" s="2955"/>
      <c r="EO30" s="2955"/>
      <c r="EP30" s="2955"/>
      <c r="EQ30" s="2955"/>
      <c r="ER30" s="2955"/>
      <c r="ES30" s="2955"/>
      <c r="ET30" s="2955"/>
      <c r="EU30" s="2955"/>
      <c r="EV30" s="2955"/>
      <c r="EW30" s="2955"/>
      <c r="EX30" s="2955"/>
      <c r="EY30" s="2955"/>
      <c r="EZ30" s="2955"/>
      <c r="FA30" s="2955"/>
      <c r="FB30" s="2955"/>
      <c r="FC30" s="2955"/>
      <c r="FD30" s="2955"/>
      <c r="FE30" s="2955"/>
      <c r="FF30" s="2955"/>
      <c r="FG30" s="2955"/>
      <c r="FH30" s="2955"/>
      <c r="FI30" s="2955"/>
      <c r="FJ30" s="2955"/>
      <c r="FK30" s="2955"/>
      <c r="FL30" s="2955"/>
      <c r="FM30" s="2955"/>
      <c r="FN30" s="2955"/>
      <c r="FO30" s="2955"/>
      <c r="FP30" s="2955"/>
      <c r="FQ30" s="2955"/>
      <c r="FR30" s="2955"/>
      <c r="FS30" s="2955"/>
      <c r="FT30" s="2955"/>
      <c r="FU30" s="2955"/>
      <c r="FV30" s="2955"/>
      <c r="FW30" s="2955"/>
      <c r="FX30" s="2955"/>
      <c r="FY30" s="2955"/>
      <c r="FZ30" s="2955"/>
      <c r="GA30" s="2955"/>
      <c r="GB30" s="2955"/>
      <c r="GC30" s="2955"/>
      <c r="GD30" s="2955"/>
      <c r="GE30" s="2955"/>
      <c r="GF30" s="2955"/>
      <c r="GG30" s="2955"/>
      <c r="GH30" s="2955"/>
      <c r="GI30" s="2955"/>
      <c r="GJ30" s="2955"/>
      <c r="GK30" s="2955"/>
      <c r="GL30" s="2955"/>
      <c r="GM30" s="2955"/>
      <c r="GN30" s="2955"/>
      <c r="GO30" s="2955"/>
      <c r="GP30" s="2955"/>
      <c r="GQ30" s="2955"/>
      <c r="GR30" s="2955"/>
      <c r="GS30" s="2955"/>
      <c r="GT30" s="2955"/>
      <c r="GU30" s="2955"/>
      <c r="GV30" s="2955"/>
      <c r="GW30" s="2955"/>
      <c r="GX30" s="2955"/>
      <c r="GY30" s="2955"/>
      <c r="GZ30" s="2955"/>
      <c r="HA30" s="2955"/>
      <c r="HB30" s="2955"/>
      <c r="HC30" s="2955"/>
      <c r="HD30" s="2955"/>
      <c r="HE30" s="2955"/>
      <c r="HF30" s="2955"/>
      <c r="HG30" s="2955"/>
      <c r="HH30" s="2955"/>
      <c r="HI30" s="2955"/>
      <c r="HJ30" s="2955"/>
      <c r="HK30" s="2955"/>
      <c r="HL30" s="2955"/>
      <c r="HM30" s="2955"/>
      <c r="HN30" s="2955"/>
      <c r="HO30" s="2955"/>
      <c r="HP30" s="2955"/>
      <c r="HQ30" s="2955"/>
      <c r="HR30" s="2955"/>
      <c r="HS30" s="2955"/>
      <c r="HT30" s="2955"/>
      <c r="HU30" s="2955"/>
      <c r="HV30" s="2955"/>
      <c r="HW30" s="2955"/>
      <c r="HX30" s="2955"/>
      <c r="HY30" s="2955"/>
      <c r="HZ30" s="2955"/>
      <c r="IA30" s="2955"/>
      <c r="IB30" s="2955"/>
      <c r="IC30" s="2955"/>
      <c r="ID30" s="2955"/>
      <c r="IE30" s="2955"/>
      <c r="IF30" s="2955"/>
      <c r="IG30" s="2955"/>
      <c r="IH30" s="2955"/>
      <c r="II30" s="2955"/>
      <c r="IJ30" s="2955"/>
      <c r="IK30" s="2955"/>
      <c r="IL30" s="2955"/>
      <c r="IM30" s="2955"/>
      <c r="IN30" s="2955"/>
      <c r="IO30" s="2955"/>
      <c r="IP30" s="2955"/>
    </row>
    <row r="31" spans="1:250" s="2953" customFormat="1" ht="15" customHeight="1">
      <c r="A31" s="3344"/>
      <c r="B31" s="3329"/>
      <c r="C31" s="3336"/>
      <c r="D31" s="3337"/>
      <c r="E31" s="3338"/>
      <c r="F31" s="2956" t="s">
        <v>3148</v>
      </c>
      <c r="G31" s="3330"/>
      <c r="H31" s="3333"/>
      <c r="I31" s="2958" t="s">
        <v>3149</v>
      </c>
      <c r="J31" s="3333"/>
      <c r="K31" s="2958"/>
      <c r="L31" s="2965"/>
      <c r="M31" s="2965"/>
      <c r="N31" s="2965">
        <v>822308.44799999997</v>
      </c>
      <c r="O31" s="2964">
        <v>1584025.7472000001</v>
      </c>
      <c r="P31" s="2964">
        <v>761717.29920000001</v>
      </c>
      <c r="Q31" s="2964"/>
      <c r="R31" s="2964"/>
      <c r="S31" s="2964"/>
      <c r="T31" s="2960">
        <f t="shared" si="0"/>
        <v>3168051.4944000002</v>
      </c>
      <c r="U31" s="3327"/>
      <c r="V31" s="3325"/>
      <c r="W31" s="2955"/>
      <c r="X31" s="2955"/>
      <c r="Y31" s="2955"/>
      <c r="Z31" s="2955"/>
      <c r="AA31" s="2955"/>
      <c r="AB31" s="2955"/>
      <c r="AC31" s="2955"/>
      <c r="AD31" s="2955"/>
      <c r="AE31" s="2955"/>
      <c r="AF31" s="2955"/>
      <c r="AG31" s="2955"/>
      <c r="AH31" s="2955"/>
      <c r="AI31" s="2955"/>
      <c r="AJ31" s="2955"/>
      <c r="AK31" s="2955"/>
      <c r="AL31" s="2955"/>
      <c r="AM31" s="2955"/>
      <c r="AN31" s="2955"/>
      <c r="AO31" s="2955"/>
      <c r="AP31" s="2955"/>
      <c r="AQ31" s="2955"/>
      <c r="AR31" s="2955"/>
      <c r="AS31" s="2955"/>
      <c r="AT31" s="2955"/>
      <c r="AU31" s="2955"/>
      <c r="AV31" s="2955"/>
      <c r="AW31" s="2955"/>
      <c r="AX31" s="2955"/>
      <c r="AY31" s="2955"/>
      <c r="AZ31" s="2955"/>
      <c r="BA31" s="2955"/>
      <c r="BB31" s="2955"/>
      <c r="BC31" s="2955"/>
      <c r="BD31" s="2955"/>
      <c r="BE31" s="2955"/>
      <c r="BF31" s="2955"/>
      <c r="BG31" s="2955"/>
      <c r="BH31" s="2955"/>
      <c r="BI31" s="2955"/>
      <c r="BJ31" s="2955"/>
      <c r="BK31" s="2955"/>
      <c r="BL31" s="2955"/>
      <c r="BM31" s="2955"/>
      <c r="BN31" s="2955"/>
      <c r="BO31" s="2955"/>
      <c r="BP31" s="2955"/>
      <c r="BQ31" s="2955"/>
      <c r="BR31" s="2955"/>
      <c r="BS31" s="2955"/>
      <c r="BT31" s="2955"/>
      <c r="BU31" s="2955"/>
      <c r="BV31" s="2955"/>
      <c r="BW31" s="2955"/>
      <c r="BX31" s="2955"/>
      <c r="BY31" s="2955"/>
      <c r="BZ31" s="2955"/>
      <c r="CA31" s="2955"/>
      <c r="CB31" s="2955"/>
      <c r="CC31" s="2955"/>
      <c r="CD31" s="2955"/>
      <c r="CE31" s="2955"/>
      <c r="CF31" s="2955"/>
      <c r="CG31" s="2955"/>
      <c r="CH31" s="2955"/>
      <c r="CI31" s="2955"/>
      <c r="CJ31" s="2955"/>
      <c r="CK31" s="2955"/>
      <c r="CL31" s="2955"/>
      <c r="CM31" s="2955"/>
      <c r="CN31" s="2955"/>
      <c r="CO31" s="2955"/>
      <c r="CP31" s="2955"/>
      <c r="CQ31" s="2955"/>
      <c r="CR31" s="2955"/>
      <c r="CS31" s="2955"/>
      <c r="CT31" s="2955"/>
      <c r="CU31" s="2955"/>
      <c r="CV31" s="2955"/>
      <c r="CW31" s="2955"/>
      <c r="CX31" s="2955"/>
      <c r="CY31" s="2955"/>
      <c r="CZ31" s="2955"/>
      <c r="DA31" s="2955"/>
      <c r="DB31" s="2955"/>
      <c r="DC31" s="2955"/>
      <c r="DD31" s="2955"/>
      <c r="DE31" s="2955"/>
      <c r="DF31" s="2955"/>
      <c r="DG31" s="2955"/>
      <c r="DH31" s="2955"/>
      <c r="DI31" s="2955"/>
      <c r="DJ31" s="2955"/>
      <c r="DK31" s="2955"/>
      <c r="DL31" s="2955"/>
      <c r="DM31" s="2955"/>
      <c r="DN31" s="2955"/>
      <c r="DO31" s="2955"/>
      <c r="DP31" s="2955"/>
      <c r="DQ31" s="2955"/>
      <c r="DR31" s="2955"/>
      <c r="DS31" s="2955"/>
      <c r="DT31" s="2955"/>
      <c r="DU31" s="2955"/>
      <c r="DV31" s="2955"/>
      <c r="DW31" s="2955"/>
      <c r="DX31" s="2955"/>
      <c r="DY31" s="2955"/>
      <c r="DZ31" s="2955"/>
      <c r="EA31" s="2955"/>
      <c r="EB31" s="2955"/>
      <c r="EC31" s="2955"/>
      <c r="ED31" s="2955"/>
      <c r="EE31" s="2955"/>
      <c r="EF31" s="2955"/>
      <c r="EG31" s="2955"/>
      <c r="EH31" s="2955"/>
      <c r="EI31" s="2955"/>
      <c r="EJ31" s="2955"/>
      <c r="EK31" s="2955"/>
      <c r="EL31" s="2955"/>
      <c r="EM31" s="2955"/>
      <c r="EN31" s="2955"/>
      <c r="EO31" s="2955"/>
      <c r="EP31" s="2955"/>
      <c r="EQ31" s="2955"/>
      <c r="ER31" s="2955"/>
      <c r="ES31" s="2955"/>
      <c r="ET31" s="2955"/>
      <c r="EU31" s="2955"/>
      <c r="EV31" s="2955"/>
      <c r="EW31" s="2955"/>
      <c r="EX31" s="2955"/>
      <c r="EY31" s="2955"/>
      <c r="EZ31" s="2955"/>
      <c r="FA31" s="2955"/>
      <c r="FB31" s="2955"/>
      <c r="FC31" s="2955"/>
      <c r="FD31" s="2955"/>
      <c r="FE31" s="2955"/>
      <c r="FF31" s="2955"/>
      <c r="FG31" s="2955"/>
      <c r="FH31" s="2955"/>
      <c r="FI31" s="2955"/>
      <c r="FJ31" s="2955"/>
      <c r="FK31" s="2955"/>
      <c r="FL31" s="2955"/>
      <c r="FM31" s="2955"/>
      <c r="FN31" s="2955"/>
      <c r="FO31" s="2955"/>
      <c r="FP31" s="2955"/>
      <c r="FQ31" s="2955"/>
      <c r="FR31" s="2955"/>
      <c r="FS31" s="2955"/>
      <c r="FT31" s="2955"/>
      <c r="FU31" s="2955"/>
      <c r="FV31" s="2955"/>
      <c r="FW31" s="2955"/>
      <c r="FX31" s="2955"/>
      <c r="FY31" s="2955"/>
      <c r="FZ31" s="2955"/>
      <c r="GA31" s="2955"/>
      <c r="GB31" s="2955"/>
      <c r="GC31" s="2955"/>
      <c r="GD31" s="2955"/>
      <c r="GE31" s="2955"/>
      <c r="GF31" s="2955"/>
      <c r="GG31" s="2955"/>
      <c r="GH31" s="2955"/>
      <c r="GI31" s="2955"/>
      <c r="GJ31" s="2955"/>
      <c r="GK31" s="2955"/>
      <c r="GL31" s="2955"/>
      <c r="GM31" s="2955"/>
      <c r="GN31" s="2955"/>
      <c r="GO31" s="2955"/>
      <c r="GP31" s="2955"/>
      <c r="GQ31" s="2955"/>
      <c r="GR31" s="2955"/>
      <c r="GS31" s="2955"/>
      <c r="GT31" s="2955"/>
      <c r="GU31" s="2955"/>
      <c r="GV31" s="2955"/>
      <c r="GW31" s="2955"/>
      <c r="GX31" s="2955"/>
      <c r="GY31" s="2955"/>
      <c r="GZ31" s="2955"/>
      <c r="HA31" s="2955"/>
      <c r="HB31" s="2955"/>
      <c r="HC31" s="2955"/>
      <c r="HD31" s="2955"/>
      <c r="HE31" s="2955"/>
      <c r="HF31" s="2955"/>
      <c r="HG31" s="2955"/>
      <c r="HH31" s="2955"/>
      <c r="HI31" s="2955"/>
      <c r="HJ31" s="2955"/>
      <c r="HK31" s="2955"/>
      <c r="HL31" s="2955"/>
      <c r="HM31" s="2955"/>
      <c r="HN31" s="2955"/>
      <c r="HO31" s="2955"/>
      <c r="HP31" s="2955"/>
      <c r="HQ31" s="2955"/>
      <c r="HR31" s="2955"/>
      <c r="HS31" s="2955"/>
      <c r="HT31" s="2955"/>
      <c r="HU31" s="2955"/>
      <c r="HV31" s="2955"/>
      <c r="HW31" s="2955"/>
      <c r="HX31" s="2955"/>
      <c r="HY31" s="2955"/>
      <c r="HZ31" s="2955"/>
      <c r="IA31" s="2955"/>
      <c r="IB31" s="2955"/>
      <c r="IC31" s="2955"/>
      <c r="ID31" s="2955"/>
      <c r="IE31" s="2955"/>
      <c r="IF31" s="2955"/>
      <c r="IG31" s="2955"/>
      <c r="IH31" s="2955"/>
      <c r="II31" s="2955"/>
      <c r="IJ31" s="2955"/>
      <c r="IK31" s="2955"/>
      <c r="IL31" s="2955"/>
      <c r="IM31" s="2955"/>
      <c r="IN31" s="2955"/>
      <c r="IO31" s="2955"/>
      <c r="IP31" s="2955"/>
    </row>
    <row r="32" spans="1:250" s="2953" customFormat="1" ht="15" hidden="1" customHeight="1">
      <c r="A32" s="3344"/>
      <c r="B32" s="3329" t="s">
        <v>3175</v>
      </c>
      <c r="C32" s="3336" t="s">
        <v>3176</v>
      </c>
      <c r="D32" s="3337" t="s">
        <v>3174</v>
      </c>
      <c r="E32" s="3338" t="s">
        <v>3142</v>
      </c>
      <c r="F32" s="2956" t="s">
        <v>3143</v>
      </c>
      <c r="G32" s="3330" t="s">
        <v>3132</v>
      </c>
      <c r="H32" s="3333">
        <v>1040.3699999999999</v>
      </c>
      <c r="I32" s="2958" t="s">
        <v>3144</v>
      </c>
      <c r="J32" s="3333" t="s">
        <v>3145</v>
      </c>
      <c r="K32" s="2958"/>
      <c r="L32" s="2965">
        <v>626302.74</v>
      </c>
      <c r="M32" s="2965"/>
      <c r="N32" s="2965"/>
      <c r="O32" s="2964"/>
      <c r="P32" s="2964"/>
      <c r="Q32" s="2964"/>
      <c r="R32" s="2964"/>
      <c r="S32" s="2964"/>
      <c r="T32" s="2960">
        <f t="shared" si="0"/>
        <v>0</v>
      </c>
      <c r="U32" s="2969"/>
      <c r="V32" s="2969"/>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c r="DT32" s="2955"/>
      <c r="DU32" s="2955"/>
      <c r="DV32" s="2955"/>
      <c r="DW32" s="2955"/>
      <c r="DX32" s="2955"/>
      <c r="DY32" s="2955"/>
      <c r="DZ32" s="2955"/>
      <c r="EA32" s="2955"/>
      <c r="EB32" s="2955"/>
      <c r="EC32" s="2955"/>
      <c r="ED32" s="2955"/>
      <c r="EE32" s="2955"/>
      <c r="EF32" s="2955"/>
      <c r="EG32" s="2955"/>
      <c r="EH32" s="2955"/>
      <c r="EI32" s="2955"/>
      <c r="EJ32" s="2955"/>
      <c r="EK32" s="2955"/>
      <c r="EL32" s="2955"/>
      <c r="EM32" s="2955"/>
      <c r="EN32" s="2955"/>
      <c r="EO32" s="2955"/>
      <c r="EP32" s="2955"/>
      <c r="EQ32" s="2955"/>
      <c r="ER32" s="2955"/>
      <c r="ES32" s="2955"/>
      <c r="ET32" s="2955"/>
      <c r="EU32" s="2955"/>
      <c r="EV32" s="2955"/>
      <c r="EW32" s="2955"/>
      <c r="EX32" s="2955"/>
      <c r="EY32" s="2955"/>
      <c r="EZ32" s="2955"/>
      <c r="FA32" s="2955"/>
      <c r="FB32" s="2955"/>
      <c r="FC32" s="2955"/>
      <c r="FD32" s="2955"/>
      <c r="FE32" s="2955"/>
      <c r="FF32" s="2955"/>
      <c r="FG32" s="2955"/>
      <c r="FH32" s="2955"/>
      <c r="FI32" s="2955"/>
      <c r="FJ32" s="2955"/>
      <c r="FK32" s="2955"/>
      <c r="FL32" s="2955"/>
      <c r="FM32" s="2955"/>
      <c r="FN32" s="2955"/>
      <c r="FO32" s="2955"/>
      <c r="FP32" s="2955"/>
      <c r="FQ32" s="2955"/>
      <c r="FR32" s="2955"/>
      <c r="FS32" s="2955"/>
      <c r="FT32" s="2955"/>
      <c r="FU32" s="2955"/>
      <c r="FV32" s="2955"/>
      <c r="FW32" s="2955"/>
      <c r="FX32" s="2955"/>
      <c r="FY32" s="2955"/>
      <c r="FZ32" s="2955"/>
      <c r="GA32" s="2955"/>
      <c r="GB32" s="2955"/>
      <c r="GC32" s="2955"/>
      <c r="GD32" s="2955"/>
      <c r="GE32" s="2955"/>
      <c r="GF32" s="2955"/>
      <c r="GG32" s="2955"/>
      <c r="GH32" s="2955"/>
      <c r="GI32" s="2955"/>
      <c r="GJ32" s="2955"/>
      <c r="GK32" s="2955"/>
      <c r="GL32" s="2955"/>
      <c r="GM32" s="2955"/>
      <c r="GN32" s="2955"/>
      <c r="GO32" s="2955"/>
      <c r="GP32" s="2955"/>
      <c r="GQ32" s="2955"/>
      <c r="GR32" s="2955"/>
      <c r="GS32" s="2955"/>
      <c r="GT32" s="2955"/>
      <c r="GU32" s="2955"/>
      <c r="GV32" s="2955"/>
      <c r="GW32" s="2955"/>
      <c r="GX32" s="2955"/>
      <c r="GY32" s="2955"/>
      <c r="GZ32" s="2955"/>
      <c r="HA32" s="2955"/>
      <c r="HB32" s="2955"/>
      <c r="HC32" s="2955"/>
      <c r="HD32" s="2955"/>
      <c r="HE32" s="2955"/>
      <c r="HF32" s="2955"/>
      <c r="HG32" s="2955"/>
      <c r="HH32" s="2955"/>
      <c r="HI32" s="2955"/>
      <c r="HJ32" s="2955"/>
      <c r="HK32" s="2955"/>
      <c r="HL32" s="2955"/>
      <c r="HM32" s="2955"/>
      <c r="HN32" s="2955"/>
      <c r="HO32" s="2955"/>
      <c r="HP32" s="2955"/>
      <c r="HQ32" s="2955"/>
      <c r="HR32" s="2955"/>
      <c r="HS32" s="2955"/>
      <c r="HT32" s="2955"/>
      <c r="HU32" s="2955"/>
      <c r="HV32" s="2955"/>
      <c r="HW32" s="2955"/>
      <c r="HX32" s="2955"/>
      <c r="HY32" s="2955"/>
      <c r="HZ32" s="2955"/>
      <c r="IA32" s="2955"/>
      <c r="IB32" s="2955"/>
      <c r="IC32" s="2955"/>
      <c r="ID32" s="2955"/>
      <c r="IE32" s="2955"/>
      <c r="IF32" s="2955"/>
      <c r="IG32" s="2955"/>
      <c r="IH32" s="2955"/>
      <c r="II32" s="2955"/>
      <c r="IJ32" s="2955"/>
      <c r="IK32" s="2955"/>
      <c r="IL32" s="2955"/>
      <c r="IM32" s="2955"/>
      <c r="IN32" s="2955"/>
      <c r="IO32" s="2955"/>
      <c r="IP32" s="2955"/>
    </row>
    <row r="33" spans="1:250" s="2953" customFormat="1" ht="15" customHeight="1">
      <c r="A33" s="3344"/>
      <c r="B33" s="3329"/>
      <c r="C33" s="3336"/>
      <c r="D33" s="3337"/>
      <c r="E33" s="3338"/>
      <c r="F33" s="2956" t="s">
        <v>3146</v>
      </c>
      <c r="G33" s="3330"/>
      <c r="H33" s="3333"/>
      <c r="I33" s="2958" t="s">
        <v>3147</v>
      </c>
      <c r="J33" s="3333"/>
      <c r="K33" s="2958"/>
      <c r="L33" s="2965">
        <v>747193.73400000005</v>
      </c>
      <c r="M33" s="2965">
        <v>1439331.0876</v>
      </c>
      <c r="N33" s="2965">
        <v>688204.755</v>
      </c>
      <c r="O33" s="2964"/>
      <c r="P33" s="2964"/>
      <c r="Q33" s="2964"/>
      <c r="R33" s="2964"/>
      <c r="S33" s="2964"/>
      <c r="T33" s="2960">
        <f t="shared" si="0"/>
        <v>2127535.8426000001</v>
      </c>
      <c r="U33" s="3326">
        <f>T33+T34</f>
        <v>5295587.3370000003</v>
      </c>
      <c r="V33" s="3324">
        <f>U33/H32/1270</f>
        <v>4.0079527559055119</v>
      </c>
      <c r="W33" s="2955"/>
      <c r="X33" s="2955"/>
      <c r="Y33" s="2955"/>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5"/>
      <c r="AZ33" s="2955"/>
      <c r="BA33" s="2955"/>
      <c r="BB33" s="2955"/>
      <c r="BC33" s="2955"/>
      <c r="BD33" s="2955"/>
      <c r="BE33" s="2955"/>
      <c r="BF33" s="2955"/>
      <c r="BG33" s="2955"/>
      <c r="BH33" s="2955"/>
      <c r="BI33" s="2955"/>
      <c r="BJ33" s="2955"/>
      <c r="BK33" s="2955"/>
      <c r="BL33" s="2955"/>
      <c r="BM33" s="2955"/>
      <c r="BN33" s="2955"/>
      <c r="BO33" s="2955"/>
      <c r="BP33" s="2955"/>
      <c r="BQ33" s="2955"/>
      <c r="BR33" s="2955"/>
      <c r="BS33" s="2955"/>
      <c r="BT33" s="2955"/>
      <c r="BU33" s="2955"/>
      <c r="BV33" s="2955"/>
      <c r="BW33" s="2955"/>
      <c r="BX33" s="2955"/>
      <c r="BY33" s="2955"/>
      <c r="BZ33" s="2955"/>
      <c r="CA33" s="2955"/>
      <c r="CB33" s="2955"/>
      <c r="CC33" s="2955"/>
      <c r="CD33" s="2955"/>
      <c r="CE33" s="2955"/>
      <c r="CF33" s="2955"/>
      <c r="CG33" s="2955"/>
      <c r="CH33" s="2955"/>
      <c r="CI33" s="2955"/>
      <c r="CJ33" s="2955"/>
      <c r="CK33" s="2955"/>
      <c r="CL33" s="2955"/>
      <c r="CM33" s="2955"/>
      <c r="CN33" s="2955"/>
      <c r="CO33" s="2955"/>
      <c r="CP33" s="2955"/>
      <c r="CQ33" s="2955"/>
      <c r="CR33" s="2955"/>
      <c r="CS33" s="2955"/>
      <c r="CT33" s="2955"/>
      <c r="CU33" s="2955"/>
      <c r="CV33" s="2955"/>
      <c r="CW33" s="2955"/>
      <c r="CX33" s="2955"/>
      <c r="CY33" s="2955"/>
      <c r="CZ33" s="2955"/>
      <c r="DA33" s="2955"/>
      <c r="DB33" s="2955"/>
      <c r="DC33" s="2955"/>
      <c r="DD33" s="2955"/>
      <c r="DE33" s="2955"/>
      <c r="DF33" s="2955"/>
      <c r="DG33" s="2955"/>
      <c r="DH33" s="2955"/>
      <c r="DI33" s="2955"/>
      <c r="DJ33" s="2955"/>
      <c r="DK33" s="2955"/>
      <c r="DL33" s="2955"/>
      <c r="DM33" s="2955"/>
      <c r="DN33" s="2955"/>
      <c r="DO33" s="2955"/>
      <c r="DP33" s="2955"/>
      <c r="DQ33" s="2955"/>
      <c r="DR33" s="2955"/>
      <c r="DS33" s="2955"/>
      <c r="DT33" s="2955"/>
      <c r="DU33" s="2955"/>
      <c r="DV33" s="2955"/>
      <c r="DW33" s="2955"/>
      <c r="DX33" s="2955"/>
      <c r="DY33" s="2955"/>
      <c r="DZ33" s="2955"/>
      <c r="EA33" s="2955"/>
      <c r="EB33" s="2955"/>
      <c r="EC33" s="2955"/>
      <c r="ED33" s="2955"/>
      <c r="EE33" s="2955"/>
      <c r="EF33" s="2955"/>
      <c r="EG33" s="2955"/>
      <c r="EH33" s="2955"/>
      <c r="EI33" s="2955"/>
      <c r="EJ33" s="2955"/>
      <c r="EK33" s="2955"/>
      <c r="EL33" s="2955"/>
      <c r="EM33" s="2955"/>
      <c r="EN33" s="2955"/>
      <c r="EO33" s="2955"/>
      <c r="EP33" s="2955"/>
      <c r="EQ33" s="2955"/>
      <c r="ER33" s="2955"/>
      <c r="ES33" s="2955"/>
      <c r="ET33" s="2955"/>
      <c r="EU33" s="2955"/>
      <c r="EV33" s="2955"/>
      <c r="EW33" s="2955"/>
      <c r="EX33" s="2955"/>
      <c r="EY33" s="2955"/>
      <c r="EZ33" s="2955"/>
      <c r="FA33" s="2955"/>
      <c r="FB33" s="2955"/>
      <c r="FC33" s="2955"/>
      <c r="FD33" s="2955"/>
      <c r="FE33" s="2955"/>
      <c r="FF33" s="2955"/>
      <c r="FG33" s="2955"/>
      <c r="FH33" s="2955"/>
      <c r="FI33" s="2955"/>
      <c r="FJ33" s="2955"/>
      <c r="FK33" s="2955"/>
      <c r="FL33" s="2955"/>
      <c r="FM33" s="2955"/>
      <c r="FN33" s="2955"/>
      <c r="FO33" s="2955"/>
      <c r="FP33" s="2955"/>
      <c r="FQ33" s="2955"/>
      <c r="FR33" s="2955"/>
      <c r="FS33" s="2955"/>
      <c r="FT33" s="2955"/>
      <c r="FU33" s="2955"/>
      <c r="FV33" s="2955"/>
      <c r="FW33" s="2955"/>
      <c r="FX33" s="2955"/>
      <c r="FY33" s="2955"/>
      <c r="FZ33" s="2955"/>
      <c r="GA33" s="2955"/>
      <c r="GB33" s="2955"/>
      <c r="GC33" s="2955"/>
      <c r="GD33" s="2955"/>
      <c r="GE33" s="2955"/>
      <c r="GF33" s="2955"/>
      <c r="GG33" s="2955"/>
      <c r="GH33" s="2955"/>
      <c r="GI33" s="2955"/>
      <c r="GJ33" s="2955"/>
      <c r="GK33" s="2955"/>
      <c r="GL33" s="2955"/>
      <c r="GM33" s="2955"/>
      <c r="GN33" s="2955"/>
      <c r="GO33" s="2955"/>
      <c r="GP33" s="2955"/>
      <c r="GQ33" s="2955"/>
      <c r="GR33" s="2955"/>
      <c r="GS33" s="2955"/>
      <c r="GT33" s="2955"/>
      <c r="GU33" s="2955"/>
      <c r="GV33" s="2955"/>
      <c r="GW33" s="2955"/>
      <c r="GX33" s="2955"/>
      <c r="GY33" s="2955"/>
      <c r="GZ33" s="2955"/>
      <c r="HA33" s="2955"/>
      <c r="HB33" s="2955"/>
      <c r="HC33" s="2955"/>
      <c r="HD33" s="2955"/>
      <c r="HE33" s="2955"/>
      <c r="HF33" s="2955"/>
      <c r="HG33" s="2955"/>
      <c r="HH33" s="2955"/>
      <c r="HI33" s="2955"/>
      <c r="HJ33" s="2955"/>
      <c r="HK33" s="2955"/>
      <c r="HL33" s="2955"/>
      <c r="HM33" s="2955"/>
      <c r="HN33" s="2955"/>
      <c r="HO33" s="2955"/>
      <c r="HP33" s="2955"/>
      <c r="HQ33" s="2955"/>
      <c r="HR33" s="2955"/>
      <c r="HS33" s="2955"/>
      <c r="HT33" s="2955"/>
      <c r="HU33" s="2955"/>
      <c r="HV33" s="2955"/>
      <c r="HW33" s="2955"/>
      <c r="HX33" s="2955"/>
      <c r="HY33" s="2955"/>
      <c r="HZ33" s="2955"/>
      <c r="IA33" s="2955"/>
      <c r="IB33" s="2955"/>
      <c r="IC33" s="2955"/>
      <c r="ID33" s="2955"/>
      <c r="IE33" s="2955"/>
      <c r="IF33" s="2955"/>
      <c r="IG33" s="2955"/>
      <c r="IH33" s="2955"/>
      <c r="II33" s="2955"/>
      <c r="IJ33" s="2955"/>
      <c r="IK33" s="2955"/>
      <c r="IL33" s="2955"/>
      <c r="IM33" s="2955"/>
      <c r="IN33" s="2955"/>
      <c r="IO33" s="2955"/>
      <c r="IP33" s="2955"/>
    </row>
    <row r="34" spans="1:250" s="2953" customFormat="1" ht="15.95" customHeight="1">
      <c r="A34" s="3344"/>
      <c r="B34" s="3329"/>
      <c r="C34" s="3336"/>
      <c r="D34" s="3337"/>
      <c r="E34" s="3338"/>
      <c r="F34" s="2956" t="s">
        <v>3148</v>
      </c>
      <c r="G34" s="3330"/>
      <c r="H34" s="3333"/>
      <c r="I34" s="2958" t="s">
        <v>3149</v>
      </c>
      <c r="J34" s="3333"/>
      <c r="K34" s="2958"/>
      <c r="L34" s="2965"/>
      <c r="M34" s="2965"/>
      <c r="N34" s="2965">
        <v>822308.44799999997</v>
      </c>
      <c r="O34" s="2964">
        <v>1584025.7472000001</v>
      </c>
      <c r="P34" s="2964">
        <v>761717.29920000001</v>
      </c>
      <c r="Q34" s="2964"/>
      <c r="R34" s="2964"/>
      <c r="S34" s="2964"/>
      <c r="T34" s="2960">
        <f t="shared" si="0"/>
        <v>3168051.4944000002</v>
      </c>
      <c r="U34" s="3327"/>
      <c r="V34" s="3325"/>
      <c r="W34" s="2955"/>
      <c r="X34" s="2955"/>
      <c r="Y34" s="2955"/>
      <c r="Z34" s="2955"/>
      <c r="AA34" s="2955"/>
      <c r="AB34" s="2955"/>
      <c r="AC34" s="2955"/>
      <c r="AD34" s="2955"/>
      <c r="AE34" s="2955"/>
      <c r="AF34" s="2955"/>
      <c r="AG34" s="2955"/>
      <c r="AH34" s="2955"/>
      <c r="AI34" s="2955"/>
      <c r="AJ34" s="2955"/>
      <c r="AK34" s="2955"/>
      <c r="AL34" s="2955"/>
      <c r="AM34" s="2955"/>
      <c r="AN34" s="2955"/>
      <c r="AO34" s="2955"/>
      <c r="AP34" s="2955"/>
      <c r="AQ34" s="2955"/>
      <c r="AR34" s="2955"/>
      <c r="AS34" s="2955"/>
      <c r="AT34" s="2955"/>
      <c r="AU34" s="2955"/>
      <c r="AV34" s="2955"/>
      <c r="AW34" s="2955"/>
      <c r="AX34" s="2955"/>
      <c r="AY34" s="2955"/>
      <c r="AZ34" s="2955"/>
      <c r="BA34" s="2955"/>
      <c r="BB34" s="2955"/>
      <c r="BC34" s="2955"/>
      <c r="BD34" s="2955"/>
      <c r="BE34" s="2955"/>
      <c r="BF34" s="2955"/>
      <c r="BG34" s="2955"/>
      <c r="BH34" s="2955"/>
      <c r="BI34" s="2955"/>
      <c r="BJ34" s="2955"/>
      <c r="BK34" s="2955"/>
      <c r="BL34" s="2955"/>
      <c r="BM34" s="2955"/>
      <c r="BN34" s="2955"/>
      <c r="BO34" s="2955"/>
      <c r="BP34" s="2955"/>
      <c r="BQ34" s="2955"/>
      <c r="BR34" s="2955"/>
      <c r="BS34" s="2955"/>
      <c r="BT34" s="2955"/>
      <c r="BU34" s="2955"/>
      <c r="BV34" s="2955"/>
      <c r="BW34" s="2955"/>
      <c r="BX34" s="2955"/>
      <c r="BY34" s="2955"/>
      <c r="BZ34" s="2955"/>
      <c r="CA34" s="2955"/>
      <c r="CB34" s="2955"/>
      <c r="CC34" s="2955"/>
      <c r="CD34" s="2955"/>
      <c r="CE34" s="2955"/>
      <c r="CF34" s="2955"/>
      <c r="CG34" s="2955"/>
      <c r="CH34" s="2955"/>
      <c r="CI34" s="2955"/>
      <c r="CJ34" s="2955"/>
      <c r="CK34" s="2955"/>
      <c r="CL34" s="2955"/>
      <c r="CM34" s="2955"/>
      <c r="CN34" s="2955"/>
      <c r="CO34" s="2955"/>
      <c r="CP34" s="2955"/>
      <c r="CQ34" s="2955"/>
      <c r="CR34" s="2955"/>
      <c r="CS34" s="2955"/>
      <c r="CT34" s="2955"/>
      <c r="CU34" s="2955"/>
      <c r="CV34" s="2955"/>
      <c r="CW34" s="2955"/>
      <c r="CX34" s="2955"/>
      <c r="CY34" s="2955"/>
      <c r="CZ34" s="2955"/>
      <c r="DA34" s="2955"/>
      <c r="DB34" s="2955"/>
      <c r="DC34" s="2955"/>
      <c r="DD34" s="2955"/>
      <c r="DE34" s="2955"/>
      <c r="DF34" s="2955"/>
      <c r="DG34" s="2955"/>
      <c r="DH34" s="2955"/>
      <c r="DI34" s="2955"/>
      <c r="DJ34" s="2955"/>
      <c r="DK34" s="2955"/>
      <c r="DL34" s="2955"/>
      <c r="DM34" s="2955"/>
      <c r="DN34" s="2955"/>
      <c r="DO34" s="2955"/>
      <c r="DP34" s="2955"/>
      <c r="DQ34" s="2955"/>
      <c r="DR34" s="2955"/>
      <c r="DS34" s="2955"/>
      <c r="DT34" s="2955"/>
      <c r="DU34" s="2955"/>
      <c r="DV34" s="2955"/>
      <c r="DW34" s="2955"/>
      <c r="DX34" s="2955"/>
      <c r="DY34" s="2955"/>
      <c r="DZ34" s="2955"/>
      <c r="EA34" s="2955"/>
      <c r="EB34" s="2955"/>
      <c r="EC34" s="2955"/>
      <c r="ED34" s="2955"/>
      <c r="EE34" s="2955"/>
      <c r="EF34" s="2955"/>
      <c r="EG34" s="2955"/>
      <c r="EH34" s="2955"/>
      <c r="EI34" s="2955"/>
      <c r="EJ34" s="2955"/>
      <c r="EK34" s="2955"/>
      <c r="EL34" s="2955"/>
      <c r="EM34" s="2955"/>
      <c r="EN34" s="2955"/>
      <c r="EO34" s="2955"/>
      <c r="EP34" s="2955"/>
      <c r="EQ34" s="2955"/>
      <c r="ER34" s="2955"/>
      <c r="ES34" s="2955"/>
      <c r="ET34" s="2955"/>
      <c r="EU34" s="2955"/>
      <c r="EV34" s="2955"/>
      <c r="EW34" s="2955"/>
      <c r="EX34" s="2955"/>
      <c r="EY34" s="2955"/>
      <c r="EZ34" s="2955"/>
      <c r="FA34" s="2955"/>
      <c r="FB34" s="2955"/>
      <c r="FC34" s="2955"/>
      <c r="FD34" s="2955"/>
      <c r="FE34" s="2955"/>
      <c r="FF34" s="2955"/>
      <c r="FG34" s="2955"/>
      <c r="FH34" s="2955"/>
      <c r="FI34" s="2955"/>
      <c r="FJ34" s="2955"/>
      <c r="FK34" s="2955"/>
      <c r="FL34" s="2955"/>
      <c r="FM34" s="2955"/>
      <c r="FN34" s="2955"/>
      <c r="FO34" s="2955"/>
      <c r="FP34" s="2955"/>
      <c r="FQ34" s="2955"/>
      <c r="FR34" s="2955"/>
      <c r="FS34" s="2955"/>
      <c r="FT34" s="2955"/>
      <c r="FU34" s="2955"/>
      <c r="FV34" s="2955"/>
      <c r="FW34" s="2955"/>
      <c r="FX34" s="2955"/>
      <c r="FY34" s="2955"/>
      <c r="FZ34" s="2955"/>
      <c r="GA34" s="2955"/>
      <c r="GB34" s="2955"/>
      <c r="GC34" s="2955"/>
      <c r="GD34" s="2955"/>
      <c r="GE34" s="2955"/>
      <c r="GF34" s="2955"/>
      <c r="GG34" s="2955"/>
      <c r="GH34" s="2955"/>
      <c r="GI34" s="2955"/>
      <c r="GJ34" s="2955"/>
      <c r="GK34" s="2955"/>
      <c r="GL34" s="2955"/>
      <c r="GM34" s="2955"/>
      <c r="GN34" s="2955"/>
      <c r="GO34" s="2955"/>
      <c r="GP34" s="2955"/>
      <c r="GQ34" s="2955"/>
      <c r="GR34" s="2955"/>
      <c r="GS34" s="2955"/>
      <c r="GT34" s="2955"/>
      <c r="GU34" s="2955"/>
      <c r="GV34" s="2955"/>
      <c r="GW34" s="2955"/>
      <c r="GX34" s="2955"/>
      <c r="GY34" s="2955"/>
      <c r="GZ34" s="2955"/>
      <c r="HA34" s="2955"/>
      <c r="HB34" s="2955"/>
      <c r="HC34" s="2955"/>
      <c r="HD34" s="2955"/>
      <c r="HE34" s="2955"/>
      <c r="HF34" s="2955"/>
      <c r="HG34" s="2955"/>
      <c r="HH34" s="2955"/>
      <c r="HI34" s="2955"/>
      <c r="HJ34" s="2955"/>
      <c r="HK34" s="2955"/>
      <c r="HL34" s="2955"/>
      <c r="HM34" s="2955"/>
      <c r="HN34" s="2955"/>
      <c r="HO34" s="2955"/>
      <c r="HP34" s="2955"/>
      <c r="HQ34" s="2955"/>
      <c r="HR34" s="2955"/>
      <c r="HS34" s="2955"/>
      <c r="HT34" s="2955"/>
      <c r="HU34" s="2955"/>
      <c r="HV34" s="2955"/>
      <c r="HW34" s="2955"/>
      <c r="HX34" s="2955"/>
      <c r="HY34" s="2955"/>
      <c r="HZ34" s="2955"/>
      <c r="IA34" s="2955"/>
      <c r="IB34" s="2955"/>
      <c r="IC34" s="2955"/>
      <c r="ID34" s="2955"/>
      <c r="IE34" s="2955"/>
      <c r="IF34" s="2955"/>
      <c r="IG34" s="2955"/>
      <c r="IH34" s="2955"/>
      <c r="II34" s="2955"/>
      <c r="IJ34" s="2955"/>
      <c r="IK34" s="2955"/>
      <c r="IL34" s="2955"/>
      <c r="IM34" s="2955"/>
      <c r="IN34" s="2955"/>
      <c r="IO34" s="2955"/>
      <c r="IP34" s="2955"/>
    </row>
    <row r="35" spans="1:250" s="2953" customFormat="1" ht="15.95" hidden="1" customHeight="1">
      <c r="A35" s="3344"/>
      <c r="B35" s="3329" t="s">
        <v>3177</v>
      </c>
      <c r="C35" s="3336" t="s">
        <v>3178</v>
      </c>
      <c r="D35" s="3337" t="s">
        <v>3179</v>
      </c>
      <c r="E35" s="3336" t="s">
        <v>3142</v>
      </c>
      <c r="F35" s="2956" t="s">
        <v>3180</v>
      </c>
      <c r="G35" s="3330" t="s">
        <v>3181</v>
      </c>
      <c r="H35" s="3333">
        <v>800</v>
      </c>
      <c r="I35" s="2957" t="s">
        <v>3182</v>
      </c>
      <c r="J35" s="3333" t="s">
        <v>3145</v>
      </c>
      <c r="K35" s="2958"/>
      <c r="L35" s="2965"/>
      <c r="M35" s="2965"/>
      <c r="N35" s="2965"/>
      <c r="O35" s="2964"/>
      <c r="P35" s="2964"/>
      <c r="Q35" s="2964"/>
      <c r="R35" s="2964"/>
      <c r="S35" s="2964"/>
      <c r="T35" s="2960">
        <f t="shared" si="0"/>
        <v>0</v>
      </c>
      <c r="U35" s="2969"/>
      <c r="V35" s="2969"/>
      <c r="W35" s="2955"/>
      <c r="X35" s="2955"/>
      <c r="Y35" s="2955"/>
      <c r="Z35" s="2955"/>
      <c r="AA35" s="2955"/>
      <c r="AB35" s="2955"/>
      <c r="AC35" s="2955"/>
      <c r="AD35" s="2955"/>
      <c r="AE35" s="2955"/>
      <c r="AF35" s="2955"/>
      <c r="AG35" s="2955"/>
      <c r="AH35" s="2955"/>
      <c r="AI35" s="2955"/>
      <c r="AJ35" s="2955"/>
      <c r="AK35" s="2955"/>
      <c r="AL35" s="2955"/>
      <c r="AM35" s="2955"/>
      <c r="AN35" s="2955"/>
      <c r="AO35" s="2955"/>
      <c r="AP35" s="2955"/>
      <c r="AQ35" s="2955"/>
      <c r="AR35" s="2955"/>
      <c r="AS35" s="2955"/>
      <c r="AT35" s="2955"/>
      <c r="AU35" s="2955"/>
      <c r="AV35" s="2955"/>
      <c r="AW35" s="2955"/>
      <c r="AX35" s="2955"/>
      <c r="AY35" s="2955"/>
      <c r="AZ35" s="2955"/>
      <c r="BA35" s="2955"/>
      <c r="BB35" s="2955"/>
      <c r="BC35" s="2955"/>
      <c r="BD35" s="2955"/>
      <c r="BE35" s="2955"/>
      <c r="BF35" s="2955"/>
      <c r="BG35" s="2955"/>
      <c r="BH35" s="2955"/>
      <c r="BI35" s="2955"/>
      <c r="BJ35" s="2955"/>
      <c r="BK35" s="2955"/>
      <c r="BL35" s="2955"/>
      <c r="BM35" s="2955"/>
      <c r="BN35" s="2955"/>
      <c r="BO35" s="2955"/>
      <c r="BP35" s="2955"/>
      <c r="BQ35" s="2955"/>
      <c r="BR35" s="2955"/>
      <c r="BS35" s="2955"/>
      <c r="BT35" s="2955"/>
      <c r="BU35" s="2955"/>
      <c r="BV35" s="2955"/>
      <c r="BW35" s="2955"/>
      <c r="BX35" s="2955"/>
      <c r="BY35" s="2955"/>
      <c r="BZ35" s="2955"/>
      <c r="CA35" s="2955"/>
      <c r="CB35" s="2955"/>
      <c r="CC35" s="2955"/>
      <c r="CD35" s="2955"/>
      <c r="CE35" s="2955"/>
      <c r="CF35" s="2955"/>
      <c r="CG35" s="2955"/>
      <c r="CH35" s="2955"/>
      <c r="CI35" s="2955"/>
      <c r="CJ35" s="2955"/>
      <c r="CK35" s="2955"/>
      <c r="CL35" s="2955"/>
      <c r="CM35" s="2955"/>
      <c r="CN35" s="2955"/>
      <c r="CO35" s="2955"/>
      <c r="CP35" s="2955"/>
      <c r="CQ35" s="2955"/>
      <c r="CR35" s="2955"/>
      <c r="CS35" s="2955"/>
      <c r="CT35" s="2955"/>
      <c r="CU35" s="2955"/>
      <c r="CV35" s="2955"/>
      <c r="CW35" s="2955"/>
      <c r="CX35" s="2955"/>
      <c r="CY35" s="2955"/>
      <c r="CZ35" s="2955"/>
      <c r="DA35" s="2955"/>
      <c r="DB35" s="2955"/>
      <c r="DC35" s="2955"/>
      <c r="DD35" s="2955"/>
      <c r="DE35" s="2955"/>
      <c r="DF35" s="2955"/>
      <c r="DG35" s="2955"/>
      <c r="DH35" s="2955"/>
      <c r="DI35" s="2955"/>
      <c r="DJ35" s="2955"/>
      <c r="DK35" s="2955"/>
      <c r="DL35" s="2955"/>
      <c r="DM35" s="2955"/>
      <c r="DN35" s="2955"/>
      <c r="DO35" s="2955"/>
      <c r="DP35" s="2955"/>
      <c r="DQ35" s="2955"/>
      <c r="DR35" s="2955"/>
      <c r="DS35" s="2955"/>
      <c r="DT35" s="2955"/>
      <c r="DU35" s="2955"/>
      <c r="DV35" s="2955"/>
      <c r="DW35" s="2955"/>
      <c r="DX35" s="2955"/>
      <c r="DY35" s="2955"/>
      <c r="DZ35" s="2955"/>
      <c r="EA35" s="2955"/>
      <c r="EB35" s="2955"/>
      <c r="EC35" s="2955"/>
      <c r="ED35" s="2955"/>
      <c r="EE35" s="2955"/>
      <c r="EF35" s="2955"/>
      <c r="EG35" s="2955"/>
      <c r="EH35" s="2955"/>
      <c r="EI35" s="2955"/>
      <c r="EJ35" s="2955"/>
      <c r="EK35" s="2955"/>
      <c r="EL35" s="2955"/>
      <c r="EM35" s="2955"/>
      <c r="EN35" s="2955"/>
      <c r="EO35" s="2955"/>
      <c r="EP35" s="2955"/>
      <c r="EQ35" s="2955"/>
      <c r="ER35" s="2955"/>
      <c r="ES35" s="2955"/>
      <c r="ET35" s="2955"/>
      <c r="EU35" s="2955"/>
      <c r="EV35" s="2955"/>
      <c r="EW35" s="2955"/>
      <c r="EX35" s="2955"/>
      <c r="EY35" s="2955"/>
      <c r="EZ35" s="2955"/>
      <c r="FA35" s="2955"/>
      <c r="FB35" s="2955"/>
      <c r="FC35" s="2955"/>
      <c r="FD35" s="2955"/>
      <c r="FE35" s="2955"/>
      <c r="FF35" s="2955"/>
      <c r="FG35" s="2955"/>
      <c r="FH35" s="2955"/>
      <c r="FI35" s="2955"/>
      <c r="FJ35" s="2955"/>
      <c r="FK35" s="2955"/>
      <c r="FL35" s="2955"/>
      <c r="FM35" s="2955"/>
      <c r="FN35" s="2955"/>
      <c r="FO35" s="2955"/>
      <c r="FP35" s="2955"/>
      <c r="FQ35" s="2955"/>
      <c r="FR35" s="2955"/>
      <c r="FS35" s="2955"/>
      <c r="FT35" s="2955"/>
      <c r="FU35" s="2955"/>
      <c r="FV35" s="2955"/>
      <c r="FW35" s="2955"/>
      <c r="FX35" s="2955"/>
      <c r="FY35" s="2955"/>
      <c r="FZ35" s="2955"/>
      <c r="GA35" s="2955"/>
      <c r="GB35" s="2955"/>
      <c r="GC35" s="2955"/>
      <c r="GD35" s="2955"/>
      <c r="GE35" s="2955"/>
      <c r="GF35" s="2955"/>
      <c r="GG35" s="2955"/>
      <c r="GH35" s="2955"/>
      <c r="GI35" s="2955"/>
      <c r="GJ35" s="2955"/>
      <c r="GK35" s="2955"/>
      <c r="GL35" s="2955"/>
      <c r="GM35" s="2955"/>
      <c r="GN35" s="2955"/>
      <c r="GO35" s="2955"/>
      <c r="GP35" s="2955"/>
      <c r="GQ35" s="2955"/>
      <c r="GR35" s="2955"/>
      <c r="GS35" s="2955"/>
      <c r="GT35" s="2955"/>
      <c r="GU35" s="2955"/>
      <c r="GV35" s="2955"/>
      <c r="GW35" s="2955"/>
      <c r="GX35" s="2955"/>
      <c r="GY35" s="2955"/>
      <c r="GZ35" s="2955"/>
      <c r="HA35" s="2955"/>
      <c r="HB35" s="2955"/>
      <c r="HC35" s="2955"/>
      <c r="HD35" s="2955"/>
      <c r="HE35" s="2955"/>
      <c r="HF35" s="2955"/>
      <c r="HG35" s="2955"/>
      <c r="HH35" s="2955"/>
      <c r="HI35" s="2955"/>
      <c r="HJ35" s="2955"/>
      <c r="HK35" s="2955"/>
      <c r="HL35" s="2955"/>
      <c r="HM35" s="2955"/>
      <c r="HN35" s="2955"/>
      <c r="HO35" s="2955"/>
      <c r="HP35" s="2955"/>
      <c r="HQ35" s="2955"/>
      <c r="HR35" s="2955"/>
      <c r="HS35" s="2955"/>
      <c r="HT35" s="2955"/>
      <c r="HU35" s="2955"/>
      <c r="HV35" s="2955"/>
      <c r="HW35" s="2955"/>
      <c r="HX35" s="2955"/>
      <c r="HY35" s="2955"/>
      <c r="HZ35" s="2955"/>
      <c r="IA35" s="2955"/>
      <c r="IB35" s="2955"/>
      <c r="IC35" s="2955"/>
      <c r="ID35" s="2955"/>
      <c r="IE35" s="2955"/>
      <c r="IF35" s="2955"/>
      <c r="IG35" s="2955"/>
      <c r="IH35" s="2955"/>
      <c r="II35" s="2955"/>
      <c r="IJ35" s="2955"/>
      <c r="IK35" s="2955"/>
      <c r="IL35" s="2955"/>
      <c r="IM35" s="2955"/>
      <c r="IN35" s="2955"/>
      <c r="IO35" s="2955"/>
      <c r="IP35" s="2955"/>
    </row>
    <row r="36" spans="1:250" s="2953" customFormat="1" ht="15.95" customHeight="1">
      <c r="A36" s="3344"/>
      <c r="B36" s="3329"/>
      <c r="C36" s="3336"/>
      <c r="D36" s="3337"/>
      <c r="E36" s="3336"/>
      <c r="F36" s="2956" t="s">
        <v>3183</v>
      </c>
      <c r="G36" s="3330"/>
      <c r="H36" s="3333"/>
      <c r="I36" s="2957" t="s">
        <v>3184</v>
      </c>
      <c r="J36" s="3333"/>
      <c r="K36" s="2958"/>
      <c r="L36" s="2965">
        <v>989880</v>
      </c>
      <c r="M36" s="2965">
        <v>995856</v>
      </c>
      <c r="N36" s="2965"/>
      <c r="O36" s="2964"/>
      <c r="P36" s="2964"/>
      <c r="Q36" s="2964"/>
      <c r="R36" s="2964"/>
      <c r="S36" s="2964"/>
      <c r="T36" s="2960">
        <f t="shared" si="0"/>
        <v>995856</v>
      </c>
      <c r="U36" s="3326">
        <f>T36+T37</f>
        <v>3141352</v>
      </c>
      <c r="V36" s="3324">
        <f>U36/H35/1083</f>
        <v>3.625752539242844</v>
      </c>
      <c r="W36" s="2955"/>
      <c r="X36" s="2955"/>
      <c r="Y36" s="2955"/>
      <c r="Z36" s="2955"/>
      <c r="AA36" s="2955"/>
      <c r="AB36" s="2955"/>
      <c r="AC36" s="2955"/>
      <c r="AD36" s="2955"/>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955"/>
      <c r="BB36" s="2955"/>
      <c r="BC36" s="2955"/>
      <c r="BD36" s="2955"/>
      <c r="BE36" s="2955"/>
      <c r="BF36" s="2955"/>
      <c r="BG36" s="2955"/>
      <c r="BH36" s="2955"/>
      <c r="BI36" s="2955"/>
      <c r="BJ36" s="2955"/>
      <c r="BK36" s="2955"/>
      <c r="BL36" s="2955"/>
      <c r="BM36" s="2955"/>
      <c r="BN36" s="2955"/>
      <c r="BO36" s="2955"/>
      <c r="BP36" s="2955"/>
      <c r="BQ36" s="2955"/>
      <c r="BR36" s="2955"/>
      <c r="BS36" s="2955"/>
      <c r="BT36" s="2955"/>
      <c r="BU36" s="2955"/>
      <c r="BV36" s="2955"/>
      <c r="BW36" s="2955"/>
      <c r="BX36" s="2955"/>
      <c r="BY36" s="2955"/>
      <c r="BZ36" s="2955"/>
      <c r="CA36" s="2955"/>
      <c r="CB36" s="2955"/>
      <c r="CC36" s="2955"/>
      <c r="CD36" s="2955"/>
      <c r="CE36" s="2955"/>
      <c r="CF36" s="2955"/>
      <c r="CG36" s="2955"/>
      <c r="CH36" s="2955"/>
      <c r="CI36" s="2955"/>
      <c r="CJ36" s="2955"/>
      <c r="CK36" s="2955"/>
      <c r="CL36" s="2955"/>
      <c r="CM36" s="2955"/>
      <c r="CN36" s="2955"/>
      <c r="CO36" s="2955"/>
      <c r="CP36" s="2955"/>
      <c r="CQ36" s="2955"/>
      <c r="CR36" s="2955"/>
      <c r="CS36" s="2955"/>
      <c r="CT36" s="2955"/>
      <c r="CU36" s="2955"/>
      <c r="CV36" s="2955"/>
      <c r="CW36" s="2955"/>
      <c r="CX36" s="2955"/>
      <c r="CY36" s="2955"/>
      <c r="CZ36" s="2955"/>
      <c r="DA36" s="2955"/>
      <c r="DB36" s="2955"/>
      <c r="DC36" s="2955"/>
      <c r="DD36" s="2955"/>
      <c r="DE36" s="2955"/>
      <c r="DF36" s="2955"/>
      <c r="DG36" s="2955"/>
      <c r="DH36" s="2955"/>
      <c r="DI36" s="2955"/>
      <c r="DJ36" s="2955"/>
      <c r="DK36" s="2955"/>
      <c r="DL36" s="2955"/>
      <c r="DM36" s="2955"/>
      <c r="DN36" s="2955"/>
      <c r="DO36" s="2955"/>
      <c r="DP36" s="2955"/>
      <c r="DQ36" s="2955"/>
      <c r="DR36" s="2955"/>
      <c r="DS36" s="2955"/>
      <c r="DT36" s="2955"/>
      <c r="DU36" s="2955"/>
      <c r="DV36" s="2955"/>
      <c r="DW36" s="2955"/>
      <c r="DX36" s="2955"/>
      <c r="DY36" s="2955"/>
      <c r="DZ36" s="2955"/>
      <c r="EA36" s="2955"/>
      <c r="EB36" s="2955"/>
      <c r="EC36" s="2955"/>
      <c r="ED36" s="2955"/>
      <c r="EE36" s="2955"/>
      <c r="EF36" s="2955"/>
      <c r="EG36" s="2955"/>
      <c r="EH36" s="2955"/>
      <c r="EI36" s="2955"/>
      <c r="EJ36" s="2955"/>
      <c r="EK36" s="2955"/>
      <c r="EL36" s="2955"/>
      <c r="EM36" s="2955"/>
      <c r="EN36" s="2955"/>
      <c r="EO36" s="2955"/>
      <c r="EP36" s="2955"/>
      <c r="EQ36" s="2955"/>
      <c r="ER36" s="2955"/>
      <c r="ES36" s="2955"/>
      <c r="ET36" s="2955"/>
      <c r="EU36" s="2955"/>
      <c r="EV36" s="2955"/>
      <c r="EW36" s="2955"/>
      <c r="EX36" s="2955"/>
      <c r="EY36" s="2955"/>
      <c r="EZ36" s="2955"/>
      <c r="FA36" s="2955"/>
      <c r="FB36" s="2955"/>
      <c r="FC36" s="2955"/>
      <c r="FD36" s="2955"/>
      <c r="FE36" s="2955"/>
      <c r="FF36" s="2955"/>
      <c r="FG36" s="2955"/>
      <c r="FH36" s="2955"/>
      <c r="FI36" s="2955"/>
      <c r="FJ36" s="2955"/>
      <c r="FK36" s="2955"/>
      <c r="FL36" s="2955"/>
      <c r="FM36" s="2955"/>
      <c r="FN36" s="2955"/>
      <c r="FO36" s="2955"/>
      <c r="FP36" s="2955"/>
      <c r="FQ36" s="2955"/>
      <c r="FR36" s="2955"/>
      <c r="FS36" s="2955"/>
      <c r="FT36" s="2955"/>
      <c r="FU36" s="2955"/>
      <c r="FV36" s="2955"/>
      <c r="FW36" s="2955"/>
      <c r="FX36" s="2955"/>
      <c r="FY36" s="2955"/>
      <c r="FZ36" s="2955"/>
      <c r="GA36" s="2955"/>
      <c r="GB36" s="2955"/>
      <c r="GC36" s="2955"/>
      <c r="GD36" s="2955"/>
      <c r="GE36" s="2955"/>
      <c r="GF36" s="2955"/>
      <c r="GG36" s="2955"/>
      <c r="GH36" s="2955"/>
      <c r="GI36" s="2955"/>
      <c r="GJ36" s="2955"/>
      <c r="GK36" s="2955"/>
      <c r="GL36" s="2955"/>
      <c r="GM36" s="2955"/>
      <c r="GN36" s="2955"/>
      <c r="GO36" s="2955"/>
      <c r="GP36" s="2955"/>
      <c r="GQ36" s="2955"/>
      <c r="GR36" s="2955"/>
      <c r="GS36" s="2955"/>
      <c r="GT36" s="2955"/>
      <c r="GU36" s="2955"/>
      <c r="GV36" s="2955"/>
      <c r="GW36" s="2955"/>
      <c r="GX36" s="2955"/>
      <c r="GY36" s="2955"/>
      <c r="GZ36" s="2955"/>
      <c r="HA36" s="2955"/>
      <c r="HB36" s="2955"/>
      <c r="HC36" s="2955"/>
      <c r="HD36" s="2955"/>
      <c r="HE36" s="2955"/>
      <c r="HF36" s="2955"/>
      <c r="HG36" s="2955"/>
      <c r="HH36" s="2955"/>
      <c r="HI36" s="2955"/>
      <c r="HJ36" s="2955"/>
      <c r="HK36" s="2955"/>
      <c r="HL36" s="2955"/>
      <c r="HM36" s="2955"/>
      <c r="HN36" s="2955"/>
      <c r="HO36" s="2955"/>
      <c r="HP36" s="2955"/>
      <c r="HQ36" s="2955"/>
      <c r="HR36" s="2955"/>
      <c r="HS36" s="2955"/>
      <c r="HT36" s="2955"/>
      <c r="HU36" s="2955"/>
      <c r="HV36" s="2955"/>
      <c r="HW36" s="2955"/>
      <c r="HX36" s="2955"/>
      <c r="HY36" s="2955"/>
      <c r="HZ36" s="2955"/>
      <c r="IA36" s="2955"/>
      <c r="IB36" s="2955"/>
      <c r="IC36" s="2955"/>
      <c r="ID36" s="2955"/>
      <c r="IE36" s="2955"/>
      <c r="IF36" s="2955"/>
      <c r="IG36" s="2955"/>
      <c r="IH36" s="2955"/>
      <c r="II36" s="2955"/>
      <c r="IJ36" s="2955"/>
      <c r="IK36" s="2955"/>
      <c r="IL36" s="2955"/>
      <c r="IM36" s="2955"/>
      <c r="IN36" s="2955"/>
      <c r="IO36" s="2955"/>
      <c r="IP36" s="2955"/>
    </row>
    <row r="37" spans="1:250" s="2953" customFormat="1" ht="15.95" customHeight="1">
      <c r="A37" s="3344"/>
      <c r="B37" s="3329"/>
      <c r="C37" s="3336"/>
      <c r="D37" s="3337"/>
      <c r="E37" s="3336"/>
      <c r="F37" s="2956" t="s">
        <v>3185</v>
      </c>
      <c r="G37" s="3330"/>
      <c r="H37" s="3333"/>
      <c r="I37" s="2957" t="s">
        <v>3186</v>
      </c>
      <c r="J37" s="3333"/>
      <c r="K37" s="2958"/>
      <c r="L37" s="2965"/>
      <c r="M37" s="2965"/>
      <c r="N37" s="2965">
        <v>1089160</v>
      </c>
      <c r="O37" s="2964">
        <v>1056336</v>
      </c>
      <c r="P37" s="2964"/>
      <c r="Q37" s="2964"/>
      <c r="R37" s="2964"/>
      <c r="S37" s="2964"/>
      <c r="T37" s="2960">
        <f t="shared" si="0"/>
        <v>2145496</v>
      </c>
      <c r="U37" s="3327"/>
      <c r="V37" s="3325"/>
      <c r="W37" s="2955"/>
      <c r="X37" s="2955"/>
      <c r="Y37" s="2955"/>
      <c r="Z37" s="2955"/>
      <c r="AA37" s="2955"/>
      <c r="AB37" s="2955"/>
      <c r="AC37" s="2955"/>
      <c r="AD37" s="2955"/>
      <c r="AE37" s="2955"/>
      <c r="AF37" s="2955"/>
      <c r="AG37" s="2955"/>
      <c r="AH37" s="2955"/>
      <c r="AI37" s="2955"/>
      <c r="AJ37" s="2955"/>
      <c r="AK37" s="2955"/>
      <c r="AL37" s="2955"/>
      <c r="AM37" s="2955"/>
      <c r="AN37" s="2955"/>
      <c r="AO37" s="2955"/>
      <c r="AP37" s="2955"/>
      <c r="AQ37" s="2955"/>
      <c r="AR37" s="2955"/>
      <c r="AS37" s="2955"/>
      <c r="AT37" s="2955"/>
      <c r="AU37" s="2955"/>
      <c r="AV37" s="2955"/>
      <c r="AW37" s="2955"/>
      <c r="AX37" s="2955"/>
      <c r="AY37" s="2955"/>
      <c r="AZ37" s="2955"/>
      <c r="BA37" s="2955"/>
      <c r="BB37" s="2955"/>
      <c r="BC37" s="2955"/>
      <c r="BD37" s="2955"/>
      <c r="BE37" s="2955"/>
      <c r="BF37" s="2955"/>
      <c r="BG37" s="2955"/>
      <c r="BH37" s="2955"/>
      <c r="BI37" s="2955"/>
      <c r="BJ37" s="2955"/>
      <c r="BK37" s="2955"/>
      <c r="BL37" s="2955"/>
      <c r="BM37" s="2955"/>
      <c r="BN37" s="2955"/>
      <c r="BO37" s="2955"/>
      <c r="BP37" s="2955"/>
      <c r="BQ37" s="2955"/>
      <c r="BR37" s="2955"/>
      <c r="BS37" s="2955"/>
      <c r="BT37" s="2955"/>
      <c r="BU37" s="2955"/>
      <c r="BV37" s="2955"/>
      <c r="BW37" s="2955"/>
      <c r="BX37" s="2955"/>
      <c r="BY37" s="2955"/>
      <c r="BZ37" s="2955"/>
      <c r="CA37" s="2955"/>
      <c r="CB37" s="2955"/>
      <c r="CC37" s="2955"/>
      <c r="CD37" s="2955"/>
      <c r="CE37" s="2955"/>
      <c r="CF37" s="2955"/>
      <c r="CG37" s="2955"/>
      <c r="CH37" s="2955"/>
      <c r="CI37" s="2955"/>
      <c r="CJ37" s="2955"/>
      <c r="CK37" s="2955"/>
      <c r="CL37" s="2955"/>
      <c r="CM37" s="2955"/>
      <c r="CN37" s="2955"/>
      <c r="CO37" s="2955"/>
      <c r="CP37" s="2955"/>
      <c r="CQ37" s="2955"/>
      <c r="CR37" s="2955"/>
      <c r="CS37" s="2955"/>
      <c r="CT37" s="2955"/>
      <c r="CU37" s="2955"/>
      <c r="CV37" s="2955"/>
      <c r="CW37" s="2955"/>
      <c r="CX37" s="2955"/>
      <c r="CY37" s="2955"/>
      <c r="CZ37" s="2955"/>
      <c r="DA37" s="2955"/>
      <c r="DB37" s="2955"/>
      <c r="DC37" s="2955"/>
      <c r="DD37" s="2955"/>
      <c r="DE37" s="2955"/>
      <c r="DF37" s="2955"/>
      <c r="DG37" s="2955"/>
      <c r="DH37" s="2955"/>
      <c r="DI37" s="2955"/>
      <c r="DJ37" s="2955"/>
      <c r="DK37" s="2955"/>
      <c r="DL37" s="2955"/>
      <c r="DM37" s="2955"/>
      <c r="DN37" s="2955"/>
      <c r="DO37" s="2955"/>
      <c r="DP37" s="2955"/>
      <c r="DQ37" s="2955"/>
      <c r="DR37" s="2955"/>
      <c r="DS37" s="2955"/>
      <c r="DT37" s="2955"/>
      <c r="DU37" s="2955"/>
      <c r="DV37" s="2955"/>
      <c r="DW37" s="2955"/>
      <c r="DX37" s="2955"/>
      <c r="DY37" s="2955"/>
      <c r="DZ37" s="2955"/>
      <c r="EA37" s="2955"/>
      <c r="EB37" s="2955"/>
      <c r="EC37" s="2955"/>
      <c r="ED37" s="2955"/>
      <c r="EE37" s="2955"/>
      <c r="EF37" s="2955"/>
      <c r="EG37" s="2955"/>
      <c r="EH37" s="2955"/>
      <c r="EI37" s="2955"/>
      <c r="EJ37" s="2955"/>
      <c r="EK37" s="2955"/>
      <c r="EL37" s="2955"/>
      <c r="EM37" s="2955"/>
      <c r="EN37" s="2955"/>
      <c r="EO37" s="2955"/>
      <c r="EP37" s="2955"/>
      <c r="EQ37" s="2955"/>
      <c r="ER37" s="2955"/>
      <c r="ES37" s="2955"/>
      <c r="ET37" s="2955"/>
      <c r="EU37" s="2955"/>
      <c r="EV37" s="2955"/>
      <c r="EW37" s="2955"/>
      <c r="EX37" s="2955"/>
      <c r="EY37" s="2955"/>
      <c r="EZ37" s="2955"/>
      <c r="FA37" s="2955"/>
      <c r="FB37" s="2955"/>
      <c r="FC37" s="2955"/>
      <c r="FD37" s="2955"/>
      <c r="FE37" s="2955"/>
      <c r="FF37" s="2955"/>
      <c r="FG37" s="2955"/>
      <c r="FH37" s="2955"/>
      <c r="FI37" s="2955"/>
      <c r="FJ37" s="2955"/>
      <c r="FK37" s="2955"/>
      <c r="FL37" s="2955"/>
      <c r="FM37" s="2955"/>
      <c r="FN37" s="2955"/>
      <c r="FO37" s="2955"/>
      <c r="FP37" s="2955"/>
      <c r="FQ37" s="2955"/>
      <c r="FR37" s="2955"/>
      <c r="FS37" s="2955"/>
      <c r="FT37" s="2955"/>
      <c r="FU37" s="2955"/>
      <c r="FV37" s="2955"/>
      <c r="FW37" s="2955"/>
      <c r="FX37" s="2955"/>
      <c r="FY37" s="2955"/>
      <c r="FZ37" s="2955"/>
      <c r="GA37" s="2955"/>
      <c r="GB37" s="2955"/>
      <c r="GC37" s="2955"/>
      <c r="GD37" s="2955"/>
      <c r="GE37" s="2955"/>
      <c r="GF37" s="2955"/>
      <c r="GG37" s="2955"/>
      <c r="GH37" s="2955"/>
      <c r="GI37" s="2955"/>
      <c r="GJ37" s="2955"/>
      <c r="GK37" s="2955"/>
      <c r="GL37" s="2955"/>
      <c r="GM37" s="2955"/>
      <c r="GN37" s="2955"/>
      <c r="GO37" s="2955"/>
      <c r="GP37" s="2955"/>
      <c r="GQ37" s="2955"/>
      <c r="GR37" s="2955"/>
      <c r="GS37" s="2955"/>
      <c r="GT37" s="2955"/>
      <c r="GU37" s="2955"/>
      <c r="GV37" s="2955"/>
      <c r="GW37" s="2955"/>
      <c r="GX37" s="2955"/>
      <c r="GY37" s="2955"/>
      <c r="GZ37" s="2955"/>
      <c r="HA37" s="2955"/>
      <c r="HB37" s="2955"/>
      <c r="HC37" s="2955"/>
      <c r="HD37" s="2955"/>
      <c r="HE37" s="2955"/>
      <c r="HF37" s="2955"/>
      <c r="HG37" s="2955"/>
      <c r="HH37" s="2955"/>
      <c r="HI37" s="2955"/>
      <c r="HJ37" s="2955"/>
      <c r="HK37" s="2955"/>
      <c r="HL37" s="2955"/>
      <c r="HM37" s="2955"/>
      <c r="HN37" s="2955"/>
      <c r="HO37" s="2955"/>
      <c r="HP37" s="2955"/>
      <c r="HQ37" s="2955"/>
      <c r="HR37" s="2955"/>
      <c r="HS37" s="2955"/>
      <c r="HT37" s="2955"/>
      <c r="HU37" s="2955"/>
      <c r="HV37" s="2955"/>
      <c r="HW37" s="2955"/>
      <c r="HX37" s="2955"/>
      <c r="HY37" s="2955"/>
      <c r="HZ37" s="2955"/>
      <c r="IA37" s="2955"/>
      <c r="IB37" s="2955"/>
      <c r="IC37" s="2955"/>
      <c r="ID37" s="2955"/>
      <c r="IE37" s="2955"/>
      <c r="IF37" s="2955"/>
      <c r="IG37" s="2955"/>
      <c r="IH37" s="2955"/>
      <c r="II37" s="2955"/>
      <c r="IJ37" s="2955"/>
      <c r="IK37" s="2955"/>
      <c r="IL37" s="2955"/>
      <c r="IM37" s="2955"/>
      <c r="IN37" s="2955"/>
      <c r="IO37" s="2955"/>
      <c r="IP37" s="2955"/>
    </row>
    <row r="38" spans="1:250" s="2953" customFormat="1" ht="15.95" hidden="1" customHeight="1">
      <c r="A38" s="3344"/>
      <c r="B38" s="3329" t="s">
        <v>3187</v>
      </c>
      <c r="C38" s="3336" t="s">
        <v>3178</v>
      </c>
      <c r="D38" s="3337" t="s">
        <v>3179</v>
      </c>
      <c r="E38" s="3336" t="s">
        <v>3142</v>
      </c>
      <c r="F38" s="2956" t="s">
        <v>3180</v>
      </c>
      <c r="G38" s="3330" t="s">
        <v>3181</v>
      </c>
      <c r="H38" s="3333">
        <v>240.37</v>
      </c>
      <c r="I38" s="2957" t="s">
        <v>3182</v>
      </c>
      <c r="J38" s="3333" t="s">
        <v>3145</v>
      </c>
      <c r="K38" s="2958"/>
      <c r="L38" s="2965"/>
      <c r="M38" s="2965"/>
      <c r="N38" s="2965"/>
      <c r="O38" s="2964"/>
      <c r="P38" s="2964"/>
      <c r="Q38" s="2964"/>
      <c r="R38" s="2964"/>
      <c r="S38" s="2964"/>
      <c r="T38" s="2960">
        <f t="shared" si="0"/>
        <v>0</v>
      </c>
      <c r="U38" s="2969"/>
      <c r="V38" s="2969"/>
      <c r="W38" s="2955"/>
      <c r="X38" s="2955"/>
      <c r="Y38" s="2955"/>
      <c r="Z38" s="2955"/>
      <c r="AA38" s="2955"/>
      <c r="AB38" s="2955"/>
      <c r="AC38" s="2955"/>
      <c r="AD38" s="2955"/>
      <c r="AE38" s="2955"/>
      <c r="AF38" s="2955"/>
      <c r="AG38" s="2955"/>
      <c r="AH38" s="2955"/>
      <c r="AI38" s="2955"/>
      <c r="AJ38" s="2955"/>
      <c r="AK38" s="2955"/>
      <c r="AL38" s="2955"/>
      <c r="AM38" s="2955"/>
      <c r="AN38" s="2955"/>
      <c r="AO38" s="2955"/>
      <c r="AP38" s="2955"/>
      <c r="AQ38" s="2955"/>
      <c r="AR38" s="2955"/>
      <c r="AS38" s="2955"/>
      <c r="AT38" s="2955"/>
      <c r="AU38" s="2955"/>
      <c r="AV38" s="2955"/>
      <c r="AW38" s="2955"/>
      <c r="AX38" s="2955"/>
      <c r="AY38" s="2955"/>
      <c r="AZ38" s="2955"/>
      <c r="BA38" s="2955"/>
      <c r="BB38" s="2955"/>
      <c r="BC38" s="2955"/>
      <c r="BD38" s="2955"/>
      <c r="BE38" s="2955"/>
      <c r="BF38" s="2955"/>
      <c r="BG38" s="2955"/>
      <c r="BH38" s="2955"/>
      <c r="BI38" s="2955"/>
      <c r="BJ38" s="2955"/>
      <c r="BK38" s="2955"/>
      <c r="BL38" s="2955"/>
      <c r="BM38" s="2955"/>
      <c r="BN38" s="2955"/>
      <c r="BO38" s="2955"/>
      <c r="BP38" s="2955"/>
      <c r="BQ38" s="2955"/>
      <c r="BR38" s="2955"/>
      <c r="BS38" s="2955"/>
      <c r="BT38" s="2955"/>
      <c r="BU38" s="2955"/>
      <c r="BV38" s="2955"/>
      <c r="BW38" s="2955"/>
      <c r="BX38" s="2955"/>
      <c r="BY38" s="2955"/>
      <c r="BZ38" s="2955"/>
      <c r="CA38" s="2955"/>
      <c r="CB38" s="2955"/>
      <c r="CC38" s="2955"/>
      <c r="CD38" s="2955"/>
      <c r="CE38" s="2955"/>
      <c r="CF38" s="2955"/>
      <c r="CG38" s="2955"/>
      <c r="CH38" s="2955"/>
      <c r="CI38" s="2955"/>
      <c r="CJ38" s="2955"/>
      <c r="CK38" s="2955"/>
      <c r="CL38" s="2955"/>
      <c r="CM38" s="2955"/>
      <c r="CN38" s="2955"/>
      <c r="CO38" s="2955"/>
      <c r="CP38" s="2955"/>
      <c r="CQ38" s="2955"/>
      <c r="CR38" s="2955"/>
      <c r="CS38" s="2955"/>
      <c r="CT38" s="2955"/>
      <c r="CU38" s="2955"/>
      <c r="CV38" s="2955"/>
      <c r="CW38" s="2955"/>
      <c r="CX38" s="2955"/>
      <c r="CY38" s="2955"/>
      <c r="CZ38" s="2955"/>
      <c r="DA38" s="2955"/>
      <c r="DB38" s="2955"/>
      <c r="DC38" s="2955"/>
      <c r="DD38" s="2955"/>
      <c r="DE38" s="2955"/>
      <c r="DF38" s="2955"/>
      <c r="DG38" s="2955"/>
      <c r="DH38" s="2955"/>
      <c r="DI38" s="2955"/>
      <c r="DJ38" s="2955"/>
      <c r="DK38" s="2955"/>
      <c r="DL38" s="2955"/>
      <c r="DM38" s="2955"/>
      <c r="DN38" s="2955"/>
      <c r="DO38" s="2955"/>
      <c r="DP38" s="2955"/>
      <c r="DQ38" s="2955"/>
      <c r="DR38" s="2955"/>
      <c r="DS38" s="2955"/>
      <c r="DT38" s="2955"/>
      <c r="DU38" s="2955"/>
      <c r="DV38" s="2955"/>
      <c r="DW38" s="2955"/>
      <c r="DX38" s="2955"/>
      <c r="DY38" s="2955"/>
      <c r="DZ38" s="2955"/>
      <c r="EA38" s="2955"/>
      <c r="EB38" s="2955"/>
      <c r="EC38" s="2955"/>
      <c r="ED38" s="2955"/>
      <c r="EE38" s="2955"/>
      <c r="EF38" s="2955"/>
      <c r="EG38" s="2955"/>
      <c r="EH38" s="2955"/>
      <c r="EI38" s="2955"/>
      <c r="EJ38" s="2955"/>
      <c r="EK38" s="2955"/>
      <c r="EL38" s="2955"/>
      <c r="EM38" s="2955"/>
      <c r="EN38" s="2955"/>
      <c r="EO38" s="2955"/>
      <c r="EP38" s="2955"/>
      <c r="EQ38" s="2955"/>
      <c r="ER38" s="2955"/>
      <c r="ES38" s="2955"/>
      <c r="ET38" s="2955"/>
      <c r="EU38" s="2955"/>
      <c r="EV38" s="2955"/>
      <c r="EW38" s="2955"/>
      <c r="EX38" s="2955"/>
      <c r="EY38" s="2955"/>
      <c r="EZ38" s="2955"/>
      <c r="FA38" s="2955"/>
      <c r="FB38" s="2955"/>
      <c r="FC38" s="2955"/>
      <c r="FD38" s="2955"/>
      <c r="FE38" s="2955"/>
      <c r="FF38" s="2955"/>
      <c r="FG38" s="2955"/>
      <c r="FH38" s="2955"/>
      <c r="FI38" s="2955"/>
      <c r="FJ38" s="2955"/>
      <c r="FK38" s="2955"/>
      <c r="FL38" s="2955"/>
      <c r="FM38" s="2955"/>
      <c r="FN38" s="2955"/>
      <c r="FO38" s="2955"/>
      <c r="FP38" s="2955"/>
      <c r="FQ38" s="2955"/>
      <c r="FR38" s="2955"/>
      <c r="FS38" s="2955"/>
      <c r="FT38" s="2955"/>
      <c r="FU38" s="2955"/>
      <c r="FV38" s="2955"/>
      <c r="FW38" s="2955"/>
      <c r="FX38" s="2955"/>
      <c r="FY38" s="2955"/>
      <c r="FZ38" s="2955"/>
      <c r="GA38" s="2955"/>
      <c r="GB38" s="2955"/>
      <c r="GC38" s="2955"/>
      <c r="GD38" s="2955"/>
      <c r="GE38" s="2955"/>
      <c r="GF38" s="2955"/>
      <c r="GG38" s="2955"/>
      <c r="GH38" s="2955"/>
      <c r="GI38" s="2955"/>
      <c r="GJ38" s="2955"/>
      <c r="GK38" s="2955"/>
      <c r="GL38" s="2955"/>
      <c r="GM38" s="2955"/>
      <c r="GN38" s="2955"/>
      <c r="GO38" s="2955"/>
      <c r="GP38" s="2955"/>
      <c r="GQ38" s="2955"/>
      <c r="GR38" s="2955"/>
      <c r="GS38" s="2955"/>
      <c r="GT38" s="2955"/>
      <c r="GU38" s="2955"/>
      <c r="GV38" s="2955"/>
      <c r="GW38" s="2955"/>
      <c r="GX38" s="2955"/>
      <c r="GY38" s="2955"/>
      <c r="GZ38" s="2955"/>
      <c r="HA38" s="2955"/>
      <c r="HB38" s="2955"/>
      <c r="HC38" s="2955"/>
      <c r="HD38" s="2955"/>
      <c r="HE38" s="2955"/>
      <c r="HF38" s="2955"/>
      <c r="HG38" s="2955"/>
      <c r="HH38" s="2955"/>
      <c r="HI38" s="2955"/>
      <c r="HJ38" s="2955"/>
      <c r="HK38" s="2955"/>
      <c r="HL38" s="2955"/>
      <c r="HM38" s="2955"/>
      <c r="HN38" s="2955"/>
      <c r="HO38" s="2955"/>
      <c r="HP38" s="2955"/>
      <c r="HQ38" s="2955"/>
      <c r="HR38" s="2955"/>
      <c r="HS38" s="2955"/>
      <c r="HT38" s="2955"/>
      <c r="HU38" s="2955"/>
      <c r="HV38" s="2955"/>
      <c r="HW38" s="2955"/>
      <c r="HX38" s="2955"/>
      <c r="HY38" s="2955"/>
      <c r="HZ38" s="2955"/>
      <c r="IA38" s="2955"/>
      <c r="IB38" s="2955"/>
      <c r="IC38" s="2955"/>
      <c r="ID38" s="2955"/>
      <c r="IE38" s="2955"/>
      <c r="IF38" s="2955"/>
      <c r="IG38" s="2955"/>
      <c r="IH38" s="2955"/>
      <c r="II38" s="2955"/>
      <c r="IJ38" s="2955"/>
      <c r="IK38" s="2955"/>
      <c r="IL38" s="2955"/>
      <c r="IM38" s="2955"/>
      <c r="IN38" s="2955"/>
      <c r="IO38" s="2955"/>
      <c r="IP38" s="2955"/>
    </row>
    <row r="39" spans="1:250" s="2953" customFormat="1" ht="15.95" customHeight="1">
      <c r="A39" s="3344"/>
      <c r="B39" s="3329"/>
      <c r="C39" s="3336"/>
      <c r="D39" s="3337"/>
      <c r="E39" s="3336"/>
      <c r="F39" s="2956" t="s">
        <v>3183</v>
      </c>
      <c r="G39" s="3330"/>
      <c r="H39" s="3333"/>
      <c r="I39" s="2957" t="s">
        <v>3184</v>
      </c>
      <c r="J39" s="3333"/>
      <c r="K39" s="2958"/>
      <c r="L39" s="2965">
        <v>297421.81949999998</v>
      </c>
      <c r="M39" s="2965"/>
      <c r="N39" s="2965"/>
      <c r="O39" s="2964"/>
      <c r="P39" s="2964"/>
      <c r="Q39" s="2964"/>
      <c r="R39" s="2964"/>
      <c r="S39" s="2964"/>
      <c r="T39" s="2960">
        <f t="shared" si="0"/>
        <v>0</v>
      </c>
      <c r="U39" s="2969"/>
      <c r="V39" s="2969"/>
      <c r="W39" s="2955"/>
      <c r="X39" s="2955"/>
      <c r="Y39" s="2955"/>
      <c r="Z39" s="2955"/>
      <c r="AA39" s="2955"/>
      <c r="AB39" s="2955"/>
      <c r="AC39" s="2955"/>
      <c r="AD39" s="2955"/>
      <c r="AE39" s="2955"/>
      <c r="AF39" s="2955"/>
      <c r="AG39" s="2955"/>
      <c r="AH39" s="2955"/>
      <c r="AI39" s="2955"/>
      <c r="AJ39" s="2955"/>
      <c r="AK39" s="2955"/>
      <c r="AL39" s="2955"/>
      <c r="AM39" s="2955"/>
      <c r="AN39" s="2955"/>
      <c r="AO39" s="2955"/>
      <c r="AP39" s="2955"/>
      <c r="AQ39" s="2955"/>
      <c r="AR39" s="2955"/>
      <c r="AS39" s="2955"/>
      <c r="AT39" s="2955"/>
      <c r="AU39" s="2955"/>
      <c r="AV39" s="2955"/>
      <c r="AW39" s="2955"/>
      <c r="AX39" s="2955"/>
      <c r="AY39" s="2955"/>
      <c r="AZ39" s="2955"/>
      <c r="BA39" s="2955"/>
      <c r="BB39" s="2955"/>
      <c r="BC39" s="2955"/>
      <c r="BD39" s="2955"/>
      <c r="BE39" s="2955"/>
      <c r="BF39" s="2955"/>
      <c r="BG39" s="2955"/>
      <c r="BH39" s="2955"/>
      <c r="BI39" s="2955"/>
      <c r="BJ39" s="2955"/>
      <c r="BK39" s="2955"/>
      <c r="BL39" s="2955"/>
      <c r="BM39" s="2955"/>
      <c r="BN39" s="2955"/>
      <c r="BO39" s="2955"/>
      <c r="BP39" s="2955"/>
      <c r="BQ39" s="2955"/>
      <c r="BR39" s="2955"/>
      <c r="BS39" s="2955"/>
      <c r="BT39" s="2955"/>
      <c r="BU39" s="2955"/>
      <c r="BV39" s="2955"/>
      <c r="BW39" s="2955"/>
      <c r="BX39" s="2955"/>
      <c r="BY39" s="2955"/>
      <c r="BZ39" s="2955"/>
      <c r="CA39" s="2955"/>
      <c r="CB39" s="2955"/>
      <c r="CC39" s="2955"/>
      <c r="CD39" s="2955"/>
      <c r="CE39" s="2955"/>
      <c r="CF39" s="2955"/>
      <c r="CG39" s="2955"/>
      <c r="CH39" s="2955"/>
      <c r="CI39" s="2955"/>
      <c r="CJ39" s="2955"/>
      <c r="CK39" s="2955"/>
      <c r="CL39" s="2955"/>
      <c r="CM39" s="2955"/>
      <c r="CN39" s="2955"/>
      <c r="CO39" s="2955"/>
      <c r="CP39" s="2955"/>
      <c r="CQ39" s="2955"/>
      <c r="CR39" s="2955"/>
      <c r="CS39" s="2955"/>
      <c r="CT39" s="2955"/>
      <c r="CU39" s="2955"/>
      <c r="CV39" s="2955"/>
      <c r="CW39" s="2955"/>
      <c r="CX39" s="2955"/>
      <c r="CY39" s="2955"/>
      <c r="CZ39" s="2955"/>
      <c r="DA39" s="2955"/>
      <c r="DB39" s="2955"/>
      <c r="DC39" s="2955"/>
      <c r="DD39" s="2955"/>
      <c r="DE39" s="2955"/>
      <c r="DF39" s="2955"/>
      <c r="DG39" s="2955"/>
      <c r="DH39" s="2955"/>
      <c r="DI39" s="2955"/>
      <c r="DJ39" s="2955"/>
      <c r="DK39" s="2955"/>
      <c r="DL39" s="2955"/>
      <c r="DM39" s="2955"/>
      <c r="DN39" s="2955"/>
      <c r="DO39" s="2955"/>
      <c r="DP39" s="2955"/>
      <c r="DQ39" s="2955"/>
      <c r="DR39" s="2955"/>
      <c r="DS39" s="2955"/>
      <c r="DT39" s="2955"/>
      <c r="DU39" s="2955"/>
      <c r="DV39" s="2955"/>
      <c r="DW39" s="2955"/>
      <c r="DX39" s="2955"/>
      <c r="DY39" s="2955"/>
      <c r="DZ39" s="2955"/>
      <c r="EA39" s="2955"/>
      <c r="EB39" s="2955"/>
      <c r="EC39" s="2955"/>
      <c r="ED39" s="2955"/>
      <c r="EE39" s="2955"/>
      <c r="EF39" s="2955"/>
      <c r="EG39" s="2955"/>
      <c r="EH39" s="2955"/>
      <c r="EI39" s="2955"/>
      <c r="EJ39" s="2955"/>
      <c r="EK39" s="2955"/>
      <c r="EL39" s="2955"/>
      <c r="EM39" s="2955"/>
      <c r="EN39" s="2955"/>
      <c r="EO39" s="2955"/>
      <c r="EP39" s="2955"/>
      <c r="EQ39" s="2955"/>
      <c r="ER39" s="2955"/>
      <c r="ES39" s="2955"/>
      <c r="ET39" s="2955"/>
      <c r="EU39" s="2955"/>
      <c r="EV39" s="2955"/>
      <c r="EW39" s="2955"/>
      <c r="EX39" s="2955"/>
      <c r="EY39" s="2955"/>
      <c r="EZ39" s="2955"/>
      <c r="FA39" s="2955"/>
      <c r="FB39" s="2955"/>
      <c r="FC39" s="2955"/>
      <c r="FD39" s="2955"/>
      <c r="FE39" s="2955"/>
      <c r="FF39" s="2955"/>
      <c r="FG39" s="2955"/>
      <c r="FH39" s="2955"/>
      <c r="FI39" s="2955"/>
      <c r="FJ39" s="2955"/>
      <c r="FK39" s="2955"/>
      <c r="FL39" s="2955"/>
      <c r="FM39" s="2955"/>
      <c r="FN39" s="2955"/>
      <c r="FO39" s="2955"/>
      <c r="FP39" s="2955"/>
      <c r="FQ39" s="2955"/>
      <c r="FR39" s="2955"/>
      <c r="FS39" s="2955"/>
      <c r="FT39" s="2955"/>
      <c r="FU39" s="2955"/>
      <c r="FV39" s="2955"/>
      <c r="FW39" s="2955"/>
      <c r="FX39" s="2955"/>
      <c r="FY39" s="2955"/>
      <c r="FZ39" s="2955"/>
      <c r="GA39" s="2955"/>
      <c r="GB39" s="2955"/>
      <c r="GC39" s="2955"/>
      <c r="GD39" s="2955"/>
      <c r="GE39" s="2955"/>
      <c r="GF39" s="2955"/>
      <c r="GG39" s="2955"/>
      <c r="GH39" s="2955"/>
      <c r="GI39" s="2955"/>
      <c r="GJ39" s="2955"/>
      <c r="GK39" s="2955"/>
      <c r="GL39" s="2955"/>
      <c r="GM39" s="2955"/>
      <c r="GN39" s="2955"/>
      <c r="GO39" s="2955"/>
      <c r="GP39" s="2955"/>
      <c r="GQ39" s="2955"/>
      <c r="GR39" s="2955"/>
      <c r="GS39" s="2955"/>
      <c r="GT39" s="2955"/>
      <c r="GU39" s="2955"/>
      <c r="GV39" s="2955"/>
      <c r="GW39" s="2955"/>
      <c r="GX39" s="2955"/>
      <c r="GY39" s="2955"/>
      <c r="GZ39" s="2955"/>
      <c r="HA39" s="2955"/>
      <c r="HB39" s="2955"/>
      <c r="HC39" s="2955"/>
      <c r="HD39" s="2955"/>
      <c r="HE39" s="2955"/>
      <c r="HF39" s="2955"/>
      <c r="HG39" s="2955"/>
      <c r="HH39" s="2955"/>
      <c r="HI39" s="2955"/>
      <c r="HJ39" s="2955"/>
      <c r="HK39" s="2955"/>
      <c r="HL39" s="2955"/>
      <c r="HM39" s="2955"/>
      <c r="HN39" s="2955"/>
      <c r="HO39" s="2955"/>
      <c r="HP39" s="2955"/>
      <c r="HQ39" s="2955"/>
      <c r="HR39" s="2955"/>
      <c r="HS39" s="2955"/>
      <c r="HT39" s="2955"/>
      <c r="HU39" s="2955"/>
      <c r="HV39" s="2955"/>
      <c r="HW39" s="2955"/>
      <c r="HX39" s="2955"/>
      <c r="HY39" s="2955"/>
      <c r="HZ39" s="2955"/>
      <c r="IA39" s="2955"/>
      <c r="IB39" s="2955"/>
      <c r="IC39" s="2955"/>
      <c r="ID39" s="2955"/>
      <c r="IE39" s="2955"/>
      <c r="IF39" s="2955"/>
      <c r="IG39" s="2955"/>
      <c r="IH39" s="2955"/>
      <c r="II39" s="2955"/>
      <c r="IJ39" s="2955"/>
      <c r="IK39" s="2955"/>
      <c r="IL39" s="2955"/>
      <c r="IM39" s="2955"/>
      <c r="IN39" s="2955"/>
      <c r="IO39" s="2955"/>
      <c r="IP39" s="2955"/>
    </row>
    <row r="40" spans="1:250" s="2953" customFormat="1" ht="15.95" customHeight="1">
      <c r="A40" s="3344"/>
      <c r="B40" s="3329"/>
      <c r="C40" s="3336"/>
      <c r="D40" s="3337"/>
      <c r="E40" s="3336"/>
      <c r="F40" s="2956" t="s">
        <v>3185</v>
      </c>
      <c r="G40" s="3330"/>
      <c r="H40" s="3333"/>
      <c r="I40" s="2957" t="s">
        <v>3186</v>
      </c>
      <c r="J40" s="3333"/>
      <c r="K40" s="2958"/>
      <c r="L40" s="2965"/>
      <c r="M40" s="2965">
        <v>327251.7365</v>
      </c>
      <c r="N40" s="2965">
        <v>327251.7365</v>
      </c>
      <c r="O40" s="2964">
        <v>317389.3554</v>
      </c>
      <c r="P40" s="2964"/>
      <c r="Q40" s="2964"/>
      <c r="R40" s="2964"/>
      <c r="S40" s="2964"/>
      <c r="T40" s="2960">
        <f t="shared" si="0"/>
        <v>971892.8284</v>
      </c>
      <c r="U40" s="2980">
        <f>T40</f>
        <v>971892.8284</v>
      </c>
      <c r="V40" s="2980">
        <f>U40/H38/1083</f>
        <v>3.7334441366574329</v>
      </c>
      <c r="W40" s="2955"/>
      <c r="X40" s="2955"/>
      <c r="Y40" s="2955"/>
      <c r="Z40" s="2955"/>
      <c r="AA40" s="2955"/>
      <c r="AB40" s="2955"/>
      <c r="AC40" s="2955"/>
      <c r="AD40" s="2955"/>
      <c r="AE40" s="2955"/>
      <c r="AF40" s="2955"/>
      <c r="AG40" s="2955"/>
      <c r="AH40" s="2955"/>
      <c r="AI40" s="2955"/>
      <c r="AJ40" s="2955"/>
      <c r="AK40" s="2955"/>
      <c r="AL40" s="2955"/>
      <c r="AM40" s="2955"/>
      <c r="AN40" s="2955"/>
      <c r="AO40" s="2955"/>
      <c r="AP40" s="2955"/>
      <c r="AQ40" s="2955"/>
      <c r="AR40" s="2955"/>
      <c r="AS40" s="2955"/>
      <c r="AT40" s="2955"/>
      <c r="AU40" s="2955"/>
      <c r="AV40" s="2955"/>
      <c r="AW40" s="2955"/>
      <c r="AX40" s="2955"/>
      <c r="AY40" s="2955"/>
      <c r="AZ40" s="2955"/>
      <c r="BA40" s="2955"/>
      <c r="BB40" s="2955"/>
      <c r="BC40" s="2955"/>
      <c r="BD40" s="2955"/>
      <c r="BE40" s="2955"/>
      <c r="BF40" s="2955"/>
      <c r="BG40" s="2955"/>
      <c r="BH40" s="2955"/>
      <c r="BI40" s="2955"/>
      <c r="BJ40" s="2955"/>
      <c r="BK40" s="2955"/>
      <c r="BL40" s="2955"/>
      <c r="BM40" s="2955"/>
      <c r="BN40" s="2955"/>
      <c r="BO40" s="2955"/>
      <c r="BP40" s="2955"/>
      <c r="BQ40" s="2955"/>
      <c r="BR40" s="2955"/>
      <c r="BS40" s="2955"/>
      <c r="BT40" s="2955"/>
      <c r="BU40" s="2955"/>
      <c r="BV40" s="2955"/>
      <c r="BW40" s="2955"/>
      <c r="BX40" s="2955"/>
      <c r="BY40" s="2955"/>
      <c r="BZ40" s="2955"/>
      <c r="CA40" s="2955"/>
      <c r="CB40" s="2955"/>
      <c r="CC40" s="2955"/>
      <c r="CD40" s="2955"/>
      <c r="CE40" s="2955"/>
      <c r="CF40" s="2955"/>
      <c r="CG40" s="2955"/>
      <c r="CH40" s="2955"/>
      <c r="CI40" s="2955"/>
      <c r="CJ40" s="2955"/>
      <c r="CK40" s="2955"/>
      <c r="CL40" s="2955"/>
      <c r="CM40" s="2955"/>
      <c r="CN40" s="2955"/>
      <c r="CO40" s="2955"/>
      <c r="CP40" s="2955"/>
      <c r="CQ40" s="2955"/>
      <c r="CR40" s="2955"/>
      <c r="CS40" s="2955"/>
      <c r="CT40" s="2955"/>
      <c r="CU40" s="2955"/>
      <c r="CV40" s="2955"/>
      <c r="CW40" s="2955"/>
      <c r="CX40" s="2955"/>
      <c r="CY40" s="2955"/>
      <c r="CZ40" s="2955"/>
      <c r="DA40" s="2955"/>
      <c r="DB40" s="2955"/>
      <c r="DC40" s="2955"/>
      <c r="DD40" s="2955"/>
      <c r="DE40" s="2955"/>
      <c r="DF40" s="2955"/>
      <c r="DG40" s="2955"/>
      <c r="DH40" s="2955"/>
      <c r="DI40" s="2955"/>
      <c r="DJ40" s="2955"/>
      <c r="DK40" s="2955"/>
      <c r="DL40" s="2955"/>
      <c r="DM40" s="2955"/>
      <c r="DN40" s="2955"/>
      <c r="DO40" s="2955"/>
      <c r="DP40" s="2955"/>
      <c r="DQ40" s="2955"/>
      <c r="DR40" s="2955"/>
      <c r="DS40" s="2955"/>
      <c r="DT40" s="2955"/>
      <c r="DU40" s="2955"/>
      <c r="DV40" s="2955"/>
      <c r="DW40" s="2955"/>
      <c r="DX40" s="2955"/>
      <c r="DY40" s="2955"/>
      <c r="DZ40" s="2955"/>
      <c r="EA40" s="2955"/>
      <c r="EB40" s="2955"/>
      <c r="EC40" s="2955"/>
      <c r="ED40" s="2955"/>
      <c r="EE40" s="2955"/>
      <c r="EF40" s="2955"/>
      <c r="EG40" s="2955"/>
      <c r="EH40" s="2955"/>
      <c r="EI40" s="2955"/>
      <c r="EJ40" s="2955"/>
      <c r="EK40" s="2955"/>
      <c r="EL40" s="2955"/>
      <c r="EM40" s="2955"/>
      <c r="EN40" s="2955"/>
      <c r="EO40" s="2955"/>
      <c r="EP40" s="2955"/>
      <c r="EQ40" s="2955"/>
      <c r="ER40" s="2955"/>
      <c r="ES40" s="2955"/>
      <c r="ET40" s="2955"/>
      <c r="EU40" s="2955"/>
      <c r="EV40" s="2955"/>
      <c r="EW40" s="2955"/>
      <c r="EX40" s="2955"/>
      <c r="EY40" s="2955"/>
      <c r="EZ40" s="2955"/>
      <c r="FA40" s="2955"/>
      <c r="FB40" s="2955"/>
      <c r="FC40" s="2955"/>
      <c r="FD40" s="2955"/>
      <c r="FE40" s="2955"/>
      <c r="FF40" s="2955"/>
      <c r="FG40" s="2955"/>
      <c r="FH40" s="2955"/>
      <c r="FI40" s="2955"/>
      <c r="FJ40" s="2955"/>
      <c r="FK40" s="2955"/>
      <c r="FL40" s="2955"/>
      <c r="FM40" s="2955"/>
      <c r="FN40" s="2955"/>
      <c r="FO40" s="2955"/>
      <c r="FP40" s="2955"/>
      <c r="FQ40" s="2955"/>
      <c r="FR40" s="2955"/>
      <c r="FS40" s="2955"/>
      <c r="FT40" s="2955"/>
      <c r="FU40" s="2955"/>
      <c r="FV40" s="2955"/>
      <c r="FW40" s="2955"/>
      <c r="FX40" s="2955"/>
      <c r="FY40" s="2955"/>
      <c r="FZ40" s="2955"/>
      <c r="GA40" s="2955"/>
      <c r="GB40" s="2955"/>
      <c r="GC40" s="2955"/>
      <c r="GD40" s="2955"/>
      <c r="GE40" s="2955"/>
      <c r="GF40" s="2955"/>
      <c r="GG40" s="2955"/>
      <c r="GH40" s="2955"/>
      <c r="GI40" s="2955"/>
      <c r="GJ40" s="2955"/>
      <c r="GK40" s="2955"/>
      <c r="GL40" s="2955"/>
      <c r="GM40" s="2955"/>
      <c r="GN40" s="2955"/>
      <c r="GO40" s="2955"/>
      <c r="GP40" s="2955"/>
      <c r="GQ40" s="2955"/>
      <c r="GR40" s="2955"/>
      <c r="GS40" s="2955"/>
      <c r="GT40" s="2955"/>
      <c r="GU40" s="2955"/>
      <c r="GV40" s="2955"/>
      <c r="GW40" s="2955"/>
      <c r="GX40" s="2955"/>
      <c r="GY40" s="2955"/>
      <c r="GZ40" s="2955"/>
      <c r="HA40" s="2955"/>
      <c r="HB40" s="2955"/>
      <c r="HC40" s="2955"/>
      <c r="HD40" s="2955"/>
      <c r="HE40" s="2955"/>
      <c r="HF40" s="2955"/>
      <c r="HG40" s="2955"/>
      <c r="HH40" s="2955"/>
      <c r="HI40" s="2955"/>
      <c r="HJ40" s="2955"/>
      <c r="HK40" s="2955"/>
      <c r="HL40" s="2955"/>
      <c r="HM40" s="2955"/>
      <c r="HN40" s="2955"/>
      <c r="HO40" s="2955"/>
      <c r="HP40" s="2955"/>
      <c r="HQ40" s="2955"/>
      <c r="HR40" s="2955"/>
      <c r="HS40" s="2955"/>
      <c r="HT40" s="2955"/>
      <c r="HU40" s="2955"/>
      <c r="HV40" s="2955"/>
      <c r="HW40" s="2955"/>
      <c r="HX40" s="2955"/>
      <c r="HY40" s="2955"/>
      <c r="HZ40" s="2955"/>
      <c r="IA40" s="2955"/>
      <c r="IB40" s="2955"/>
      <c r="IC40" s="2955"/>
      <c r="ID40" s="2955"/>
      <c r="IE40" s="2955"/>
      <c r="IF40" s="2955"/>
      <c r="IG40" s="2955"/>
      <c r="IH40" s="2955"/>
      <c r="II40" s="2955"/>
      <c r="IJ40" s="2955"/>
      <c r="IK40" s="2955"/>
      <c r="IL40" s="2955"/>
      <c r="IM40" s="2955"/>
      <c r="IN40" s="2955"/>
      <c r="IO40" s="2955"/>
      <c r="IP40" s="2955"/>
    </row>
    <row r="41" spans="1:250" s="2953" customFormat="1" ht="15.95" customHeight="1">
      <c r="A41" s="3344"/>
      <c r="B41" s="3329" t="s">
        <v>3188</v>
      </c>
      <c r="C41" s="3330" t="s">
        <v>3189</v>
      </c>
      <c r="D41" s="3338" t="s">
        <v>3190</v>
      </c>
      <c r="E41" s="3338" t="s">
        <v>3155</v>
      </c>
      <c r="F41" s="2956" t="s">
        <v>3191</v>
      </c>
      <c r="G41" s="3330" t="s">
        <v>3132</v>
      </c>
      <c r="H41" s="3333">
        <v>1040.3699999999999</v>
      </c>
      <c r="I41" s="2958" t="s">
        <v>3192</v>
      </c>
      <c r="J41" s="3333" t="s">
        <v>3145</v>
      </c>
      <c r="K41" s="2958"/>
      <c r="L41" s="2965"/>
      <c r="M41" s="2965">
        <f>124301*10</f>
        <v>1243010</v>
      </c>
      <c r="N41" s="2965">
        <f>124301*12</f>
        <v>1491612</v>
      </c>
      <c r="O41" s="2964">
        <f>124301*3</f>
        <v>372903</v>
      </c>
      <c r="P41" s="2964"/>
      <c r="Q41" s="2964"/>
      <c r="R41" s="2964"/>
      <c r="S41" s="2964"/>
      <c r="T41" s="2960">
        <f t="shared" si="0"/>
        <v>3107525</v>
      </c>
      <c r="U41" s="3326">
        <f>T41+T42</f>
        <v>4760917.4000000004</v>
      </c>
      <c r="V41" s="3324">
        <f>U41/H41/1095</f>
        <v>4.1791571956991245</v>
      </c>
      <c r="W41" s="2955"/>
      <c r="X41" s="2955"/>
      <c r="Y41" s="2955"/>
      <c r="Z41" s="2955"/>
      <c r="AA41" s="2955"/>
      <c r="AB41" s="2955"/>
      <c r="AC41" s="2955"/>
      <c r="AD41" s="2955"/>
      <c r="AE41" s="2955"/>
      <c r="AF41" s="2955"/>
      <c r="AG41" s="2955"/>
      <c r="AH41" s="2955"/>
      <c r="AI41" s="2955"/>
      <c r="AJ41" s="2955"/>
      <c r="AK41" s="2955"/>
      <c r="AL41" s="2955"/>
      <c r="AM41" s="2955"/>
      <c r="AN41" s="2955"/>
      <c r="AO41" s="2955"/>
      <c r="AP41" s="2955"/>
      <c r="AQ41" s="2955"/>
      <c r="AR41" s="2955"/>
      <c r="AS41" s="2955"/>
      <c r="AT41" s="2955"/>
      <c r="AU41" s="2955"/>
      <c r="AV41" s="2955"/>
      <c r="AW41" s="2955"/>
      <c r="AX41" s="2955"/>
      <c r="AY41" s="2955"/>
      <c r="AZ41" s="2955"/>
      <c r="BA41" s="2955"/>
      <c r="BB41" s="2955"/>
      <c r="BC41" s="2955"/>
      <c r="BD41" s="2955"/>
      <c r="BE41" s="2955"/>
      <c r="BF41" s="2955"/>
      <c r="BG41" s="2955"/>
      <c r="BH41" s="2955"/>
      <c r="BI41" s="2955"/>
      <c r="BJ41" s="2955"/>
      <c r="BK41" s="2955"/>
      <c r="BL41" s="2955"/>
      <c r="BM41" s="2955"/>
      <c r="BN41" s="2955"/>
      <c r="BO41" s="2955"/>
      <c r="BP41" s="2955"/>
      <c r="BQ41" s="2955"/>
      <c r="BR41" s="2955"/>
      <c r="BS41" s="2955"/>
      <c r="BT41" s="2955"/>
      <c r="BU41" s="2955"/>
      <c r="BV41" s="2955"/>
      <c r="BW41" s="2955"/>
      <c r="BX41" s="2955"/>
      <c r="BY41" s="2955"/>
      <c r="BZ41" s="2955"/>
      <c r="CA41" s="2955"/>
      <c r="CB41" s="2955"/>
      <c r="CC41" s="2955"/>
      <c r="CD41" s="2955"/>
      <c r="CE41" s="2955"/>
      <c r="CF41" s="2955"/>
      <c r="CG41" s="2955"/>
      <c r="CH41" s="2955"/>
      <c r="CI41" s="2955"/>
      <c r="CJ41" s="2955"/>
      <c r="CK41" s="2955"/>
      <c r="CL41" s="2955"/>
      <c r="CM41" s="2955"/>
      <c r="CN41" s="2955"/>
      <c r="CO41" s="2955"/>
      <c r="CP41" s="2955"/>
      <c r="CQ41" s="2955"/>
      <c r="CR41" s="2955"/>
      <c r="CS41" s="2955"/>
      <c r="CT41" s="2955"/>
      <c r="CU41" s="2955"/>
      <c r="CV41" s="2955"/>
      <c r="CW41" s="2955"/>
      <c r="CX41" s="2955"/>
      <c r="CY41" s="2955"/>
      <c r="CZ41" s="2955"/>
      <c r="DA41" s="2955"/>
      <c r="DB41" s="2955"/>
      <c r="DC41" s="2955"/>
      <c r="DD41" s="2955"/>
      <c r="DE41" s="2955"/>
      <c r="DF41" s="2955"/>
      <c r="DG41" s="2955"/>
      <c r="DH41" s="2955"/>
      <c r="DI41" s="2955"/>
      <c r="DJ41" s="2955"/>
      <c r="DK41" s="2955"/>
      <c r="DL41" s="2955"/>
      <c r="DM41" s="2955"/>
      <c r="DN41" s="2955"/>
      <c r="DO41" s="2955"/>
      <c r="DP41" s="2955"/>
      <c r="DQ41" s="2955"/>
      <c r="DR41" s="2955"/>
      <c r="DS41" s="2955"/>
      <c r="DT41" s="2955"/>
      <c r="DU41" s="2955"/>
      <c r="DV41" s="2955"/>
      <c r="DW41" s="2955"/>
      <c r="DX41" s="2955"/>
      <c r="DY41" s="2955"/>
      <c r="DZ41" s="2955"/>
      <c r="EA41" s="2955"/>
      <c r="EB41" s="2955"/>
      <c r="EC41" s="2955"/>
      <c r="ED41" s="2955"/>
      <c r="EE41" s="2955"/>
      <c r="EF41" s="2955"/>
      <c r="EG41" s="2955"/>
      <c r="EH41" s="2955"/>
      <c r="EI41" s="2955"/>
      <c r="EJ41" s="2955"/>
      <c r="EK41" s="2955"/>
      <c r="EL41" s="2955"/>
      <c r="EM41" s="2955"/>
      <c r="EN41" s="2955"/>
      <c r="EO41" s="2955"/>
      <c r="EP41" s="2955"/>
      <c r="EQ41" s="2955"/>
      <c r="ER41" s="2955"/>
      <c r="ES41" s="2955"/>
      <c r="ET41" s="2955"/>
      <c r="EU41" s="2955"/>
      <c r="EV41" s="2955"/>
      <c r="EW41" s="2955"/>
      <c r="EX41" s="2955"/>
      <c r="EY41" s="2955"/>
      <c r="EZ41" s="2955"/>
      <c r="FA41" s="2955"/>
      <c r="FB41" s="2955"/>
      <c r="FC41" s="2955"/>
      <c r="FD41" s="2955"/>
      <c r="FE41" s="2955"/>
      <c r="FF41" s="2955"/>
      <c r="FG41" s="2955"/>
      <c r="FH41" s="2955"/>
      <c r="FI41" s="2955"/>
      <c r="FJ41" s="2955"/>
      <c r="FK41" s="2955"/>
      <c r="FL41" s="2955"/>
      <c r="FM41" s="2955"/>
      <c r="FN41" s="2955"/>
      <c r="FO41" s="2955"/>
      <c r="FP41" s="2955"/>
      <c r="FQ41" s="2955"/>
      <c r="FR41" s="2955"/>
      <c r="FS41" s="2955"/>
      <c r="FT41" s="2955"/>
      <c r="FU41" s="2955"/>
      <c r="FV41" s="2955"/>
      <c r="FW41" s="2955"/>
      <c r="FX41" s="2955"/>
      <c r="FY41" s="2955"/>
      <c r="FZ41" s="2955"/>
      <c r="GA41" s="2955"/>
      <c r="GB41" s="2955"/>
      <c r="GC41" s="2955"/>
      <c r="GD41" s="2955"/>
      <c r="GE41" s="2955"/>
      <c r="GF41" s="2955"/>
      <c r="GG41" s="2955"/>
      <c r="GH41" s="2955"/>
      <c r="GI41" s="2955"/>
      <c r="GJ41" s="2955"/>
      <c r="GK41" s="2955"/>
      <c r="GL41" s="2955"/>
      <c r="GM41" s="2955"/>
      <c r="GN41" s="2955"/>
      <c r="GO41" s="2955"/>
      <c r="GP41" s="2955"/>
      <c r="GQ41" s="2955"/>
      <c r="GR41" s="2955"/>
      <c r="GS41" s="2955"/>
      <c r="GT41" s="2955"/>
      <c r="GU41" s="2955"/>
      <c r="GV41" s="2955"/>
      <c r="GW41" s="2955"/>
      <c r="GX41" s="2955"/>
      <c r="GY41" s="2955"/>
      <c r="GZ41" s="2955"/>
      <c r="HA41" s="2955"/>
      <c r="HB41" s="2955"/>
      <c r="HC41" s="2955"/>
      <c r="HD41" s="2955"/>
      <c r="HE41" s="2955"/>
      <c r="HF41" s="2955"/>
      <c r="HG41" s="2955"/>
      <c r="HH41" s="2955"/>
      <c r="HI41" s="2955"/>
      <c r="HJ41" s="2955"/>
      <c r="HK41" s="2955"/>
      <c r="HL41" s="2955"/>
      <c r="HM41" s="2955"/>
      <c r="HN41" s="2955"/>
      <c r="HO41" s="2955"/>
      <c r="HP41" s="2955"/>
      <c r="HQ41" s="2955"/>
      <c r="HR41" s="2955"/>
      <c r="HS41" s="2955"/>
      <c r="HT41" s="2955"/>
      <c r="HU41" s="2955"/>
      <c r="HV41" s="2955"/>
      <c r="HW41" s="2955"/>
      <c r="HX41" s="2955"/>
      <c r="HY41" s="2955"/>
      <c r="HZ41" s="2955"/>
      <c r="IA41" s="2955"/>
      <c r="IB41" s="2955"/>
      <c r="IC41" s="2955"/>
      <c r="ID41" s="2955"/>
      <c r="IE41" s="2955"/>
      <c r="IF41" s="2955"/>
      <c r="IG41" s="2955"/>
      <c r="IH41" s="2955"/>
      <c r="II41" s="2955"/>
      <c r="IJ41" s="2955"/>
      <c r="IK41" s="2955"/>
      <c r="IL41" s="2955"/>
      <c r="IM41" s="2955"/>
      <c r="IN41" s="2955"/>
      <c r="IO41" s="2955"/>
      <c r="IP41" s="2955"/>
    </row>
    <row r="42" spans="1:250" s="2953" customFormat="1" ht="15.95" customHeight="1">
      <c r="A42" s="3344"/>
      <c r="B42" s="3329"/>
      <c r="C42" s="3330"/>
      <c r="D42" s="3338"/>
      <c r="E42" s="3338"/>
      <c r="F42" s="2956" t="s">
        <v>3193</v>
      </c>
      <c r="G42" s="3330"/>
      <c r="H42" s="3333"/>
      <c r="I42" s="2958" t="s">
        <v>3194</v>
      </c>
      <c r="J42" s="3333"/>
      <c r="K42" s="2958"/>
      <c r="L42" s="2965"/>
      <c r="M42" s="2965"/>
      <c r="N42" s="2965"/>
      <c r="O42" s="2964">
        <f>136644*9</f>
        <v>1229796</v>
      </c>
      <c r="P42" s="2964">
        <f>136644*3.1</f>
        <v>423596.4</v>
      </c>
      <c r="Q42" s="2964"/>
      <c r="R42" s="2964"/>
      <c r="S42" s="2964"/>
      <c r="T42" s="2960">
        <f t="shared" si="0"/>
        <v>1653392.4</v>
      </c>
      <c r="U42" s="3327"/>
      <c r="V42" s="3325"/>
      <c r="W42" s="2955"/>
      <c r="X42" s="2955"/>
      <c r="Y42" s="2955"/>
      <c r="Z42" s="2955"/>
      <c r="AA42" s="2955"/>
      <c r="AB42" s="2955"/>
      <c r="AC42" s="2955"/>
      <c r="AD42" s="2955"/>
      <c r="AE42" s="2955"/>
      <c r="AF42" s="2955"/>
      <c r="AG42" s="2955"/>
      <c r="AH42" s="2955"/>
      <c r="AI42" s="2955"/>
      <c r="AJ42" s="2955"/>
      <c r="AK42" s="2955"/>
      <c r="AL42" s="2955"/>
      <c r="AM42" s="2955"/>
      <c r="AN42" s="2955"/>
      <c r="AO42" s="2955"/>
      <c r="AP42" s="2955"/>
      <c r="AQ42" s="2955"/>
      <c r="AR42" s="2955"/>
      <c r="AS42" s="2955"/>
      <c r="AT42" s="2955"/>
      <c r="AU42" s="2955"/>
      <c r="AV42" s="2955"/>
      <c r="AW42" s="2955"/>
      <c r="AX42" s="2955"/>
      <c r="AY42" s="2955"/>
      <c r="AZ42" s="2955"/>
      <c r="BA42" s="2955"/>
      <c r="BB42" s="2955"/>
      <c r="BC42" s="2955"/>
      <c r="BD42" s="2955"/>
      <c r="BE42" s="2955"/>
      <c r="BF42" s="2955"/>
      <c r="BG42" s="2955"/>
      <c r="BH42" s="2955"/>
      <c r="BI42" s="2955"/>
      <c r="BJ42" s="2955"/>
      <c r="BK42" s="2955"/>
      <c r="BL42" s="2955"/>
      <c r="BM42" s="2955"/>
      <c r="BN42" s="2955"/>
      <c r="BO42" s="2955"/>
      <c r="BP42" s="2955"/>
      <c r="BQ42" s="2955"/>
      <c r="BR42" s="2955"/>
      <c r="BS42" s="2955"/>
      <c r="BT42" s="2955"/>
      <c r="BU42" s="2955"/>
      <c r="BV42" s="2955"/>
      <c r="BW42" s="2955"/>
      <c r="BX42" s="2955"/>
      <c r="BY42" s="2955"/>
      <c r="BZ42" s="2955"/>
      <c r="CA42" s="2955"/>
      <c r="CB42" s="2955"/>
      <c r="CC42" s="2955"/>
      <c r="CD42" s="2955"/>
      <c r="CE42" s="2955"/>
      <c r="CF42" s="2955"/>
      <c r="CG42" s="2955"/>
      <c r="CH42" s="2955"/>
      <c r="CI42" s="2955"/>
      <c r="CJ42" s="2955"/>
      <c r="CK42" s="2955"/>
      <c r="CL42" s="2955"/>
      <c r="CM42" s="2955"/>
      <c r="CN42" s="2955"/>
      <c r="CO42" s="2955"/>
      <c r="CP42" s="2955"/>
      <c r="CQ42" s="2955"/>
      <c r="CR42" s="2955"/>
      <c r="CS42" s="2955"/>
      <c r="CT42" s="2955"/>
      <c r="CU42" s="2955"/>
      <c r="CV42" s="2955"/>
      <c r="CW42" s="2955"/>
      <c r="CX42" s="2955"/>
      <c r="CY42" s="2955"/>
      <c r="CZ42" s="2955"/>
      <c r="DA42" s="2955"/>
      <c r="DB42" s="2955"/>
      <c r="DC42" s="2955"/>
      <c r="DD42" s="2955"/>
      <c r="DE42" s="2955"/>
      <c r="DF42" s="2955"/>
      <c r="DG42" s="2955"/>
      <c r="DH42" s="2955"/>
      <c r="DI42" s="2955"/>
      <c r="DJ42" s="2955"/>
      <c r="DK42" s="2955"/>
      <c r="DL42" s="2955"/>
      <c r="DM42" s="2955"/>
      <c r="DN42" s="2955"/>
      <c r="DO42" s="2955"/>
      <c r="DP42" s="2955"/>
      <c r="DQ42" s="2955"/>
      <c r="DR42" s="2955"/>
      <c r="DS42" s="2955"/>
      <c r="DT42" s="2955"/>
      <c r="DU42" s="2955"/>
      <c r="DV42" s="2955"/>
      <c r="DW42" s="2955"/>
      <c r="DX42" s="2955"/>
      <c r="DY42" s="2955"/>
      <c r="DZ42" s="2955"/>
      <c r="EA42" s="2955"/>
      <c r="EB42" s="2955"/>
      <c r="EC42" s="2955"/>
      <c r="ED42" s="2955"/>
      <c r="EE42" s="2955"/>
      <c r="EF42" s="2955"/>
      <c r="EG42" s="2955"/>
      <c r="EH42" s="2955"/>
      <c r="EI42" s="2955"/>
      <c r="EJ42" s="2955"/>
      <c r="EK42" s="2955"/>
      <c r="EL42" s="2955"/>
      <c r="EM42" s="2955"/>
      <c r="EN42" s="2955"/>
      <c r="EO42" s="2955"/>
      <c r="EP42" s="2955"/>
      <c r="EQ42" s="2955"/>
      <c r="ER42" s="2955"/>
      <c r="ES42" s="2955"/>
      <c r="ET42" s="2955"/>
      <c r="EU42" s="2955"/>
      <c r="EV42" s="2955"/>
      <c r="EW42" s="2955"/>
      <c r="EX42" s="2955"/>
      <c r="EY42" s="2955"/>
      <c r="EZ42" s="2955"/>
      <c r="FA42" s="2955"/>
      <c r="FB42" s="2955"/>
      <c r="FC42" s="2955"/>
      <c r="FD42" s="2955"/>
      <c r="FE42" s="2955"/>
      <c r="FF42" s="2955"/>
      <c r="FG42" s="2955"/>
      <c r="FH42" s="2955"/>
      <c r="FI42" s="2955"/>
      <c r="FJ42" s="2955"/>
      <c r="FK42" s="2955"/>
      <c r="FL42" s="2955"/>
      <c r="FM42" s="2955"/>
      <c r="FN42" s="2955"/>
      <c r="FO42" s="2955"/>
      <c r="FP42" s="2955"/>
      <c r="FQ42" s="2955"/>
      <c r="FR42" s="2955"/>
      <c r="FS42" s="2955"/>
      <c r="FT42" s="2955"/>
      <c r="FU42" s="2955"/>
      <c r="FV42" s="2955"/>
      <c r="FW42" s="2955"/>
      <c r="FX42" s="2955"/>
      <c r="FY42" s="2955"/>
      <c r="FZ42" s="2955"/>
      <c r="GA42" s="2955"/>
      <c r="GB42" s="2955"/>
      <c r="GC42" s="2955"/>
      <c r="GD42" s="2955"/>
      <c r="GE42" s="2955"/>
      <c r="GF42" s="2955"/>
      <c r="GG42" s="2955"/>
      <c r="GH42" s="2955"/>
      <c r="GI42" s="2955"/>
      <c r="GJ42" s="2955"/>
      <c r="GK42" s="2955"/>
      <c r="GL42" s="2955"/>
      <c r="GM42" s="2955"/>
      <c r="GN42" s="2955"/>
      <c r="GO42" s="2955"/>
      <c r="GP42" s="2955"/>
      <c r="GQ42" s="2955"/>
      <c r="GR42" s="2955"/>
      <c r="GS42" s="2955"/>
      <c r="GT42" s="2955"/>
      <c r="GU42" s="2955"/>
      <c r="GV42" s="2955"/>
      <c r="GW42" s="2955"/>
      <c r="GX42" s="2955"/>
      <c r="GY42" s="2955"/>
      <c r="GZ42" s="2955"/>
      <c r="HA42" s="2955"/>
      <c r="HB42" s="2955"/>
      <c r="HC42" s="2955"/>
      <c r="HD42" s="2955"/>
      <c r="HE42" s="2955"/>
      <c r="HF42" s="2955"/>
      <c r="HG42" s="2955"/>
      <c r="HH42" s="2955"/>
      <c r="HI42" s="2955"/>
      <c r="HJ42" s="2955"/>
      <c r="HK42" s="2955"/>
      <c r="HL42" s="2955"/>
      <c r="HM42" s="2955"/>
      <c r="HN42" s="2955"/>
      <c r="HO42" s="2955"/>
      <c r="HP42" s="2955"/>
      <c r="HQ42" s="2955"/>
      <c r="HR42" s="2955"/>
      <c r="HS42" s="2955"/>
      <c r="HT42" s="2955"/>
      <c r="HU42" s="2955"/>
      <c r="HV42" s="2955"/>
      <c r="HW42" s="2955"/>
      <c r="HX42" s="2955"/>
      <c r="HY42" s="2955"/>
      <c r="HZ42" s="2955"/>
      <c r="IA42" s="2955"/>
      <c r="IB42" s="2955"/>
      <c r="IC42" s="2955"/>
      <c r="ID42" s="2955"/>
      <c r="IE42" s="2955"/>
      <c r="IF42" s="2955"/>
      <c r="IG42" s="2955"/>
      <c r="IH42" s="2955"/>
      <c r="II42" s="2955"/>
      <c r="IJ42" s="2955"/>
      <c r="IK42" s="2955"/>
      <c r="IL42" s="2955"/>
      <c r="IM42" s="2955"/>
      <c r="IN42" s="2955"/>
      <c r="IO42" s="2955"/>
      <c r="IP42" s="2955"/>
    </row>
    <row r="43" spans="1:250" s="2953" customFormat="1" ht="15.95" customHeight="1">
      <c r="A43" s="3344"/>
      <c r="B43" s="3329"/>
      <c r="C43" s="3330"/>
      <c r="D43" s="3338"/>
      <c r="E43" s="3338"/>
      <c r="F43" s="2956"/>
      <c r="G43" s="3330"/>
      <c r="H43" s="3333"/>
      <c r="I43" s="2958"/>
      <c r="J43" s="3333"/>
      <c r="K43" s="2958"/>
      <c r="L43" s="2965"/>
      <c r="M43" s="2965"/>
      <c r="N43" s="2965"/>
      <c r="O43" s="2964"/>
      <c r="P43" s="2964"/>
      <c r="Q43" s="2964"/>
      <c r="R43" s="2964"/>
      <c r="S43" s="2964"/>
      <c r="T43" s="2960">
        <f t="shared" si="0"/>
        <v>0</v>
      </c>
      <c r="U43" s="2969"/>
      <c r="V43" s="2969"/>
      <c r="W43" s="2955"/>
      <c r="X43" s="2955"/>
      <c r="Y43" s="2955"/>
      <c r="Z43" s="2955"/>
      <c r="AA43" s="2955"/>
      <c r="AB43" s="2955"/>
      <c r="AC43" s="2955"/>
      <c r="AD43" s="2955"/>
      <c r="AE43" s="2955"/>
      <c r="AF43" s="2955"/>
      <c r="AG43" s="2955"/>
      <c r="AH43" s="2955"/>
      <c r="AI43" s="2955"/>
      <c r="AJ43" s="2955"/>
      <c r="AK43" s="2955"/>
      <c r="AL43" s="2955"/>
      <c r="AM43" s="2955"/>
      <c r="AN43" s="2955"/>
      <c r="AO43" s="2955"/>
      <c r="AP43" s="2955"/>
      <c r="AQ43" s="2955"/>
      <c r="AR43" s="2955"/>
      <c r="AS43" s="2955"/>
      <c r="AT43" s="2955"/>
      <c r="AU43" s="2955"/>
      <c r="AV43" s="2955"/>
      <c r="AW43" s="2955"/>
      <c r="AX43" s="2955"/>
      <c r="AY43" s="2955"/>
      <c r="AZ43" s="2955"/>
      <c r="BA43" s="2955"/>
      <c r="BB43" s="2955"/>
      <c r="BC43" s="2955"/>
      <c r="BD43" s="2955"/>
      <c r="BE43" s="2955"/>
      <c r="BF43" s="2955"/>
      <c r="BG43" s="2955"/>
      <c r="BH43" s="2955"/>
      <c r="BI43" s="2955"/>
      <c r="BJ43" s="2955"/>
      <c r="BK43" s="2955"/>
      <c r="BL43" s="2955"/>
      <c r="BM43" s="2955"/>
      <c r="BN43" s="2955"/>
      <c r="BO43" s="2955"/>
      <c r="BP43" s="2955"/>
      <c r="BQ43" s="2955"/>
      <c r="BR43" s="2955"/>
      <c r="BS43" s="2955"/>
      <c r="BT43" s="2955"/>
      <c r="BU43" s="2955"/>
      <c r="BV43" s="2955"/>
      <c r="BW43" s="2955"/>
      <c r="BX43" s="2955"/>
      <c r="BY43" s="2955"/>
      <c r="BZ43" s="2955"/>
      <c r="CA43" s="2955"/>
      <c r="CB43" s="2955"/>
      <c r="CC43" s="2955"/>
      <c r="CD43" s="2955"/>
      <c r="CE43" s="2955"/>
      <c r="CF43" s="2955"/>
      <c r="CG43" s="2955"/>
      <c r="CH43" s="2955"/>
      <c r="CI43" s="2955"/>
      <c r="CJ43" s="2955"/>
      <c r="CK43" s="2955"/>
      <c r="CL43" s="2955"/>
      <c r="CM43" s="2955"/>
      <c r="CN43" s="2955"/>
      <c r="CO43" s="2955"/>
      <c r="CP43" s="2955"/>
      <c r="CQ43" s="2955"/>
      <c r="CR43" s="2955"/>
      <c r="CS43" s="2955"/>
      <c r="CT43" s="2955"/>
      <c r="CU43" s="2955"/>
      <c r="CV43" s="2955"/>
      <c r="CW43" s="2955"/>
      <c r="CX43" s="2955"/>
      <c r="CY43" s="2955"/>
      <c r="CZ43" s="2955"/>
      <c r="DA43" s="2955"/>
      <c r="DB43" s="2955"/>
      <c r="DC43" s="2955"/>
      <c r="DD43" s="2955"/>
      <c r="DE43" s="2955"/>
      <c r="DF43" s="2955"/>
      <c r="DG43" s="2955"/>
      <c r="DH43" s="2955"/>
      <c r="DI43" s="2955"/>
      <c r="DJ43" s="2955"/>
      <c r="DK43" s="2955"/>
      <c r="DL43" s="2955"/>
      <c r="DM43" s="2955"/>
      <c r="DN43" s="2955"/>
      <c r="DO43" s="2955"/>
      <c r="DP43" s="2955"/>
      <c r="DQ43" s="2955"/>
      <c r="DR43" s="2955"/>
      <c r="DS43" s="2955"/>
      <c r="DT43" s="2955"/>
      <c r="DU43" s="2955"/>
      <c r="DV43" s="2955"/>
      <c r="DW43" s="2955"/>
      <c r="DX43" s="2955"/>
      <c r="DY43" s="2955"/>
      <c r="DZ43" s="2955"/>
      <c r="EA43" s="2955"/>
      <c r="EB43" s="2955"/>
      <c r="EC43" s="2955"/>
      <c r="ED43" s="2955"/>
      <c r="EE43" s="2955"/>
      <c r="EF43" s="2955"/>
      <c r="EG43" s="2955"/>
      <c r="EH43" s="2955"/>
      <c r="EI43" s="2955"/>
      <c r="EJ43" s="2955"/>
      <c r="EK43" s="2955"/>
      <c r="EL43" s="2955"/>
      <c r="EM43" s="2955"/>
      <c r="EN43" s="2955"/>
      <c r="EO43" s="2955"/>
      <c r="EP43" s="2955"/>
      <c r="EQ43" s="2955"/>
      <c r="ER43" s="2955"/>
      <c r="ES43" s="2955"/>
      <c r="ET43" s="2955"/>
      <c r="EU43" s="2955"/>
      <c r="EV43" s="2955"/>
      <c r="EW43" s="2955"/>
      <c r="EX43" s="2955"/>
      <c r="EY43" s="2955"/>
      <c r="EZ43" s="2955"/>
      <c r="FA43" s="2955"/>
      <c r="FB43" s="2955"/>
      <c r="FC43" s="2955"/>
      <c r="FD43" s="2955"/>
      <c r="FE43" s="2955"/>
      <c r="FF43" s="2955"/>
      <c r="FG43" s="2955"/>
      <c r="FH43" s="2955"/>
      <c r="FI43" s="2955"/>
      <c r="FJ43" s="2955"/>
      <c r="FK43" s="2955"/>
      <c r="FL43" s="2955"/>
      <c r="FM43" s="2955"/>
      <c r="FN43" s="2955"/>
      <c r="FO43" s="2955"/>
      <c r="FP43" s="2955"/>
      <c r="FQ43" s="2955"/>
      <c r="FR43" s="2955"/>
      <c r="FS43" s="2955"/>
      <c r="FT43" s="2955"/>
      <c r="FU43" s="2955"/>
      <c r="FV43" s="2955"/>
      <c r="FW43" s="2955"/>
      <c r="FX43" s="2955"/>
      <c r="FY43" s="2955"/>
      <c r="FZ43" s="2955"/>
      <c r="GA43" s="2955"/>
      <c r="GB43" s="2955"/>
      <c r="GC43" s="2955"/>
      <c r="GD43" s="2955"/>
      <c r="GE43" s="2955"/>
      <c r="GF43" s="2955"/>
      <c r="GG43" s="2955"/>
      <c r="GH43" s="2955"/>
      <c r="GI43" s="2955"/>
      <c r="GJ43" s="2955"/>
      <c r="GK43" s="2955"/>
      <c r="GL43" s="2955"/>
      <c r="GM43" s="2955"/>
      <c r="GN43" s="2955"/>
      <c r="GO43" s="2955"/>
      <c r="GP43" s="2955"/>
      <c r="GQ43" s="2955"/>
      <c r="GR43" s="2955"/>
      <c r="GS43" s="2955"/>
      <c r="GT43" s="2955"/>
      <c r="GU43" s="2955"/>
      <c r="GV43" s="2955"/>
      <c r="GW43" s="2955"/>
      <c r="GX43" s="2955"/>
      <c r="GY43" s="2955"/>
      <c r="GZ43" s="2955"/>
      <c r="HA43" s="2955"/>
      <c r="HB43" s="2955"/>
      <c r="HC43" s="2955"/>
      <c r="HD43" s="2955"/>
      <c r="HE43" s="2955"/>
      <c r="HF43" s="2955"/>
      <c r="HG43" s="2955"/>
      <c r="HH43" s="2955"/>
      <c r="HI43" s="2955"/>
      <c r="HJ43" s="2955"/>
      <c r="HK43" s="2955"/>
      <c r="HL43" s="2955"/>
      <c r="HM43" s="2955"/>
      <c r="HN43" s="2955"/>
      <c r="HO43" s="2955"/>
      <c r="HP43" s="2955"/>
      <c r="HQ43" s="2955"/>
      <c r="HR43" s="2955"/>
      <c r="HS43" s="2955"/>
      <c r="HT43" s="2955"/>
      <c r="HU43" s="2955"/>
      <c r="HV43" s="2955"/>
      <c r="HW43" s="2955"/>
      <c r="HX43" s="2955"/>
      <c r="HY43" s="2955"/>
      <c r="HZ43" s="2955"/>
      <c r="IA43" s="2955"/>
      <c r="IB43" s="2955"/>
      <c r="IC43" s="2955"/>
      <c r="ID43" s="2955"/>
      <c r="IE43" s="2955"/>
      <c r="IF43" s="2955"/>
      <c r="IG43" s="2955"/>
      <c r="IH43" s="2955"/>
      <c r="II43" s="2955"/>
      <c r="IJ43" s="2955"/>
      <c r="IK43" s="2955"/>
      <c r="IL43" s="2955"/>
      <c r="IM43" s="2955"/>
      <c r="IN43" s="2955"/>
      <c r="IO43" s="2955"/>
      <c r="IP43" s="2955"/>
    </row>
    <row r="44" spans="1:250" s="2953" customFormat="1" ht="15.95" customHeight="1">
      <c r="A44" s="3344"/>
      <c r="B44" s="3329" t="s">
        <v>3195</v>
      </c>
      <c r="C44" s="3330" t="s">
        <v>3196</v>
      </c>
      <c r="D44" s="3337" t="s">
        <v>3197</v>
      </c>
      <c r="E44" s="3338" t="s">
        <v>3155</v>
      </c>
      <c r="F44" s="2956" t="s">
        <v>3198</v>
      </c>
      <c r="G44" s="3330" t="s">
        <v>3132</v>
      </c>
      <c r="H44" s="3333">
        <v>1040.3699999999999</v>
      </c>
      <c r="I44" s="2958" t="s">
        <v>3199</v>
      </c>
      <c r="J44" s="3333" t="s">
        <v>3145</v>
      </c>
      <c r="K44" s="2958"/>
      <c r="L44" s="2965"/>
      <c r="M44" s="2965">
        <f>125565*10</f>
        <v>1255650</v>
      </c>
      <c r="N44" s="2965">
        <f>125565*12</f>
        <v>1506780</v>
      </c>
      <c r="O44" s="2959">
        <f>125565*3</f>
        <v>376695</v>
      </c>
      <c r="P44" s="2964"/>
      <c r="Q44" s="2964"/>
      <c r="R44" s="2964"/>
      <c r="S44" s="2964"/>
      <c r="T44" s="2960">
        <f t="shared" si="0"/>
        <v>3139125</v>
      </c>
      <c r="U44" s="3326">
        <f>T44+T45</f>
        <v>4794225</v>
      </c>
      <c r="V44" s="3324">
        <f>U44/H44/1095</f>
        <v>4.2083947741984842</v>
      </c>
      <c r="W44" s="2955"/>
      <c r="X44" s="2955"/>
      <c r="Y44" s="2955"/>
      <c r="Z44" s="2955"/>
      <c r="AA44" s="2955"/>
      <c r="AB44" s="2955"/>
      <c r="AC44" s="2955"/>
      <c r="AD44" s="2955"/>
      <c r="AE44" s="2955"/>
      <c r="AF44" s="2955"/>
      <c r="AG44" s="2955"/>
      <c r="AH44" s="2955"/>
      <c r="AI44" s="2955"/>
      <c r="AJ44" s="2955"/>
      <c r="AK44" s="2955"/>
      <c r="AL44" s="2955"/>
      <c r="AM44" s="2955"/>
      <c r="AN44" s="2955"/>
      <c r="AO44" s="2955"/>
      <c r="AP44" s="2955"/>
      <c r="AQ44" s="2955"/>
      <c r="AR44" s="2955"/>
      <c r="AS44" s="2955"/>
      <c r="AT44" s="2955"/>
      <c r="AU44" s="2955"/>
      <c r="AV44" s="2955"/>
      <c r="AW44" s="2955"/>
      <c r="AX44" s="2955"/>
      <c r="AY44" s="2955"/>
      <c r="AZ44" s="2955"/>
      <c r="BA44" s="2955"/>
      <c r="BB44" s="2955"/>
      <c r="BC44" s="2955"/>
      <c r="BD44" s="2955"/>
      <c r="BE44" s="2955"/>
      <c r="BF44" s="2955"/>
      <c r="BG44" s="2955"/>
      <c r="BH44" s="2955"/>
      <c r="BI44" s="2955"/>
      <c r="BJ44" s="2955"/>
      <c r="BK44" s="2955"/>
      <c r="BL44" s="2955"/>
      <c r="BM44" s="2955"/>
      <c r="BN44" s="2955"/>
      <c r="BO44" s="2955"/>
      <c r="BP44" s="2955"/>
      <c r="BQ44" s="2955"/>
      <c r="BR44" s="2955"/>
      <c r="BS44" s="2955"/>
      <c r="BT44" s="2955"/>
      <c r="BU44" s="2955"/>
      <c r="BV44" s="2955"/>
      <c r="BW44" s="2955"/>
      <c r="BX44" s="2955"/>
      <c r="BY44" s="2955"/>
      <c r="BZ44" s="2955"/>
      <c r="CA44" s="2955"/>
      <c r="CB44" s="2955"/>
      <c r="CC44" s="2955"/>
      <c r="CD44" s="2955"/>
      <c r="CE44" s="2955"/>
      <c r="CF44" s="2955"/>
      <c r="CG44" s="2955"/>
      <c r="CH44" s="2955"/>
      <c r="CI44" s="2955"/>
      <c r="CJ44" s="2955"/>
      <c r="CK44" s="2955"/>
      <c r="CL44" s="2955"/>
      <c r="CM44" s="2955"/>
      <c r="CN44" s="2955"/>
      <c r="CO44" s="2955"/>
      <c r="CP44" s="2955"/>
      <c r="CQ44" s="2955"/>
      <c r="CR44" s="2955"/>
      <c r="CS44" s="2955"/>
      <c r="CT44" s="2955"/>
      <c r="CU44" s="2955"/>
      <c r="CV44" s="2955"/>
      <c r="CW44" s="2955"/>
      <c r="CX44" s="2955"/>
      <c r="CY44" s="2955"/>
      <c r="CZ44" s="2955"/>
      <c r="DA44" s="2955"/>
      <c r="DB44" s="2955"/>
      <c r="DC44" s="2955"/>
      <c r="DD44" s="2955"/>
      <c r="DE44" s="2955"/>
      <c r="DF44" s="2955"/>
      <c r="DG44" s="2955"/>
      <c r="DH44" s="2955"/>
      <c r="DI44" s="2955"/>
      <c r="DJ44" s="2955"/>
      <c r="DK44" s="2955"/>
      <c r="DL44" s="2955"/>
      <c r="DM44" s="2955"/>
      <c r="DN44" s="2955"/>
      <c r="DO44" s="2955"/>
      <c r="DP44" s="2955"/>
      <c r="DQ44" s="2955"/>
      <c r="DR44" s="2955"/>
      <c r="DS44" s="2955"/>
      <c r="DT44" s="2955"/>
      <c r="DU44" s="2955"/>
      <c r="DV44" s="2955"/>
      <c r="DW44" s="2955"/>
      <c r="DX44" s="2955"/>
      <c r="DY44" s="2955"/>
      <c r="DZ44" s="2955"/>
      <c r="EA44" s="2955"/>
      <c r="EB44" s="2955"/>
      <c r="EC44" s="2955"/>
      <c r="ED44" s="2955"/>
      <c r="EE44" s="2955"/>
      <c r="EF44" s="2955"/>
      <c r="EG44" s="2955"/>
      <c r="EH44" s="2955"/>
      <c r="EI44" s="2955"/>
      <c r="EJ44" s="2955"/>
      <c r="EK44" s="2955"/>
      <c r="EL44" s="2955"/>
      <c r="EM44" s="2955"/>
      <c r="EN44" s="2955"/>
      <c r="EO44" s="2955"/>
      <c r="EP44" s="2955"/>
      <c r="EQ44" s="2955"/>
      <c r="ER44" s="2955"/>
      <c r="ES44" s="2955"/>
      <c r="ET44" s="2955"/>
      <c r="EU44" s="2955"/>
      <c r="EV44" s="2955"/>
      <c r="EW44" s="2955"/>
      <c r="EX44" s="2955"/>
      <c r="EY44" s="2955"/>
      <c r="EZ44" s="2955"/>
      <c r="FA44" s="2955"/>
      <c r="FB44" s="2955"/>
      <c r="FC44" s="2955"/>
      <c r="FD44" s="2955"/>
      <c r="FE44" s="2955"/>
      <c r="FF44" s="2955"/>
      <c r="FG44" s="2955"/>
      <c r="FH44" s="2955"/>
      <c r="FI44" s="2955"/>
      <c r="FJ44" s="2955"/>
      <c r="FK44" s="2955"/>
      <c r="FL44" s="2955"/>
      <c r="FM44" s="2955"/>
      <c r="FN44" s="2955"/>
      <c r="FO44" s="2955"/>
      <c r="FP44" s="2955"/>
      <c r="FQ44" s="2955"/>
      <c r="FR44" s="2955"/>
      <c r="FS44" s="2955"/>
      <c r="FT44" s="2955"/>
      <c r="FU44" s="2955"/>
      <c r="FV44" s="2955"/>
      <c r="FW44" s="2955"/>
      <c r="FX44" s="2955"/>
      <c r="FY44" s="2955"/>
      <c r="FZ44" s="2955"/>
      <c r="GA44" s="2955"/>
      <c r="GB44" s="2955"/>
      <c r="GC44" s="2955"/>
      <c r="GD44" s="2955"/>
      <c r="GE44" s="2955"/>
      <c r="GF44" s="2955"/>
      <c r="GG44" s="2955"/>
      <c r="GH44" s="2955"/>
      <c r="GI44" s="2955"/>
      <c r="GJ44" s="2955"/>
      <c r="GK44" s="2955"/>
      <c r="GL44" s="2955"/>
      <c r="GM44" s="2955"/>
      <c r="GN44" s="2955"/>
      <c r="GO44" s="2955"/>
      <c r="GP44" s="2955"/>
      <c r="GQ44" s="2955"/>
      <c r="GR44" s="2955"/>
      <c r="GS44" s="2955"/>
      <c r="GT44" s="2955"/>
      <c r="GU44" s="2955"/>
      <c r="GV44" s="2955"/>
      <c r="GW44" s="2955"/>
      <c r="GX44" s="2955"/>
      <c r="GY44" s="2955"/>
      <c r="GZ44" s="2955"/>
      <c r="HA44" s="2955"/>
      <c r="HB44" s="2955"/>
      <c r="HC44" s="2955"/>
      <c r="HD44" s="2955"/>
      <c r="HE44" s="2955"/>
      <c r="HF44" s="2955"/>
      <c r="HG44" s="2955"/>
      <c r="HH44" s="2955"/>
      <c r="HI44" s="2955"/>
      <c r="HJ44" s="2955"/>
      <c r="HK44" s="2955"/>
      <c r="HL44" s="2955"/>
      <c r="HM44" s="2955"/>
      <c r="HN44" s="2955"/>
      <c r="HO44" s="2955"/>
      <c r="HP44" s="2955"/>
      <c r="HQ44" s="2955"/>
      <c r="HR44" s="2955"/>
      <c r="HS44" s="2955"/>
      <c r="HT44" s="2955"/>
      <c r="HU44" s="2955"/>
      <c r="HV44" s="2955"/>
      <c r="HW44" s="2955"/>
      <c r="HX44" s="2955"/>
      <c r="HY44" s="2955"/>
      <c r="HZ44" s="2955"/>
      <c r="IA44" s="2955"/>
      <c r="IB44" s="2955"/>
      <c r="IC44" s="2955"/>
      <c r="ID44" s="2955"/>
      <c r="IE44" s="2955"/>
      <c r="IF44" s="2955"/>
      <c r="IG44" s="2955"/>
      <c r="IH44" s="2955"/>
      <c r="II44" s="2955"/>
      <c r="IJ44" s="2955"/>
      <c r="IK44" s="2955"/>
      <c r="IL44" s="2955"/>
      <c r="IM44" s="2955"/>
      <c r="IN44" s="2955"/>
      <c r="IO44" s="2955"/>
      <c r="IP44" s="2955"/>
    </row>
    <row r="45" spans="1:250" s="2953" customFormat="1" ht="15.95" customHeight="1">
      <c r="A45" s="3344"/>
      <c r="B45" s="3329"/>
      <c r="C45" s="3330"/>
      <c r="D45" s="3337"/>
      <c r="E45" s="3338"/>
      <c r="F45" s="2956" t="s">
        <v>3200</v>
      </c>
      <c r="G45" s="3330"/>
      <c r="H45" s="3333"/>
      <c r="I45" s="2958" t="s">
        <v>3201</v>
      </c>
      <c r="J45" s="3333"/>
      <c r="K45" s="2958"/>
      <c r="L45" s="2965"/>
      <c r="M45" s="2965"/>
      <c r="N45" s="2965"/>
      <c r="O45" s="2959">
        <f>137925*9</f>
        <v>1241325</v>
      </c>
      <c r="P45" s="2964">
        <f>137925*3</f>
        <v>413775</v>
      </c>
      <c r="Q45" s="2964"/>
      <c r="R45" s="2964"/>
      <c r="S45" s="2964"/>
      <c r="T45" s="2960">
        <f t="shared" si="0"/>
        <v>1655100</v>
      </c>
      <c r="U45" s="3327"/>
      <c r="V45" s="3325"/>
      <c r="W45" s="2955"/>
      <c r="X45" s="2955"/>
      <c r="Y45" s="2955"/>
      <c r="Z45" s="2955"/>
      <c r="AA45" s="2955"/>
      <c r="AB45" s="2955"/>
      <c r="AC45" s="2955"/>
      <c r="AD45" s="2955"/>
      <c r="AE45" s="2955"/>
      <c r="AF45" s="2955"/>
      <c r="AG45" s="2955"/>
      <c r="AH45" s="2955"/>
      <c r="AI45" s="2955"/>
      <c r="AJ45" s="2955"/>
      <c r="AK45" s="2955"/>
      <c r="AL45" s="2955"/>
      <c r="AM45" s="2955"/>
      <c r="AN45" s="2955"/>
      <c r="AO45" s="2955"/>
      <c r="AP45" s="2955"/>
      <c r="AQ45" s="2955"/>
      <c r="AR45" s="2955"/>
      <c r="AS45" s="2955"/>
      <c r="AT45" s="2955"/>
      <c r="AU45" s="2955"/>
      <c r="AV45" s="2955"/>
      <c r="AW45" s="2955"/>
      <c r="AX45" s="2955"/>
      <c r="AY45" s="2955"/>
      <c r="AZ45" s="2955"/>
      <c r="BA45" s="2955"/>
      <c r="BB45" s="2955"/>
      <c r="BC45" s="2955"/>
      <c r="BD45" s="2955"/>
      <c r="BE45" s="2955"/>
      <c r="BF45" s="2955"/>
      <c r="BG45" s="2955"/>
      <c r="BH45" s="2955"/>
      <c r="BI45" s="2955"/>
      <c r="BJ45" s="2955"/>
      <c r="BK45" s="2955"/>
      <c r="BL45" s="2955"/>
      <c r="BM45" s="2955"/>
      <c r="BN45" s="2955"/>
      <c r="BO45" s="2955"/>
      <c r="BP45" s="2955"/>
      <c r="BQ45" s="2955"/>
      <c r="BR45" s="2955"/>
      <c r="BS45" s="2955"/>
      <c r="BT45" s="2955"/>
      <c r="BU45" s="2955"/>
      <c r="BV45" s="2955"/>
      <c r="BW45" s="2955"/>
      <c r="BX45" s="2955"/>
      <c r="BY45" s="2955"/>
      <c r="BZ45" s="2955"/>
      <c r="CA45" s="2955"/>
      <c r="CB45" s="2955"/>
      <c r="CC45" s="2955"/>
      <c r="CD45" s="2955"/>
      <c r="CE45" s="2955"/>
      <c r="CF45" s="2955"/>
      <c r="CG45" s="2955"/>
      <c r="CH45" s="2955"/>
      <c r="CI45" s="2955"/>
      <c r="CJ45" s="2955"/>
      <c r="CK45" s="2955"/>
      <c r="CL45" s="2955"/>
      <c r="CM45" s="2955"/>
      <c r="CN45" s="2955"/>
      <c r="CO45" s="2955"/>
      <c r="CP45" s="2955"/>
      <c r="CQ45" s="2955"/>
      <c r="CR45" s="2955"/>
      <c r="CS45" s="2955"/>
      <c r="CT45" s="2955"/>
      <c r="CU45" s="2955"/>
      <c r="CV45" s="2955"/>
      <c r="CW45" s="2955"/>
      <c r="CX45" s="2955"/>
      <c r="CY45" s="2955"/>
      <c r="CZ45" s="2955"/>
      <c r="DA45" s="2955"/>
      <c r="DB45" s="2955"/>
      <c r="DC45" s="2955"/>
      <c r="DD45" s="2955"/>
      <c r="DE45" s="2955"/>
      <c r="DF45" s="2955"/>
      <c r="DG45" s="2955"/>
      <c r="DH45" s="2955"/>
      <c r="DI45" s="2955"/>
      <c r="DJ45" s="2955"/>
      <c r="DK45" s="2955"/>
      <c r="DL45" s="2955"/>
      <c r="DM45" s="2955"/>
      <c r="DN45" s="2955"/>
      <c r="DO45" s="2955"/>
      <c r="DP45" s="2955"/>
      <c r="DQ45" s="2955"/>
      <c r="DR45" s="2955"/>
      <c r="DS45" s="2955"/>
      <c r="DT45" s="2955"/>
      <c r="DU45" s="2955"/>
      <c r="DV45" s="2955"/>
      <c r="DW45" s="2955"/>
      <c r="DX45" s="2955"/>
      <c r="DY45" s="2955"/>
      <c r="DZ45" s="2955"/>
      <c r="EA45" s="2955"/>
      <c r="EB45" s="2955"/>
      <c r="EC45" s="2955"/>
      <c r="ED45" s="2955"/>
      <c r="EE45" s="2955"/>
      <c r="EF45" s="2955"/>
      <c r="EG45" s="2955"/>
      <c r="EH45" s="2955"/>
      <c r="EI45" s="2955"/>
      <c r="EJ45" s="2955"/>
      <c r="EK45" s="2955"/>
      <c r="EL45" s="2955"/>
      <c r="EM45" s="2955"/>
      <c r="EN45" s="2955"/>
      <c r="EO45" s="2955"/>
      <c r="EP45" s="2955"/>
      <c r="EQ45" s="2955"/>
      <c r="ER45" s="2955"/>
      <c r="ES45" s="2955"/>
      <c r="ET45" s="2955"/>
      <c r="EU45" s="2955"/>
      <c r="EV45" s="2955"/>
      <c r="EW45" s="2955"/>
      <c r="EX45" s="2955"/>
      <c r="EY45" s="2955"/>
      <c r="EZ45" s="2955"/>
      <c r="FA45" s="2955"/>
      <c r="FB45" s="2955"/>
      <c r="FC45" s="2955"/>
      <c r="FD45" s="2955"/>
      <c r="FE45" s="2955"/>
      <c r="FF45" s="2955"/>
      <c r="FG45" s="2955"/>
      <c r="FH45" s="2955"/>
      <c r="FI45" s="2955"/>
      <c r="FJ45" s="2955"/>
      <c r="FK45" s="2955"/>
      <c r="FL45" s="2955"/>
      <c r="FM45" s="2955"/>
      <c r="FN45" s="2955"/>
      <c r="FO45" s="2955"/>
      <c r="FP45" s="2955"/>
      <c r="FQ45" s="2955"/>
      <c r="FR45" s="2955"/>
      <c r="FS45" s="2955"/>
      <c r="FT45" s="2955"/>
      <c r="FU45" s="2955"/>
      <c r="FV45" s="2955"/>
      <c r="FW45" s="2955"/>
      <c r="FX45" s="2955"/>
      <c r="FY45" s="2955"/>
      <c r="FZ45" s="2955"/>
      <c r="GA45" s="2955"/>
      <c r="GB45" s="2955"/>
      <c r="GC45" s="2955"/>
      <c r="GD45" s="2955"/>
      <c r="GE45" s="2955"/>
      <c r="GF45" s="2955"/>
      <c r="GG45" s="2955"/>
      <c r="GH45" s="2955"/>
      <c r="GI45" s="2955"/>
      <c r="GJ45" s="2955"/>
      <c r="GK45" s="2955"/>
      <c r="GL45" s="2955"/>
      <c r="GM45" s="2955"/>
      <c r="GN45" s="2955"/>
      <c r="GO45" s="2955"/>
      <c r="GP45" s="2955"/>
      <c r="GQ45" s="2955"/>
      <c r="GR45" s="2955"/>
      <c r="GS45" s="2955"/>
      <c r="GT45" s="2955"/>
      <c r="GU45" s="2955"/>
      <c r="GV45" s="2955"/>
      <c r="GW45" s="2955"/>
      <c r="GX45" s="2955"/>
      <c r="GY45" s="2955"/>
      <c r="GZ45" s="2955"/>
      <c r="HA45" s="2955"/>
      <c r="HB45" s="2955"/>
      <c r="HC45" s="2955"/>
      <c r="HD45" s="2955"/>
      <c r="HE45" s="2955"/>
      <c r="HF45" s="2955"/>
      <c r="HG45" s="2955"/>
      <c r="HH45" s="2955"/>
      <c r="HI45" s="2955"/>
      <c r="HJ45" s="2955"/>
      <c r="HK45" s="2955"/>
      <c r="HL45" s="2955"/>
      <c r="HM45" s="2955"/>
      <c r="HN45" s="2955"/>
      <c r="HO45" s="2955"/>
      <c r="HP45" s="2955"/>
      <c r="HQ45" s="2955"/>
      <c r="HR45" s="2955"/>
      <c r="HS45" s="2955"/>
      <c r="HT45" s="2955"/>
      <c r="HU45" s="2955"/>
      <c r="HV45" s="2955"/>
      <c r="HW45" s="2955"/>
      <c r="HX45" s="2955"/>
      <c r="HY45" s="2955"/>
      <c r="HZ45" s="2955"/>
      <c r="IA45" s="2955"/>
      <c r="IB45" s="2955"/>
      <c r="IC45" s="2955"/>
      <c r="ID45" s="2955"/>
      <c r="IE45" s="2955"/>
      <c r="IF45" s="2955"/>
      <c r="IG45" s="2955"/>
      <c r="IH45" s="2955"/>
      <c r="II45" s="2955"/>
      <c r="IJ45" s="2955"/>
      <c r="IK45" s="2955"/>
      <c r="IL45" s="2955"/>
      <c r="IM45" s="2955"/>
      <c r="IN45" s="2955"/>
      <c r="IO45" s="2955"/>
      <c r="IP45" s="2955"/>
    </row>
    <row r="46" spans="1:250" s="2953" customFormat="1" ht="15.95" customHeight="1">
      <c r="A46" s="3344"/>
      <c r="B46" s="3329"/>
      <c r="C46" s="3330"/>
      <c r="D46" s="3337"/>
      <c r="E46" s="3338"/>
      <c r="F46" s="2956"/>
      <c r="G46" s="3330"/>
      <c r="H46" s="3333"/>
      <c r="I46" s="2958"/>
      <c r="J46" s="3333"/>
      <c r="K46" s="2958"/>
      <c r="L46" s="2965"/>
      <c r="M46" s="2965"/>
      <c r="N46" s="2965"/>
      <c r="O46" s="2959"/>
      <c r="P46" s="2964"/>
      <c r="Q46" s="2964"/>
      <c r="R46" s="2964"/>
      <c r="S46" s="2964"/>
      <c r="T46" s="2960">
        <f t="shared" si="0"/>
        <v>0</v>
      </c>
      <c r="U46" s="2969"/>
      <c r="V46" s="2969"/>
      <c r="W46" s="2955"/>
      <c r="X46" s="2955"/>
      <c r="Y46" s="2955"/>
      <c r="Z46" s="2955"/>
      <c r="AA46" s="2955"/>
      <c r="AB46" s="2955"/>
      <c r="AC46" s="2955"/>
      <c r="AD46" s="2955"/>
      <c r="AE46" s="2955"/>
      <c r="AF46" s="2955"/>
      <c r="AG46" s="2955"/>
      <c r="AH46" s="2955"/>
      <c r="AI46" s="2955"/>
      <c r="AJ46" s="2955"/>
      <c r="AK46" s="2955"/>
      <c r="AL46" s="2955"/>
      <c r="AM46" s="2955"/>
      <c r="AN46" s="2955"/>
      <c r="AO46" s="2955"/>
      <c r="AP46" s="2955"/>
      <c r="AQ46" s="2955"/>
      <c r="AR46" s="2955"/>
      <c r="AS46" s="2955"/>
      <c r="AT46" s="2955"/>
      <c r="AU46" s="2955"/>
      <c r="AV46" s="2955"/>
      <c r="AW46" s="2955"/>
      <c r="AX46" s="2955"/>
      <c r="AY46" s="2955"/>
      <c r="AZ46" s="2955"/>
      <c r="BA46" s="2955"/>
      <c r="BB46" s="2955"/>
      <c r="BC46" s="2955"/>
      <c r="BD46" s="2955"/>
      <c r="BE46" s="2955"/>
      <c r="BF46" s="2955"/>
      <c r="BG46" s="2955"/>
      <c r="BH46" s="2955"/>
      <c r="BI46" s="2955"/>
      <c r="BJ46" s="2955"/>
      <c r="BK46" s="2955"/>
      <c r="BL46" s="2955"/>
      <c r="BM46" s="2955"/>
      <c r="BN46" s="2955"/>
      <c r="BO46" s="2955"/>
      <c r="BP46" s="2955"/>
      <c r="BQ46" s="2955"/>
      <c r="BR46" s="2955"/>
      <c r="BS46" s="2955"/>
      <c r="BT46" s="2955"/>
      <c r="BU46" s="2955"/>
      <c r="BV46" s="2955"/>
      <c r="BW46" s="2955"/>
      <c r="BX46" s="2955"/>
      <c r="BY46" s="2955"/>
      <c r="BZ46" s="2955"/>
      <c r="CA46" s="2955"/>
      <c r="CB46" s="2955"/>
      <c r="CC46" s="2955"/>
      <c r="CD46" s="2955"/>
      <c r="CE46" s="2955"/>
      <c r="CF46" s="2955"/>
      <c r="CG46" s="2955"/>
      <c r="CH46" s="2955"/>
      <c r="CI46" s="2955"/>
      <c r="CJ46" s="2955"/>
      <c r="CK46" s="2955"/>
      <c r="CL46" s="2955"/>
      <c r="CM46" s="2955"/>
      <c r="CN46" s="2955"/>
      <c r="CO46" s="2955"/>
      <c r="CP46" s="2955"/>
      <c r="CQ46" s="2955"/>
      <c r="CR46" s="2955"/>
      <c r="CS46" s="2955"/>
      <c r="CT46" s="2955"/>
      <c r="CU46" s="2955"/>
      <c r="CV46" s="2955"/>
      <c r="CW46" s="2955"/>
      <c r="CX46" s="2955"/>
      <c r="CY46" s="2955"/>
      <c r="CZ46" s="2955"/>
      <c r="DA46" s="2955"/>
      <c r="DB46" s="2955"/>
      <c r="DC46" s="2955"/>
      <c r="DD46" s="2955"/>
      <c r="DE46" s="2955"/>
      <c r="DF46" s="2955"/>
      <c r="DG46" s="2955"/>
      <c r="DH46" s="2955"/>
      <c r="DI46" s="2955"/>
      <c r="DJ46" s="2955"/>
      <c r="DK46" s="2955"/>
      <c r="DL46" s="2955"/>
      <c r="DM46" s="2955"/>
      <c r="DN46" s="2955"/>
      <c r="DO46" s="2955"/>
      <c r="DP46" s="2955"/>
      <c r="DQ46" s="2955"/>
      <c r="DR46" s="2955"/>
      <c r="DS46" s="2955"/>
      <c r="DT46" s="2955"/>
      <c r="DU46" s="2955"/>
      <c r="DV46" s="2955"/>
      <c r="DW46" s="2955"/>
      <c r="DX46" s="2955"/>
      <c r="DY46" s="2955"/>
      <c r="DZ46" s="2955"/>
      <c r="EA46" s="2955"/>
      <c r="EB46" s="2955"/>
      <c r="EC46" s="2955"/>
      <c r="ED46" s="2955"/>
      <c r="EE46" s="2955"/>
      <c r="EF46" s="2955"/>
      <c r="EG46" s="2955"/>
      <c r="EH46" s="2955"/>
      <c r="EI46" s="2955"/>
      <c r="EJ46" s="2955"/>
      <c r="EK46" s="2955"/>
      <c r="EL46" s="2955"/>
      <c r="EM46" s="2955"/>
      <c r="EN46" s="2955"/>
      <c r="EO46" s="2955"/>
      <c r="EP46" s="2955"/>
      <c r="EQ46" s="2955"/>
      <c r="ER46" s="2955"/>
      <c r="ES46" s="2955"/>
      <c r="ET46" s="2955"/>
      <c r="EU46" s="2955"/>
      <c r="EV46" s="2955"/>
      <c r="EW46" s="2955"/>
      <c r="EX46" s="2955"/>
      <c r="EY46" s="2955"/>
      <c r="EZ46" s="2955"/>
      <c r="FA46" s="2955"/>
      <c r="FB46" s="2955"/>
      <c r="FC46" s="2955"/>
      <c r="FD46" s="2955"/>
      <c r="FE46" s="2955"/>
      <c r="FF46" s="2955"/>
      <c r="FG46" s="2955"/>
      <c r="FH46" s="2955"/>
      <c r="FI46" s="2955"/>
      <c r="FJ46" s="2955"/>
      <c r="FK46" s="2955"/>
      <c r="FL46" s="2955"/>
      <c r="FM46" s="2955"/>
      <c r="FN46" s="2955"/>
      <c r="FO46" s="2955"/>
      <c r="FP46" s="2955"/>
      <c r="FQ46" s="2955"/>
      <c r="FR46" s="2955"/>
      <c r="FS46" s="2955"/>
      <c r="FT46" s="2955"/>
      <c r="FU46" s="2955"/>
      <c r="FV46" s="2955"/>
      <c r="FW46" s="2955"/>
      <c r="FX46" s="2955"/>
      <c r="FY46" s="2955"/>
      <c r="FZ46" s="2955"/>
      <c r="GA46" s="2955"/>
      <c r="GB46" s="2955"/>
      <c r="GC46" s="2955"/>
      <c r="GD46" s="2955"/>
      <c r="GE46" s="2955"/>
      <c r="GF46" s="2955"/>
      <c r="GG46" s="2955"/>
      <c r="GH46" s="2955"/>
      <c r="GI46" s="2955"/>
      <c r="GJ46" s="2955"/>
      <c r="GK46" s="2955"/>
      <c r="GL46" s="2955"/>
      <c r="GM46" s="2955"/>
      <c r="GN46" s="2955"/>
      <c r="GO46" s="2955"/>
      <c r="GP46" s="2955"/>
      <c r="GQ46" s="2955"/>
      <c r="GR46" s="2955"/>
      <c r="GS46" s="2955"/>
      <c r="GT46" s="2955"/>
      <c r="GU46" s="2955"/>
      <c r="GV46" s="2955"/>
      <c r="GW46" s="2955"/>
      <c r="GX46" s="2955"/>
      <c r="GY46" s="2955"/>
      <c r="GZ46" s="2955"/>
      <c r="HA46" s="2955"/>
      <c r="HB46" s="2955"/>
      <c r="HC46" s="2955"/>
      <c r="HD46" s="2955"/>
      <c r="HE46" s="2955"/>
      <c r="HF46" s="2955"/>
      <c r="HG46" s="2955"/>
      <c r="HH46" s="2955"/>
      <c r="HI46" s="2955"/>
      <c r="HJ46" s="2955"/>
      <c r="HK46" s="2955"/>
      <c r="HL46" s="2955"/>
      <c r="HM46" s="2955"/>
      <c r="HN46" s="2955"/>
      <c r="HO46" s="2955"/>
      <c r="HP46" s="2955"/>
      <c r="HQ46" s="2955"/>
      <c r="HR46" s="2955"/>
      <c r="HS46" s="2955"/>
      <c r="HT46" s="2955"/>
      <c r="HU46" s="2955"/>
      <c r="HV46" s="2955"/>
      <c r="HW46" s="2955"/>
      <c r="HX46" s="2955"/>
      <c r="HY46" s="2955"/>
      <c r="HZ46" s="2955"/>
      <c r="IA46" s="2955"/>
      <c r="IB46" s="2955"/>
      <c r="IC46" s="2955"/>
      <c r="ID46" s="2955"/>
      <c r="IE46" s="2955"/>
      <c r="IF46" s="2955"/>
      <c r="IG46" s="2955"/>
      <c r="IH46" s="2955"/>
      <c r="II46" s="2955"/>
      <c r="IJ46" s="2955"/>
      <c r="IK46" s="2955"/>
      <c r="IL46" s="2955"/>
      <c r="IM46" s="2955"/>
      <c r="IN46" s="2955"/>
      <c r="IO46" s="2955"/>
      <c r="IP46" s="2955"/>
    </row>
    <row r="47" spans="1:250" s="2967" customFormat="1" ht="15.95" customHeight="1">
      <c r="A47" s="3344"/>
      <c r="B47" s="3335" t="s">
        <v>3202</v>
      </c>
      <c r="C47" s="3341" t="s">
        <v>3203</v>
      </c>
      <c r="D47" s="3339" t="s">
        <v>3204</v>
      </c>
      <c r="E47" s="3338" t="s">
        <v>3155</v>
      </c>
      <c r="F47" s="2956" t="s">
        <v>3205</v>
      </c>
      <c r="G47" s="3341" t="s">
        <v>3132</v>
      </c>
      <c r="H47" s="3333">
        <v>570.37</v>
      </c>
      <c r="I47" s="2958" t="s">
        <v>3206</v>
      </c>
      <c r="J47" s="3333" t="s">
        <v>3145</v>
      </c>
      <c r="K47" s="2958">
        <v>67169</v>
      </c>
      <c r="L47" s="2965">
        <v>235091.5</v>
      </c>
      <c r="M47" s="2965">
        <v>806028</v>
      </c>
      <c r="N47" s="2965">
        <v>822650.5</v>
      </c>
      <c r="O47" s="2959"/>
      <c r="P47" s="2964"/>
      <c r="Q47" s="2964"/>
      <c r="R47" s="2964"/>
      <c r="S47" s="2964"/>
      <c r="T47" s="2960">
        <f t="shared" si="0"/>
        <v>1628678.5</v>
      </c>
      <c r="U47" s="3326">
        <f>T47+T48</f>
        <v>2329949.5</v>
      </c>
      <c r="V47" s="3324">
        <f>U47/H47/987</f>
        <v>4.1387832306866201</v>
      </c>
      <c r="W47" s="2955"/>
      <c r="X47" s="2955"/>
      <c r="Y47" s="2955"/>
      <c r="Z47" s="2955"/>
      <c r="AA47" s="2955"/>
      <c r="AB47" s="2955"/>
      <c r="AC47" s="2955"/>
      <c r="AD47" s="2955"/>
      <c r="AE47" s="2955"/>
      <c r="AF47" s="2955"/>
      <c r="AG47" s="2955"/>
      <c r="AH47" s="2955"/>
      <c r="AI47" s="2955"/>
      <c r="AJ47" s="2955"/>
      <c r="AK47" s="2955"/>
      <c r="AL47" s="2955"/>
      <c r="AM47" s="2955"/>
      <c r="AN47" s="2955"/>
      <c r="AO47" s="2955"/>
      <c r="AP47" s="2955"/>
      <c r="AQ47" s="2955"/>
      <c r="AR47" s="2955"/>
      <c r="AS47" s="2955"/>
      <c r="AT47" s="2955"/>
      <c r="AU47" s="2955"/>
      <c r="AV47" s="2955"/>
      <c r="AW47" s="2955"/>
      <c r="AX47" s="2955"/>
      <c r="AY47" s="2955"/>
      <c r="AZ47" s="2955"/>
      <c r="BA47" s="2955"/>
      <c r="BB47" s="2955"/>
      <c r="BC47" s="2955"/>
      <c r="BD47" s="2955"/>
      <c r="BE47" s="2955"/>
      <c r="BF47" s="2955"/>
      <c r="BG47" s="2955"/>
      <c r="BH47" s="2955"/>
      <c r="BI47" s="2955"/>
      <c r="BJ47" s="2955"/>
      <c r="BK47" s="2955"/>
      <c r="BL47" s="2955"/>
      <c r="BM47" s="2955"/>
      <c r="BN47" s="2955"/>
      <c r="BO47" s="2955"/>
      <c r="BP47" s="2955"/>
      <c r="BQ47" s="2955"/>
      <c r="BR47" s="2955"/>
      <c r="BS47" s="2955"/>
      <c r="BT47" s="2955"/>
      <c r="BU47" s="2955"/>
      <c r="BV47" s="2955"/>
      <c r="BW47" s="2955"/>
      <c r="BX47" s="2955"/>
      <c r="BY47" s="2955"/>
      <c r="BZ47" s="2955"/>
      <c r="CA47" s="2955"/>
      <c r="CB47" s="2955"/>
      <c r="CC47" s="2955"/>
      <c r="CD47" s="2955"/>
      <c r="CE47" s="2955"/>
      <c r="CF47" s="2955"/>
      <c r="CG47" s="2955"/>
      <c r="CH47" s="2955"/>
      <c r="CI47" s="2955"/>
      <c r="CJ47" s="2955"/>
      <c r="CK47" s="2955"/>
      <c r="CL47" s="2955"/>
      <c r="CM47" s="2955"/>
      <c r="CN47" s="2955"/>
      <c r="CO47" s="2955"/>
      <c r="CP47" s="2955"/>
      <c r="CQ47" s="2955"/>
      <c r="CR47" s="2955"/>
      <c r="CS47" s="2955"/>
      <c r="CT47" s="2955"/>
      <c r="CU47" s="2955"/>
      <c r="CV47" s="2955"/>
      <c r="CW47" s="2955"/>
      <c r="CX47" s="2955"/>
      <c r="CY47" s="2955"/>
      <c r="CZ47" s="2955"/>
      <c r="DA47" s="2955"/>
      <c r="DB47" s="2955"/>
      <c r="DC47" s="2955"/>
      <c r="DD47" s="2955"/>
      <c r="DE47" s="2955"/>
      <c r="DF47" s="2955"/>
      <c r="DG47" s="2955"/>
      <c r="DH47" s="2955"/>
      <c r="DI47" s="2955"/>
      <c r="DJ47" s="2955"/>
      <c r="DK47" s="2955"/>
      <c r="DL47" s="2955"/>
      <c r="DM47" s="2955"/>
      <c r="DN47" s="2955"/>
      <c r="DO47" s="2955"/>
      <c r="DP47" s="2955"/>
      <c r="DQ47" s="2955"/>
      <c r="DR47" s="2955"/>
      <c r="DS47" s="2955"/>
      <c r="DT47" s="2955"/>
      <c r="DU47" s="2955"/>
      <c r="DV47" s="2955"/>
      <c r="DW47" s="2955"/>
      <c r="DX47" s="2955"/>
      <c r="DY47" s="2955"/>
      <c r="DZ47" s="2955"/>
      <c r="EA47" s="2955"/>
      <c r="EB47" s="2955"/>
      <c r="EC47" s="2955"/>
      <c r="ED47" s="2955"/>
      <c r="EE47" s="2955"/>
      <c r="EF47" s="2955"/>
      <c r="EG47" s="2955"/>
      <c r="EH47" s="2955"/>
      <c r="EI47" s="2955"/>
      <c r="EJ47" s="2955"/>
      <c r="EK47" s="2955"/>
      <c r="EL47" s="2955"/>
      <c r="EM47" s="2955"/>
      <c r="EN47" s="2955"/>
      <c r="EO47" s="2955"/>
      <c r="EP47" s="2955"/>
      <c r="EQ47" s="2955"/>
      <c r="ER47" s="2955"/>
      <c r="ES47" s="2955"/>
      <c r="ET47" s="2955"/>
      <c r="EU47" s="2955"/>
      <c r="EV47" s="2955"/>
      <c r="EW47" s="2955"/>
      <c r="EX47" s="2955"/>
      <c r="EY47" s="2955"/>
      <c r="EZ47" s="2955"/>
      <c r="FA47" s="2955"/>
      <c r="FB47" s="2955"/>
      <c r="FC47" s="2955"/>
      <c r="FD47" s="2955"/>
      <c r="FE47" s="2955"/>
      <c r="FF47" s="2955"/>
      <c r="FG47" s="2955"/>
      <c r="FH47" s="2955"/>
      <c r="FI47" s="2955"/>
      <c r="FJ47" s="2955"/>
      <c r="FK47" s="2955"/>
      <c r="FL47" s="2955"/>
      <c r="FM47" s="2955"/>
      <c r="FN47" s="2955"/>
      <c r="FO47" s="2955"/>
      <c r="FP47" s="2955"/>
      <c r="FQ47" s="2955"/>
      <c r="FR47" s="2955"/>
      <c r="FS47" s="2955"/>
      <c r="FT47" s="2955"/>
      <c r="FU47" s="2955"/>
      <c r="FV47" s="2955"/>
      <c r="FW47" s="2955"/>
      <c r="FX47" s="2955"/>
      <c r="FY47" s="2955"/>
      <c r="FZ47" s="2955"/>
      <c r="GA47" s="2955"/>
      <c r="GB47" s="2955"/>
      <c r="GC47" s="2955"/>
      <c r="GD47" s="2955"/>
      <c r="GE47" s="2955"/>
      <c r="GF47" s="2955"/>
      <c r="GG47" s="2955"/>
      <c r="GH47" s="2955"/>
      <c r="GI47" s="2955"/>
      <c r="GJ47" s="2955"/>
      <c r="GK47" s="2955"/>
      <c r="GL47" s="2955"/>
      <c r="GM47" s="2955"/>
      <c r="GN47" s="2955"/>
      <c r="GO47" s="2955"/>
      <c r="GP47" s="2955"/>
      <c r="GQ47" s="2955"/>
      <c r="GR47" s="2955"/>
      <c r="GS47" s="2955"/>
      <c r="GT47" s="2955"/>
      <c r="GU47" s="2955"/>
      <c r="GV47" s="2955"/>
      <c r="GW47" s="2955"/>
      <c r="GX47" s="2955"/>
      <c r="GY47" s="2955"/>
      <c r="GZ47" s="2955"/>
      <c r="HA47" s="2955"/>
      <c r="HB47" s="2955"/>
      <c r="HC47" s="2955"/>
      <c r="HD47" s="2955"/>
      <c r="HE47" s="2955"/>
      <c r="HF47" s="2955"/>
      <c r="HG47" s="2955"/>
      <c r="HH47" s="2955"/>
      <c r="HI47" s="2955"/>
      <c r="HJ47" s="2955"/>
      <c r="HK47" s="2955"/>
      <c r="HL47" s="2955"/>
      <c r="HM47" s="2955"/>
      <c r="HN47" s="2955"/>
      <c r="HO47" s="2955"/>
      <c r="HP47" s="2955"/>
      <c r="HQ47" s="2955"/>
      <c r="HR47" s="2955"/>
      <c r="HS47" s="2955"/>
      <c r="HT47" s="2955"/>
      <c r="HU47" s="2955"/>
      <c r="HV47" s="2955"/>
      <c r="HW47" s="2955"/>
      <c r="HX47" s="2955"/>
      <c r="HY47" s="2955"/>
      <c r="HZ47" s="2955"/>
      <c r="IA47" s="2955"/>
      <c r="IB47" s="2955"/>
      <c r="IC47" s="2955"/>
      <c r="ID47" s="2955"/>
      <c r="IE47" s="2955"/>
      <c r="IF47" s="2955"/>
      <c r="IG47" s="2955"/>
      <c r="IH47" s="2955"/>
      <c r="II47" s="2955"/>
      <c r="IJ47" s="2955"/>
      <c r="IK47" s="2955"/>
      <c r="IL47" s="2955"/>
      <c r="IM47" s="2955"/>
      <c r="IN47" s="2955"/>
      <c r="IO47" s="2955"/>
      <c r="IP47" s="2955"/>
    </row>
    <row r="48" spans="1:250" s="2967" customFormat="1" ht="15.95" customHeight="1">
      <c r="A48" s="3344"/>
      <c r="B48" s="3335"/>
      <c r="C48" s="3342"/>
      <c r="D48" s="3340"/>
      <c r="E48" s="3338"/>
      <c r="F48" s="2956" t="s">
        <v>3207</v>
      </c>
      <c r="G48" s="3342"/>
      <c r="H48" s="3333"/>
      <c r="I48" s="2958" t="s">
        <v>3208</v>
      </c>
      <c r="J48" s="3333"/>
      <c r="K48" s="2958">
        <v>73818</v>
      </c>
      <c r="L48" s="2965"/>
      <c r="M48" s="2965"/>
      <c r="N48" s="2965"/>
      <c r="O48" s="2959">
        <v>701271</v>
      </c>
      <c r="P48" s="2964"/>
      <c r="Q48" s="2964"/>
      <c r="R48" s="2964"/>
      <c r="S48" s="2964"/>
      <c r="T48" s="2960">
        <f t="shared" si="0"/>
        <v>701271</v>
      </c>
      <c r="U48" s="3327"/>
      <c r="V48" s="3325"/>
      <c r="W48" s="2955"/>
      <c r="X48" s="2955"/>
      <c r="Y48" s="2955"/>
      <c r="Z48" s="2955"/>
      <c r="AA48" s="2955"/>
      <c r="AB48" s="2955"/>
      <c r="AC48" s="2955"/>
      <c r="AD48" s="2955"/>
      <c r="AE48" s="2955"/>
      <c r="AF48" s="2955"/>
      <c r="AG48" s="2955"/>
      <c r="AH48" s="2955"/>
      <c r="AI48" s="2955"/>
      <c r="AJ48" s="2955"/>
      <c r="AK48" s="2955"/>
      <c r="AL48" s="2955"/>
      <c r="AM48" s="2955"/>
      <c r="AN48" s="2955"/>
      <c r="AO48" s="2955"/>
      <c r="AP48" s="2955"/>
      <c r="AQ48" s="2955"/>
      <c r="AR48" s="2955"/>
      <c r="AS48" s="2955"/>
      <c r="AT48" s="2955"/>
      <c r="AU48" s="2955"/>
      <c r="AV48" s="2955"/>
      <c r="AW48" s="2955"/>
      <c r="AX48" s="2955"/>
      <c r="AY48" s="2955"/>
      <c r="AZ48" s="2955"/>
      <c r="BA48" s="2955"/>
      <c r="BB48" s="2955"/>
      <c r="BC48" s="2955"/>
      <c r="BD48" s="2955"/>
      <c r="BE48" s="2955"/>
      <c r="BF48" s="2955"/>
      <c r="BG48" s="2955"/>
      <c r="BH48" s="2955"/>
      <c r="BI48" s="2955"/>
      <c r="BJ48" s="2955"/>
      <c r="BK48" s="2955"/>
      <c r="BL48" s="2955"/>
      <c r="BM48" s="2955"/>
      <c r="BN48" s="2955"/>
      <c r="BO48" s="2955"/>
      <c r="BP48" s="2955"/>
      <c r="BQ48" s="2955"/>
      <c r="BR48" s="2955"/>
      <c r="BS48" s="2955"/>
      <c r="BT48" s="2955"/>
      <c r="BU48" s="2955"/>
      <c r="BV48" s="2955"/>
      <c r="BW48" s="2955"/>
      <c r="BX48" s="2955"/>
      <c r="BY48" s="2955"/>
      <c r="BZ48" s="2955"/>
      <c r="CA48" s="2955"/>
      <c r="CB48" s="2955"/>
      <c r="CC48" s="2955"/>
      <c r="CD48" s="2955"/>
      <c r="CE48" s="2955"/>
      <c r="CF48" s="2955"/>
      <c r="CG48" s="2955"/>
      <c r="CH48" s="2955"/>
      <c r="CI48" s="2955"/>
      <c r="CJ48" s="2955"/>
      <c r="CK48" s="2955"/>
      <c r="CL48" s="2955"/>
      <c r="CM48" s="2955"/>
      <c r="CN48" s="2955"/>
      <c r="CO48" s="2955"/>
      <c r="CP48" s="2955"/>
      <c r="CQ48" s="2955"/>
      <c r="CR48" s="2955"/>
      <c r="CS48" s="2955"/>
      <c r="CT48" s="2955"/>
      <c r="CU48" s="2955"/>
      <c r="CV48" s="2955"/>
      <c r="CW48" s="2955"/>
      <c r="CX48" s="2955"/>
      <c r="CY48" s="2955"/>
      <c r="CZ48" s="2955"/>
      <c r="DA48" s="2955"/>
      <c r="DB48" s="2955"/>
      <c r="DC48" s="2955"/>
      <c r="DD48" s="2955"/>
      <c r="DE48" s="2955"/>
      <c r="DF48" s="2955"/>
      <c r="DG48" s="2955"/>
      <c r="DH48" s="2955"/>
      <c r="DI48" s="2955"/>
      <c r="DJ48" s="2955"/>
      <c r="DK48" s="2955"/>
      <c r="DL48" s="2955"/>
      <c r="DM48" s="2955"/>
      <c r="DN48" s="2955"/>
      <c r="DO48" s="2955"/>
      <c r="DP48" s="2955"/>
      <c r="DQ48" s="2955"/>
      <c r="DR48" s="2955"/>
      <c r="DS48" s="2955"/>
      <c r="DT48" s="2955"/>
      <c r="DU48" s="2955"/>
      <c r="DV48" s="2955"/>
      <c r="DW48" s="2955"/>
      <c r="DX48" s="2955"/>
      <c r="DY48" s="2955"/>
      <c r="DZ48" s="2955"/>
      <c r="EA48" s="2955"/>
      <c r="EB48" s="2955"/>
      <c r="EC48" s="2955"/>
      <c r="ED48" s="2955"/>
      <c r="EE48" s="2955"/>
      <c r="EF48" s="2955"/>
      <c r="EG48" s="2955"/>
      <c r="EH48" s="2955"/>
      <c r="EI48" s="2955"/>
      <c r="EJ48" s="2955"/>
      <c r="EK48" s="2955"/>
      <c r="EL48" s="2955"/>
      <c r="EM48" s="2955"/>
      <c r="EN48" s="2955"/>
      <c r="EO48" s="2955"/>
      <c r="EP48" s="2955"/>
      <c r="EQ48" s="2955"/>
      <c r="ER48" s="2955"/>
      <c r="ES48" s="2955"/>
      <c r="ET48" s="2955"/>
      <c r="EU48" s="2955"/>
      <c r="EV48" s="2955"/>
      <c r="EW48" s="2955"/>
      <c r="EX48" s="2955"/>
      <c r="EY48" s="2955"/>
      <c r="EZ48" s="2955"/>
      <c r="FA48" s="2955"/>
      <c r="FB48" s="2955"/>
      <c r="FC48" s="2955"/>
      <c r="FD48" s="2955"/>
      <c r="FE48" s="2955"/>
      <c r="FF48" s="2955"/>
      <c r="FG48" s="2955"/>
      <c r="FH48" s="2955"/>
      <c r="FI48" s="2955"/>
      <c r="FJ48" s="2955"/>
      <c r="FK48" s="2955"/>
      <c r="FL48" s="2955"/>
      <c r="FM48" s="2955"/>
      <c r="FN48" s="2955"/>
      <c r="FO48" s="2955"/>
      <c r="FP48" s="2955"/>
      <c r="FQ48" s="2955"/>
      <c r="FR48" s="2955"/>
      <c r="FS48" s="2955"/>
      <c r="FT48" s="2955"/>
      <c r="FU48" s="2955"/>
      <c r="FV48" s="2955"/>
      <c r="FW48" s="2955"/>
      <c r="FX48" s="2955"/>
      <c r="FY48" s="2955"/>
      <c r="FZ48" s="2955"/>
      <c r="GA48" s="2955"/>
      <c r="GB48" s="2955"/>
      <c r="GC48" s="2955"/>
      <c r="GD48" s="2955"/>
      <c r="GE48" s="2955"/>
      <c r="GF48" s="2955"/>
      <c r="GG48" s="2955"/>
      <c r="GH48" s="2955"/>
      <c r="GI48" s="2955"/>
      <c r="GJ48" s="2955"/>
      <c r="GK48" s="2955"/>
      <c r="GL48" s="2955"/>
      <c r="GM48" s="2955"/>
      <c r="GN48" s="2955"/>
      <c r="GO48" s="2955"/>
      <c r="GP48" s="2955"/>
      <c r="GQ48" s="2955"/>
      <c r="GR48" s="2955"/>
      <c r="GS48" s="2955"/>
      <c r="GT48" s="2955"/>
      <c r="GU48" s="2955"/>
      <c r="GV48" s="2955"/>
      <c r="GW48" s="2955"/>
      <c r="GX48" s="2955"/>
      <c r="GY48" s="2955"/>
      <c r="GZ48" s="2955"/>
      <c r="HA48" s="2955"/>
      <c r="HB48" s="2955"/>
      <c r="HC48" s="2955"/>
      <c r="HD48" s="2955"/>
      <c r="HE48" s="2955"/>
      <c r="HF48" s="2955"/>
      <c r="HG48" s="2955"/>
      <c r="HH48" s="2955"/>
      <c r="HI48" s="2955"/>
      <c r="HJ48" s="2955"/>
      <c r="HK48" s="2955"/>
      <c r="HL48" s="2955"/>
      <c r="HM48" s="2955"/>
      <c r="HN48" s="2955"/>
      <c r="HO48" s="2955"/>
      <c r="HP48" s="2955"/>
      <c r="HQ48" s="2955"/>
      <c r="HR48" s="2955"/>
      <c r="HS48" s="2955"/>
      <c r="HT48" s="2955"/>
      <c r="HU48" s="2955"/>
      <c r="HV48" s="2955"/>
      <c r="HW48" s="2955"/>
      <c r="HX48" s="2955"/>
      <c r="HY48" s="2955"/>
      <c r="HZ48" s="2955"/>
      <c r="IA48" s="2955"/>
      <c r="IB48" s="2955"/>
      <c r="IC48" s="2955"/>
      <c r="ID48" s="2955"/>
      <c r="IE48" s="2955"/>
      <c r="IF48" s="2955"/>
      <c r="IG48" s="2955"/>
      <c r="IH48" s="2955"/>
      <c r="II48" s="2955"/>
      <c r="IJ48" s="2955"/>
      <c r="IK48" s="2955"/>
      <c r="IL48" s="2955"/>
      <c r="IM48" s="2955"/>
      <c r="IN48" s="2955"/>
      <c r="IO48" s="2955"/>
      <c r="IP48" s="2955"/>
    </row>
    <row r="49" spans="1:250" s="2967" customFormat="1" ht="15.95" customHeight="1">
      <c r="A49" s="3344"/>
      <c r="B49" s="3335" t="s">
        <v>3209</v>
      </c>
      <c r="C49" s="3330" t="s">
        <v>3210</v>
      </c>
      <c r="D49" s="3339" t="s">
        <v>3211</v>
      </c>
      <c r="E49" s="3338" t="s">
        <v>3155</v>
      </c>
      <c r="F49" s="2956" t="s">
        <v>3205</v>
      </c>
      <c r="G49" s="3330" t="s">
        <v>3132</v>
      </c>
      <c r="H49" s="3333">
        <v>470</v>
      </c>
      <c r="I49" s="2958" t="s">
        <v>3212</v>
      </c>
      <c r="J49" s="3333" t="s">
        <v>3145</v>
      </c>
      <c r="K49" s="2958">
        <v>53349</v>
      </c>
      <c r="L49" s="2965">
        <v>186721.5</v>
      </c>
      <c r="M49" s="2965">
        <v>640188</v>
      </c>
      <c r="N49" s="2965">
        <v>658888</v>
      </c>
      <c r="O49" s="2959"/>
      <c r="P49" s="2965">
        <v>0</v>
      </c>
      <c r="Q49" s="2965">
        <v>0</v>
      </c>
      <c r="R49" s="2959">
        <v>0</v>
      </c>
      <c r="S49" s="2965">
        <v>0</v>
      </c>
      <c r="T49" s="2960">
        <f t="shared" si="0"/>
        <v>1299076</v>
      </c>
      <c r="U49" s="3326">
        <f>T49+T50</f>
        <v>1876951.5</v>
      </c>
      <c r="V49" s="3324">
        <f>U49/H49/987</f>
        <v>4.0461133027226284</v>
      </c>
      <c r="W49" s="2955"/>
      <c r="X49" s="2955"/>
      <c r="Y49" s="2955"/>
      <c r="Z49" s="2955"/>
      <c r="AA49" s="2955"/>
      <c r="AB49" s="2955"/>
      <c r="AC49" s="2955"/>
      <c r="AD49" s="2955"/>
      <c r="AE49" s="2955"/>
      <c r="AF49" s="2955"/>
      <c r="AG49" s="2955"/>
      <c r="AH49" s="2955"/>
      <c r="AI49" s="2955"/>
      <c r="AJ49" s="2955"/>
      <c r="AK49" s="2955"/>
      <c r="AL49" s="2955"/>
      <c r="AM49" s="2955"/>
      <c r="AN49" s="2955"/>
      <c r="AO49" s="2955"/>
      <c r="AP49" s="2955"/>
      <c r="AQ49" s="2955"/>
      <c r="AR49" s="2955"/>
      <c r="AS49" s="2955"/>
      <c r="AT49" s="2955"/>
      <c r="AU49" s="2955"/>
      <c r="AV49" s="2955"/>
      <c r="AW49" s="2955"/>
      <c r="AX49" s="2955"/>
      <c r="AY49" s="2955"/>
      <c r="AZ49" s="2955"/>
      <c r="BA49" s="2955"/>
      <c r="BB49" s="2955"/>
      <c r="BC49" s="2955"/>
      <c r="BD49" s="2955"/>
      <c r="BE49" s="2955"/>
      <c r="BF49" s="2955"/>
      <c r="BG49" s="2955"/>
      <c r="BH49" s="2955"/>
      <c r="BI49" s="2955"/>
      <c r="BJ49" s="2955"/>
      <c r="BK49" s="2955"/>
      <c r="BL49" s="2955"/>
      <c r="BM49" s="2955"/>
      <c r="BN49" s="2955"/>
      <c r="BO49" s="2955"/>
      <c r="BP49" s="2955"/>
      <c r="BQ49" s="2955"/>
      <c r="BR49" s="2955"/>
      <c r="BS49" s="2955"/>
      <c r="BT49" s="2955"/>
      <c r="BU49" s="2955"/>
      <c r="BV49" s="2955"/>
      <c r="BW49" s="2955"/>
      <c r="BX49" s="2955"/>
      <c r="BY49" s="2955"/>
      <c r="BZ49" s="2955"/>
      <c r="CA49" s="2955"/>
      <c r="CB49" s="2955"/>
      <c r="CC49" s="2955"/>
      <c r="CD49" s="2955"/>
      <c r="CE49" s="2955"/>
      <c r="CF49" s="2955"/>
      <c r="CG49" s="2955"/>
      <c r="CH49" s="2955"/>
      <c r="CI49" s="2955"/>
      <c r="CJ49" s="2955"/>
      <c r="CK49" s="2955"/>
      <c r="CL49" s="2955"/>
      <c r="CM49" s="2955"/>
      <c r="CN49" s="2955"/>
      <c r="CO49" s="2955"/>
      <c r="CP49" s="2955"/>
      <c r="CQ49" s="2955"/>
      <c r="CR49" s="2955"/>
      <c r="CS49" s="2955"/>
      <c r="CT49" s="2955"/>
      <c r="CU49" s="2955"/>
      <c r="CV49" s="2955"/>
      <c r="CW49" s="2955"/>
      <c r="CX49" s="2955"/>
      <c r="CY49" s="2955"/>
      <c r="CZ49" s="2955"/>
      <c r="DA49" s="2955"/>
      <c r="DB49" s="2955"/>
      <c r="DC49" s="2955"/>
      <c r="DD49" s="2955"/>
      <c r="DE49" s="2955"/>
      <c r="DF49" s="2955"/>
      <c r="DG49" s="2955"/>
      <c r="DH49" s="2955"/>
      <c r="DI49" s="2955"/>
      <c r="DJ49" s="2955"/>
      <c r="DK49" s="2955"/>
      <c r="DL49" s="2955"/>
      <c r="DM49" s="2955"/>
      <c r="DN49" s="2955"/>
      <c r="DO49" s="2955"/>
      <c r="DP49" s="2955"/>
      <c r="DQ49" s="2955"/>
      <c r="DR49" s="2955"/>
      <c r="DS49" s="2955"/>
      <c r="DT49" s="2955"/>
      <c r="DU49" s="2955"/>
      <c r="DV49" s="2955"/>
      <c r="DW49" s="2955"/>
      <c r="DX49" s="2955"/>
      <c r="DY49" s="2955"/>
      <c r="DZ49" s="2955"/>
      <c r="EA49" s="2955"/>
      <c r="EB49" s="2955"/>
      <c r="EC49" s="2955"/>
      <c r="ED49" s="2955"/>
      <c r="EE49" s="2955"/>
      <c r="EF49" s="2955"/>
      <c r="EG49" s="2955"/>
      <c r="EH49" s="2955"/>
      <c r="EI49" s="2955"/>
      <c r="EJ49" s="2955"/>
      <c r="EK49" s="2955"/>
      <c r="EL49" s="2955"/>
      <c r="EM49" s="2955"/>
      <c r="EN49" s="2955"/>
      <c r="EO49" s="2955"/>
      <c r="EP49" s="2955"/>
      <c r="EQ49" s="2955"/>
      <c r="ER49" s="2955"/>
      <c r="ES49" s="2955"/>
      <c r="ET49" s="2955"/>
      <c r="EU49" s="2955"/>
      <c r="EV49" s="2955"/>
      <c r="EW49" s="2955"/>
      <c r="EX49" s="2955"/>
      <c r="EY49" s="2955"/>
      <c r="EZ49" s="2955"/>
      <c r="FA49" s="2955"/>
      <c r="FB49" s="2955"/>
      <c r="FC49" s="2955"/>
      <c r="FD49" s="2955"/>
      <c r="FE49" s="2955"/>
      <c r="FF49" s="2955"/>
      <c r="FG49" s="2955"/>
      <c r="FH49" s="2955"/>
      <c r="FI49" s="2955"/>
      <c r="FJ49" s="2955"/>
      <c r="FK49" s="2955"/>
      <c r="FL49" s="2955"/>
      <c r="FM49" s="2955"/>
      <c r="FN49" s="2955"/>
      <c r="FO49" s="2955"/>
      <c r="FP49" s="2955"/>
      <c r="FQ49" s="2955"/>
      <c r="FR49" s="2955"/>
      <c r="FS49" s="2955"/>
      <c r="FT49" s="2955"/>
      <c r="FU49" s="2955"/>
      <c r="FV49" s="2955"/>
      <c r="FW49" s="2955"/>
      <c r="FX49" s="2955"/>
      <c r="FY49" s="2955"/>
      <c r="FZ49" s="2955"/>
      <c r="GA49" s="2955"/>
      <c r="GB49" s="2955"/>
      <c r="GC49" s="2955"/>
      <c r="GD49" s="2955"/>
      <c r="GE49" s="2955"/>
      <c r="GF49" s="2955"/>
      <c r="GG49" s="2955"/>
      <c r="GH49" s="2955"/>
      <c r="GI49" s="2955"/>
      <c r="GJ49" s="2955"/>
      <c r="GK49" s="2955"/>
      <c r="GL49" s="2955"/>
      <c r="GM49" s="2955"/>
      <c r="GN49" s="2955"/>
      <c r="GO49" s="2955"/>
      <c r="GP49" s="2955"/>
      <c r="GQ49" s="2955"/>
      <c r="GR49" s="2955"/>
      <c r="GS49" s="2955"/>
      <c r="GT49" s="2955"/>
      <c r="GU49" s="2955"/>
      <c r="GV49" s="2955"/>
      <c r="GW49" s="2955"/>
      <c r="GX49" s="2955"/>
      <c r="GY49" s="2955"/>
      <c r="GZ49" s="2955"/>
      <c r="HA49" s="2955"/>
      <c r="HB49" s="2955"/>
      <c r="HC49" s="2955"/>
      <c r="HD49" s="2955"/>
      <c r="HE49" s="2955"/>
      <c r="HF49" s="2955"/>
      <c r="HG49" s="2955"/>
      <c r="HH49" s="2955"/>
      <c r="HI49" s="2955"/>
      <c r="HJ49" s="2955"/>
      <c r="HK49" s="2955"/>
      <c r="HL49" s="2955"/>
      <c r="HM49" s="2955"/>
      <c r="HN49" s="2955"/>
      <c r="HO49" s="2955"/>
      <c r="HP49" s="2955"/>
      <c r="HQ49" s="2955"/>
      <c r="HR49" s="2955"/>
      <c r="HS49" s="2955"/>
      <c r="HT49" s="2955"/>
      <c r="HU49" s="2955"/>
      <c r="HV49" s="2955"/>
      <c r="HW49" s="2955"/>
      <c r="HX49" s="2955"/>
      <c r="HY49" s="2955"/>
      <c r="HZ49" s="2955"/>
      <c r="IA49" s="2955"/>
      <c r="IB49" s="2955"/>
      <c r="IC49" s="2955"/>
      <c r="ID49" s="2955"/>
      <c r="IE49" s="2955"/>
      <c r="IF49" s="2955"/>
      <c r="IG49" s="2955"/>
      <c r="IH49" s="2955"/>
      <c r="II49" s="2955"/>
      <c r="IJ49" s="2955"/>
      <c r="IK49" s="2955"/>
      <c r="IL49" s="2955"/>
      <c r="IM49" s="2955"/>
      <c r="IN49" s="2955"/>
      <c r="IO49" s="2955"/>
      <c r="IP49" s="2955"/>
    </row>
    <row r="50" spans="1:250" s="2967" customFormat="1" ht="15.95" customHeight="1">
      <c r="A50" s="3344"/>
      <c r="B50" s="3335"/>
      <c r="C50" s="3330"/>
      <c r="D50" s="3340"/>
      <c r="E50" s="3338"/>
      <c r="F50" s="2956" t="s">
        <v>3207</v>
      </c>
      <c r="G50" s="3330"/>
      <c r="H50" s="3333"/>
      <c r="I50" s="2958" t="s">
        <v>3213</v>
      </c>
      <c r="J50" s="3333"/>
      <c r="K50" s="2958">
        <v>60829</v>
      </c>
      <c r="L50" s="2965"/>
      <c r="M50" s="2965"/>
      <c r="N50" s="2965"/>
      <c r="O50" s="2959">
        <v>577875.5</v>
      </c>
      <c r="P50" s="2964"/>
      <c r="Q50" s="2964"/>
      <c r="R50" s="2964"/>
      <c r="S50" s="2964"/>
      <c r="T50" s="2960">
        <f t="shared" si="0"/>
        <v>577875.5</v>
      </c>
      <c r="U50" s="3327"/>
      <c r="V50" s="3325"/>
      <c r="W50" s="2955"/>
      <c r="X50" s="2955"/>
      <c r="Y50" s="2955"/>
      <c r="Z50" s="2955"/>
      <c r="AA50" s="2955"/>
      <c r="AB50" s="2955"/>
      <c r="AC50" s="2955"/>
      <c r="AD50" s="2955"/>
      <c r="AE50" s="2955"/>
      <c r="AF50" s="2955"/>
      <c r="AG50" s="2955"/>
      <c r="AH50" s="2955"/>
      <c r="AI50" s="2955"/>
      <c r="AJ50" s="2955"/>
      <c r="AK50" s="2955"/>
      <c r="AL50" s="2955"/>
      <c r="AM50" s="2955"/>
      <c r="AN50" s="2955"/>
      <c r="AO50" s="2955"/>
      <c r="AP50" s="2955"/>
      <c r="AQ50" s="2955"/>
      <c r="AR50" s="2955"/>
      <c r="AS50" s="2955"/>
      <c r="AT50" s="2955"/>
      <c r="AU50" s="2955"/>
      <c r="AV50" s="2955"/>
      <c r="AW50" s="2955"/>
      <c r="AX50" s="2955"/>
      <c r="AY50" s="2955"/>
      <c r="AZ50" s="2955"/>
      <c r="BA50" s="2955"/>
      <c r="BB50" s="2955"/>
      <c r="BC50" s="2955"/>
      <c r="BD50" s="2955"/>
      <c r="BE50" s="2955"/>
      <c r="BF50" s="2955"/>
      <c r="BG50" s="2955"/>
      <c r="BH50" s="2955"/>
      <c r="BI50" s="2955"/>
      <c r="BJ50" s="2955"/>
      <c r="BK50" s="2955"/>
      <c r="BL50" s="2955"/>
      <c r="BM50" s="2955"/>
      <c r="BN50" s="2955"/>
      <c r="BO50" s="2955"/>
      <c r="BP50" s="2955"/>
      <c r="BQ50" s="2955"/>
      <c r="BR50" s="2955"/>
      <c r="BS50" s="2955"/>
      <c r="BT50" s="2955"/>
      <c r="BU50" s="2955"/>
      <c r="BV50" s="2955"/>
      <c r="BW50" s="2955"/>
      <c r="BX50" s="2955"/>
      <c r="BY50" s="2955"/>
      <c r="BZ50" s="2955"/>
      <c r="CA50" s="2955"/>
      <c r="CB50" s="2955"/>
      <c r="CC50" s="2955"/>
      <c r="CD50" s="2955"/>
      <c r="CE50" s="2955"/>
      <c r="CF50" s="2955"/>
      <c r="CG50" s="2955"/>
      <c r="CH50" s="2955"/>
      <c r="CI50" s="2955"/>
      <c r="CJ50" s="2955"/>
      <c r="CK50" s="2955"/>
      <c r="CL50" s="2955"/>
      <c r="CM50" s="2955"/>
      <c r="CN50" s="2955"/>
      <c r="CO50" s="2955"/>
      <c r="CP50" s="2955"/>
      <c r="CQ50" s="2955"/>
      <c r="CR50" s="2955"/>
      <c r="CS50" s="2955"/>
      <c r="CT50" s="2955"/>
      <c r="CU50" s="2955"/>
      <c r="CV50" s="2955"/>
      <c r="CW50" s="2955"/>
      <c r="CX50" s="2955"/>
      <c r="CY50" s="2955"/>
      <c r="CZ50" s="2955"/>
      <c r="DA50" s="2955"/>
      <c r="DB50" s="2955"/>
      <c r="DC50" s="2955"/>
      <c r="DD50" s="2955"/>
      <c r="DE50" s="2955"/>
      <c r="DF50" s="2955"/>
      <c r="DG50" s="2955"/>
      <c r="DH50" s="2955"/>
      <c r="DI50" s="2955"/>
      <c r="DJ50" s="2955"/>
      <c r="DK50" s="2955"/>
      <c r="DL50" s="2955"/>
      <c r="DM50" s="2955"/>
      <c r="DN50" s="2955"/>
      <c r="DO50" s="2955"/>
      <c r="DP50" s="2955"/>
      <c r="DQ50" s="2955"/>
      <c r="DR50" s="2955"/>
      <c r="DS50" s="2955"/>
      <c r="DT50" s="2955"/>
      <c r="DU50" s="2955"/>
      <c r="DV50" s="2955"/>
      <c r="DW50" s="2955"/>
      <c r="DX50" s="2955"/>
      <c r="DY50" s="2955"/>
      <c r="DZ50" s="2955"/>
      <c r="EA50" s="2955"/>
      <c r="EB50" s="2955"/>
      <c r="EC50" s="2955"/>
      <c r="ED50" s="2955"/>
      <c r="EE50" s="2955"/>
      <c r="EF50" s="2955"/>
      <c r="EG50" s="2955"/>
      <c r="EH50" s="2955"/>
      <c r="EI50" s="2955"/>
      <c r="EJ50" s="2955"/>
      <c r="EK50" s="2955"/>
      <c r="EL50" s="2955"/>
      <c r="EM50" s="2955"/>
      <c r="EN50" s="2955"/>
      <c r="EO50" s="2955"/>
      <c r="EP50" s="2955"/>
      <c r="EQ50" s="2955"/>
      <c r="ER50" s="2955"/>
      <c r="ES50" s="2955"/>
      <c r="ET50" s="2955"/>
      <c r="EU50" s="2955"/>
      <c r="EV50" s="2955"/>
      <c r="EW50" s="2955"/>
      <c r="EX50" s="2955"/>
      <c r="EY50" s="2955"/>
      <c r="EZ50" s="2955"/>
      <c r="FA50" s="2955"/>
      <c r="FB50" s="2955"/>
      <c r="FC50" s="2955"/>
      <c r="FD50" s="2955"/>
      <c r="FE50" s="2955"/>
      <c r="FF50" s="2955"/>
      <c r="FG50" s="2955"/>
      <c r="FH50" s="2955"/>
      <c r="FI50" s="2955"/>
      <c r="FJ50" s="2955"/>
      <c r="FK50" s="2955"/>
      <c r="FL50" s="2955"/>
      <c r="FM50" s="2955"/>
      <c r="FN50" s="2955"/>
      <c r="FO50" s="2955"/>
      <c r="FP50" s="2955"/>
      <c r="FQ50" s="2955"/>
      <c r="FR50" s="2955"/>
      <c r="FS50" s="2955"/>
      <c r="FT50" s="2955"/>
      <c r="FU50" s="2955"/>
      <c r="FV50" s="2955"/>
      <c r="FW50" s="2955"/>
      <c r="FX50" s="2955"/>
      <c r="FY50" s="2955"/>
      <c r="FZ50" s="2955"/>
      <c r="GA50" s="2955"/>
      <c r="GB50" s="2955"/>
      <c r="GC50" s="2955"/>
      <c r="GD50" s="2955"/>
      <c r="GE50" s="2955"/>
      <c r="GF50" s="2955"/>
      <c r="GG50" s="2955"/>
      <c r="GH50" s="2955"/>
      <c r="GI50" s="2955"/>
      <c r="GJ50" s="2955"/>
      <c r="GK50" s="2955"/>
      <c r="GL50" s="2955"/>
      <c r="GM50" s="2955"/>
      <c r="GN50" s="2955"/>
      <c r="GO50" s="2955"/>
      <c r="GP50" s="2955"/>
      <c r="GQ50" s="2955"/>
      <c r="GR50" s="2955"/>
      <c r="GS50" s="2955"/>
      <c r="GT50" s="2955"/>
      <c r="GU50" s="2955"/>
      <c r="GV50" s="2955"/>
      <c r="GW50" s="2955"/>
      <c r="GX50" s="2955"/>
      <c r="GY50" s="2955"/>
      <c r="GZ50" s="2955"/>
      <c r="HA50" s="2955"/>
      <c r="HB50" s="2955"/>
      <c r="HC50" s="2955"/>
      <c r="HD50" s="2955"/>
      <c r="HE50" s="2955"/>
      <c r="HF50" s="2955"/>
      <c r="HG50" s="2955"/>
      <c r="HH50" s="2955"/>
      <c r="HI50" s="2955"/>
      <c r="HJ50" s="2955"/>
      <c r="HK50" s="2955"/>
      <c r="HL50" s="2955"/>
      <c r="HM50" s="2955"/>
      <c r="HN50" s="2955"/>
      <c r="HO50" s="2955"/>
      <c r="HP50" s="2955"/>
      <c r="HQ50" s="2955"/>
      <c r="HR50" s="2955"/>
      <c r="HS50" s="2955"/>
      <c r="HT50" s="2955"/>
      <c r="HU50" s="2955"/>
      <c r="HV50" s="2955"/>
      <c r="HW50" s="2955"/>
      <c r="HX50" s="2955"/>
      <c r="HY50" s="2955"/>
      <c r="HZ50" s="2955"/>
      <c r="IA50" s="2955"/>
      <c r="IB50" s="2955"/>
      <c r="IC50" s="2955"/>
      <c r="ID50" s="2955"/>
      <c r="IE50" s="2955"/>
      <c r="IF50" s="2955"/>
      <c r="IG50" s="2955"/>
      <c r="IH50" s="2955"/>
      <c r="II50" s="2955"/>
      <c r="IJ50" s="2955"/>
      <c r="IK50" s="2955"/>
      <c r="IL50" s="2955"/>
      <c r="IM50" s="2955"/>
      <c r="IN50" s="2955"/>
      <c r="IO50" s="2955"/>
      <c r="IP50" s="2955"/>
    </row>
    <row r="51" spans="1:250" s="2953" customFormat="1" ht="15" customHeight="1">
      <c r="A51" s="3344"/>
      <c r="B51" s="3329" t="s">
        <v>3214</v>
      </c>
      <c r="C51" s="3336" t="s">
        <v>3215</v>
      </c>
      <c r="D51" s="3337" t="s">
        <v>3216</v>
      </c>
      <c r="E51" s="3338" t="s">
        <v>3155</v>
      </c>
      <c r="F51" s="2956" t="s">
        <v>3205</v>
      </c>
      <c r="G51" s="3330"/>
      <c r="H51" s="3333">
        <v>1041.6099999999999</v>
      </c>
      <c r="I51" s="2958" t="s">
        <v>3217</v>
      </c>
      <c r="J51" s="3333" t="s">
        <v>3145</v>
      </c>
      <c r="K51" s="2958">
        <v>125788</v>
      </c>
      <c r="L51" s="2965">
        <v>431226.54</v>
      </c>
      <c r="M51" s="2965">
        <f>125788*12</f>
        <v>1509456</v>
      </c>
      <c r="N51" s="2965">
        <f>125788*8.5</f>
        <v>1069198</v>
      </c>
      <c r="O51" s="2959"/>
      <c r="P51" s="2965">
        <v>0</v>
      </c>
      <c r="Q51" s="2965">
        <v>0</v>
      </c>
      <c r="R51" s="2959">
        <v>0</v>
      </c>
      <c r="S51" s="2965">
        <v>0</v>
      </c>
      <c r="T51" s="2960">
        <f t="shared" si="0"/>
        <v>2578654</v>
      </c>
      <c r="U51" s="3326">
        <f>T51+T52</f>
        <v>4236430</v>
      </c>
      <c r="V51" s="3324">
        <f>U51/H51/987</f>
        <v>4.1207639871900827</v>
      </c>
      <c r="W51" s="2955"/>
      <c r="X51" s="2955"/>
      <c r="Y51" s="2955"/>
      <c r="Z51" s="2955"/>
      <c r="AA51" s="2955"/>
      <c r="AB51" s="2955"/>
      <c r="AC51" s="2955"/>
      <c r="AD51" s="2955"/>
      <c r="AE51" s="2955"/>
      <c r="AF51" s="2955"/>
      <c r="AG51" s="2955"/>
      <c r="AH51" s="2955"/>
      <c r="AI51" s="2955"/>
      <c r="AJ51" s="2955"/>
      <c r="AK51" s="2955"/>
      <c r="AL51" s="2955"/>
      <c r="AM51" s="2955"/>
      <c r="AN51" s="2955"/>
      <c r="AO51" s="2955"/>
      <c r="AP51" s="2955"/>
      <c r="AQ51" s="2955"/>
      <c r="AR51" s="2955"/>
      <c r="AS51" s="2955"/>
      <c r="AT51" s="2955"/>
      <c r="AU51" s="2955"/>
      <c r="AV51" s="2955"/>
      <c r="AW51" s="2955"/>
      <c r="AX51" s="2955"/>
      <c r="AY51" s="2955"/>
      <c r="AZ51" s="2955"/>
      <c r="BA51" s="2955"/>
      <c r="BB51" s="2955"/>
      <c r="BC51" s="2955"/>
      <c r="BD51" s="2955"/>
      <c r="BE51" s="2955"/>
      <c r="BF51" s="2955"/>
      <c r="BG51" s="2955"/>
      <c r="BH51" s="2955"/>
      <c r="BI51" s="2955"/>
      <c r="BJ51" s="2955"/>
      <c r="BK51" s="2955"/>
      <c r="BL51" s="2955"/>
      <c r="BM51" s="2955"/>
      <c r="BN51" s="2955"/>
      <c r="BO51" s="2955"/>
      <c r="BP51" s="2955"/>
      <c r="BQ51" s="2955"/>
      <c r="BR51" s="2955"/>
      <c r="BS51" s="2955"/>
      <c r="BT51" s="2955"/>
      <c r="BU51" s="2955"/>
      <c r="BV51" s="2955"/>
      <c r="BW51" s="2955"/>
      <c r="BX51" s="2955"/>
      <c r="BY51" s="2955"/>
      <c r="BZ51" s="2955"/>
      <c r="CA51" s="2955"/>
      <c r="CB51" s="2955"/>
      <c r="CC51" s="2955"/>
      <c r="CD51" s="2955"/>
      <c r="CE51" s="2955"/>
      <c r="CF51" s="2955"/>
      <c r="CG51" s="2955"/>
      <c r="CH51" s="2955"/>
      <c r="CI51" s="2955"/>
      <c r="CJ51" s="2955"/>
      <c r="CK51" s="2955"/>
      <c r="CL51" s="2955"/>
      <c r="CM51" s="2955"/>
      <c r="CN51" s="2955"/>
      <c r="CO51" s="2955"/>
      <c r="CP51" s="2955"/>
      <c r="CQ51" s="2955"/>
      <c r="CR51" s="2955"/>
      <c r="CS51" s="2955"/>
      <c r="CT51" s="2955"/>
      <c r="CU51" s="2955"/>
      <c r="CV51" s="2955"/>
      <c r="CW51" s="2955"/>
      <c r="CX51" s="2955"/>
      <c r="CY51" s="2955"/>
      <c r="CZ51" s="2955"/>
      <c r="DA51" s="2955"/>
      <c r="DB51" s="2955"/>
      <c r="DC51" s="2955"/>
      <c r="DD51" s="2955"/>
      <c r="DE51" s="2955"/>
      <c r="DF51" s="2955"/>
      <c r="DG51" s="2955"/>
      <c r="DH51" s="2955"/>
      <c r="DI51" s="2955"/>
      <c r="DJ51" s="2955"/>
      <c r="DK51" s="2955"/>
      <c r="DL51" s="2955"/>
      <c r="DM51" s="2955"/>
      <c r="DN51" s="2955"/>
      <c r="DO51" s="2955"/>
      <c r="DP51" s="2955"/>
      <c r="DQ51" s="2955"/>
      <c r="DR51" s="2955"/>
      <c r="DS51" s="2955"/>
      <c r="DT51" s="2955"/>
      <c r="DU51" s="2955"/>
      <c r="DV51" s="2955"/>
      <c r="DW51" s="2955"/>
      <c r="DX51" s="2955"/>
      <c r="DY51" s="2955"/>
      <c r="DZ51" s="2955"/>
      <c r="EA51" s="2955"/>
      <c r="EB51" s="2955"/>
      <c r="EC51" s="2955"/>
      <c r="ED51" s="2955"/>
      <c r="EE51" s="2955"/>
      <c r="EF51" s="2955"/>
      <c r="EG51" s="2955"/>
      <c r="EH51" s="2955"/>
      <c r="EI51" s="2955"/>
      <c r="EJ51" s="2955"/>
      <c r="EK51" s="2955"/>
      <c r="EL51" s="2955"/>
      <c r="EM51" s="2955"/>
      <c r="EN51" s="2955"/>
      <c r="EO51" s="2955"/>
      <c r="EP51" s="2955"/>
      <c r="EQ51" s="2955"/>
      <c r="ER51" s="2955"/>
      <c r="ES51" s="2955"/>
      <c r="ET51" s="2955"/>
      <c r="EU51" s="2955"/>
      <c r="EV51" s="2955"/>
      <c r="EW51" s="2955"/>
      <c r="EX51" s="2955"/>
      <c r="EY51" s="2955"/>
      <c r="EZ51" s="2955"/>
      <c r="FA51" s="2955"/>
      <c r="FB51" s="2955"/>
      <c r="FC51" s="2955"/>
      <c r="FD51" s="2955"/>
      <c r="FE51" s="2955"/>
      <c r="FF51" s="2955"/>
      <c r="FG51" s="2955"/>
      <c r="FH51" s="2955"/>
      <c r="FI51" s="2955"/>
      <c r="FJ51" s="2955"/>
      <c r="FK51" s="2955"/>
      <c r="FL51" s="2955"/>
      <c r="FM51" s="2955"/>
      <c r="FN51" s="2955"/>
      <c r="FO51" s="2955"/>
      <c r="FP51" s="2955"/>
      <c r="FQ51" s="2955"/>
      <c r="FR51" s="2955"/>
      <c r="FS51" s="2955"/>
      <c r="FT51" s="2955"/>
      <c r="FU51" s="2955"/>
      <c r="FV51" s="2955"/>
      <c r="FW51" s="2955"/>
      <c r="FX51" s="2955"/>
      <c r="FY51" s="2955"/>
      <c r="FZ51" s="2955"/>
      <c r="GA51" s="2955"/>
      <c r="GB51" s="2955"/>
      <c r="GC51" s="2955"/>
      <c r="GD51" s="2955"/>
      <c r="GE51" s="2955"/>
      <c r="GF51" s="2955"/>
      <c r="GG51" s="2955"/>
      <c r="GH51" s="2955"/>
      <c r="GI51" s="2955"/>
      <c r="GJ51" s="2955"/>
      <c r="GK51" s="2955"/>
      <c r="GL51" s="2955"/>
      <c r="GM51" s="2955"/>
      <c r="GN51" s="2955"/>
      <c r="GO51" s="2955"/>
      <c r="GP51" s="2955"/>
      <c r="GQ51" s="2955"/>
      <c r="GR51" s="2955"/>
      <c r="GS51" s="2955"/>
      <c r="GT51" s="2955"/>
      <c r="GU51" s="2955"/>
      <c r="GV51" s="2955"/>
      <c r="GW51" s="2955"/>
      <c r="GX51" s="2955"/>
      <c r="GY51" s="2955"/>
      <c r="GZ51" s="2955"/>
      <c r="HA51" s="2955"/>
      <c r="HB51" s="2955"/>
      <c r="HC51" s="2955"/>
      <c r="HD51" s="2955"/>
      <c r="HE51" s="2955"/>
      <c r="HF51" s="2955"/>
      <c r="HG51" s="2955"/>
      <c r="HH51" s="2955"/>
      <c r="HI51" s="2955"/>
      <c r="HJ51" s="2955"/>
      <c r="HK51" s="2955"/>
      <c r="HL51" s="2955"/>
      <c r="HM51" s="2955"/>
      <c r="HN51" s="2955"/>
      <c r="HO51" s="2955"/>
      <c r="HP51" s="2955"/>
      <c r="HQ51" s="2955"/>
      <c r="HR51" s="2955"/>
      <c r="HS51" s="2955"/>
      <c r="HT51" s="2955"/>
      <c r="HU51" s="2955"/>
      <c r="HV51" s="2955"/>
      <c r="HW51" s="2955"/>
      <c r="HX51" s="2955"/>
      <c r="HY51" s="2955"/>
      <c r="HZ51" s="2955"/>
      <c r="IA51" s="2955"/>
      <c r="IB51" s="2955"/>
      <c r="IC51" s="2955"/>
      <c r="ID51" s="2955"/>
      <c r="IE51" s="2955"/>
      <c r="IF51" s="2955"/>
      <c r="IG51" s="2955"/>
      <c r="IH51" s="2955"/>
      <c r="II51" s="2955"/>
      <c r="IJ51" s="2955"/>
      <c r="IK51" s="2955"/>
      <c r="IL51" s="2955"/>
      <c r="IM51" s="2955"/>
      <c r="IN51" s="2955"/>
      <c r="IO51" s="2955"/>
      <c r="IP51" s="2955"/>
    </row>
    <row r="52" spans="1:250" s="2953" customFormat="1" ht="15" customHeight="1">
      <c r="A52" s="3344"/>
      <c r="B52" s="3329"/>
      <c r="C52" s="3336"/>
      <c r="D52" s="3337"/>
      <c r="E52" s="3338"/>
      <c r="F52" s="2956" t="s">
        <v>3207</v>
      </c>
      <c r="G52" s="3330"/>
      <c r="H52" s="3333"/>
      <c r="I52" s="2958" t="s">
        <v>3218</v>
      </c>
      <c r="J52" s="3333"/>
      <c r="K52" s="2958">
        <v>138148</v>
      </c>
      <c r="L52" s="2965"/>
      <c r="M52" s="2965"/>
      <c r="N52" s="2965">
        <f>138148*3.5</f>
        <v>483518</v>
      </c>
      <c r="O52" s="2959">
        <f>138148*8.5</f>
        <v>1174258</v>
      </c>
      <c r="P52" s="2964"/>
      <c r="Q52" s="2964"/>
      <c r="R52" s="2964"/>
      <c r="S52" s="2964"/>
      <c r="T52" s="2960">
        <f t="shared" si="0"/>
        <v>1657776</v>
      </c>
      <c r="U52" s="3327"/>
      <c r="V52" s="332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c r="DT52" s="2955"/>
      <c r="DU52" s="2955"/>
      <c r="DV52" s="2955"/>
      <c r="DW52" s="2955"/>
      <c r="DX52" s="2955"/>
      <c r="DY52" s="2955"/>
      <c r="DZ52" s="2955"/>
      <c r="EA52" s="2955"/>
      <c r="EB52" s="2955"/>
      <c r="EC52" s="2955"/>
      <c r="ED52" s="2955"/>
      <c r="EE52" s="2955"/>
      <c r="EF52" s="2955"/>
      <c r="EG52" s="2955"/>
      <c r="EH52" s="2955"/>
      <c r="EI52" s="2955"/>
      <c r="EJ52" s="2955"/>
      <c r="EK52" s="2955"/>
      <c r="EL52" s="2955"/>
      <c r="EM52" s="2955"/>
      <c r="EN52" s="2955"/>
      <c r="EO52" s="2955"/>
      <c r="EP52" s="2955"/>
      <c r="EQ52" s="2955"/>
      <c r="ER52" s="2955"/>
      <c r="ES52" s="2955"/>
      <c r="ET52" s="2955"/>
      <c r="EU52" s="2955"/>
      <c r="EV52" s="2955"/>
      <c r="EW52" s="2955"/>
      <c r="EX52" s="2955"/>
      <c r="EY52" s="2955"/>
      <c r="EZ52" s="2955"/>
      <c r="FA52" s="2955"/>
      <c r="FB52" s="2955"/>
      <c r="FC52" s="2955"/>
      <c r="FD52" s="2955"/>
      <c r="FE52" s="2955"/>
      <c r="FF52" s="2955"/>
      <c r="FG52" s="2955"/>
      <c r="FH52" s="2955"/>
      <c r="FI52" s="2955"/>
      <c r="FJ52" s="2955"/>
      <c r="FK52" s="2955"/>
      <c r="FL52" s="2955"/>
      <c r="FM52" s="2955"/>
      <c r="FN52" s="2955"/>
      <c r="FO52" s="2955"/>
      <c r="FP52" s="2955"/>
      <c r="FQ52" s="2955"/>
      <c r="FR52" s="2955"/>
      <c r="FS52" s="2955"/>
      <c r="FT52" s="2955"/>
      <c r="FU52" s="2955"/>
      <c r="FV52" s="2955"/>
      <c r="FW52" s="2955"/>
      <c r="FX52" s="2955"/>
      <c r="FY52" s="2955"/>
      <c r="FZ52" s="2955"/>
      <c r="GA52" s="2955"/>
      <c r="GB52" s="2955"/>
      <c r="GC52" s="2955"/>
      <c r="GD52" s="2955"/>
      <c r="GE52" s="2955"/>
      <c r="GF52" s="2955"/>
      <c r="GG52" s="2955"/>
      <c r="GH52" s="2955"/>
      <c r="GI52" s="2955"/>
      <c r="GJ52" s="2955"/>
      <c r="GK52" s="2955"/>
      <c r="GL52" s="2955"/>
      <c r="GM52" s="2955"/>
      <c r="GN52" s="2955"/>
      <c r="GO52" s="2955"/>
      <c r="GP52" s="2955"/>
      <c r="GQ52" s="2955"/>
      <c r="GR52" s="2955"/>
      <c r="GS52" s="2955"/>
      <c r="GT52" s="2955"/>
      <c r="GU52" s="2955"/>
      <c r="GV52" s="2955"/>
      <c r="GW52" s="2955"/>
      <c r="GX52" s="2955"/>
      <c r="GY52" s="2955"/>
      <c r="GZ52" s="2955"/>
      <c r="HA52" s="2955"/>
      <c r="HB52" s="2955"/>
      <c r="HC52" s="2955"/>
      <c r="HD52" s="2955"/>
      <c r="HE52" s="2955"/>
      <c r="HF52" s="2955"/>
      <c r="HG52" s="2955"/>
      <c r="HH52" s="2955"/>
      <c r="HI52" s="2955"/>
      <c r="HJ52" s="2955"/>
      <c r="HK52" s="2955"/>
      <c r="HL52" s="2955"/>
      <c r="HM52" s="2955"/>
      <c r="HN52" s="2955"/>
      <c r="HO52" s="2955"/>
      <c r="HP52" s="2955"/>
      <c r="HQ52" s="2955"/>
      <c r="HR52" s="2955"/>
      <c r="HS52" s="2955"/>
      <c r="HT52" s="2955"/>
      <c r="HU52" s="2955"/>
      <c r="HV52" s="2955"/>
      <c r="HW52" s="2955"/>
      <c r="HX52" s="2955"/>
      <c r="HY52" s="2955"/>
      <c r="HZ52" s="2955"/>
      <c r="IA52" s="2955"/>
      <c r="IB52" s="2955"/>
      <c r="IC52" s="2955"/>
      <c r="ID52" s="2955"/>
      <c r="IE52" s="2955"/>
      <c r="IF52" s="2955"/>
      <c r="IG52" s="2955"/>
      <c r="IH52" s="2955"/>
      <c r="II52" s="2955"/>
      <c r="IJ52" s="2955"/>
      <c r="IK52" s="2955"/>
      <c r="IL52" s="2955"/>
      <c r="IM52" s="2955"/>
      <c r="IN52" s="2955"/>
      <c r="IO52" s="2955"/>
      <c r="IP52" s="2955"/>
    </row>
    <row r="53" spans="1:250" s="2953" customFormat="1" ht="15" customHeight="1">
      <c r="A53" s="3344"/>
      <c r="B53" s="3329"/>
      <c r="C53" s="3336"/>
      <c r="D53" s="3337"/>
      <c r="E53" s="3338"/>
      <c r="F53" s="2956"/>
      <c r="G53" s="3330"/>
      <c r="H53" s="3333"/>
      <c r="I53" s="2958"/>
      <c r="J53" s="3333"/>
      <c r="K53" s="2958"/>
      <c r="L53" s="2965"/>
      <c r="M53" s="2965"/>
      <c r="N53" s="2965"/>
      <c r="O53" s="2964"/>
      <c r="P53" s="2964"/>
      <c r="Q53" s="2964"/>
      <c r="R53" s="2964"/>
      <c r="S53" s="2964"/>
      <c r="T53" s="2960">
        <f t="shared" si="0"/>
        <v>0</v>
      </c>
      <c r="U53" s="2969"/>
      <c r="V53" s="2969"/>
      <c r="W53" s="2955"/>
      <c r="X53" s="2955"/>
      <c r="Y53" s="2955"/>
      <c r="Z53" s="2955"/>
      <c r="AA53" s="2955"/>
      <c r="AB53" s="2955"/>
      <c r="AC53" s="2955"/>
      <c r="AD53" s="2955"/>
      <c r="AE53" s="2955"/>
      <c r="AF53" s="2955"/>
      <c r="AG53" s="2955"/>
      <c r="AH53" s="2955"/>
      <c r="AI53" s="2955"/>
      <c r="AJ53" s="2955"/>
      <c r="AK53" s="2955"/>
      <c r="AL53" s="2955"/>
      <c r="AM53" s="2955"/>
      <c r="AN53" s="2955"/>
      <c r="AO53" s="2955"/>
      <c r="AP53" s="2955"/>
      <c r="AQ53" s="2955"/>
      <c r="AR53" s="2955"/>
      <c r="AS53" s="2955"/>
      <c r="AT53" s="2955"/>
      <c r="AU53" s="2955"/>
      <c r="AV53" s="2955"/>
      <c r="AW53" s="2955"/>
      <c r="AX53" s="2955"/>
      <c r="AY53" s="2955"/>
      <c r="AZ53" s="2955"/>
      <c r="BA53" s="2955"/>
      <c r="BB53" s="2955"/>
      <c r="BC53" s="2955"/>
      <c r="BD53" s="2955"/>
      <c r="BE53" s="2955"/>
      <c r="BF53" s="2955"/>
      <c r="BG53" s="2955"/>
      <c r="BH53" s="2955"/>
      <c r="BI53" s="2955"/>
      <c r="BJ53" s="2955"/>
      <c r="BK53" s="2955"/>
      <c r="BL53" s="2955"/>
      <c r="BM53" s="2955"/>
      <c r="BN53" s="2955"/>
      <c r="BO53" s="2955"/>
      <c r="BP53" s="2955"/>
      <c r="BQ53" s="2955"/>
      <c r="BR53" s="2955"/>
      <c r="BS53" s="2955"/>
      <c r="BT53" s="2955"/>
      <c r="BU53" s="2955"/>
      <c r="BV53" s="2955"/>
      <c r="BW53" s="2955"/>
      <c r="BX53" s="2955"/>
      <c r="BY53" s="2955"/>
      <c r="BZ53" s="2955"/>
      <c r="CA53" s="2955"/>
      <c r="CB53" s="2955"/>
      <c r="CC53" s="2955"/>
      <c r="CD53" s="2955"/>
      <c r="CE53" s="2955"/>
      <c r="CF53" s="2955"/>
      <c r="CG53" s="2955"/>
      <c r="CH53" s="2955"/>
      <c r="CI53" s="2955"/>
      <c r="CJ53" s="2955"/>
      <c r="CK53" s="2955"/>
      <c r="CL53" s="2955"/>
      <c r="CM53" s="2955"/>
      <c r="CN53" s="2955"/>
      <c r="CO53" s="2955"/>
      <c r="CP53" s="2955"/>
      <c r="CQ53" s="2955"/>
      <c r="CR53" s="2955"/>
      <c r="CS53" s="2955"/>
      <c r="CT53" s="2955"/>
      <c r="CU53" s="2955"/>
      <c r="CV53" s="2955"/>
      <c r="CW53" s="2955"/>
      <c r="CX53" s="2955"/>
      <c r="CY53" s="2955"/>
      <c r="CZ53" s="2955"/>
      <c r="DA53" s="2955"/>
      <c r="DB53" s="2955"/>
      <c r="DC53" s="2955"/>
      <c r="DD53" s="2955"/>
      <c r="DE53" s="2955"/>
      <c r="DF53" s="2955"/>
      <c r="DG53" s="2955"/>
      <c r="DH53" s="2955"/>
      <c r="DI53" s="2955"/>
      <c r="DJ53" s="2955"/>
      <c r="DK53" s="2955"/>
      <c r="DL53" s="2955"/>
      <c r="DM53" s="2955"/>
      <c r="DN53" s="2955"/>
      <c r="DO53" s="2955"/>
      <c r="DP53" s="2955"/>
      <c r="DQ53" s="2955"/>
      <c r="DR53" s="2955"/>
      <c r="DS53" s="2955"/>
      <c r="DT53" s="2955"/>
      <c r="DU53" s="2955"/>
      <c r="DV53" s="2955"/>
      <c r="DW53" s="2955"/>
      <c r="DX53" s="2955"/>
      <c r="DY53" s="2955"/>
      <c r="DZ53" s="2955"/>
      <c r="EA53" s="2955"/>
      <c r="EB53" s="2955"/>
      <c r="EC53" s="2955"/>
      <c r="ED53" s="2955"/>
      <c r="EE53" s="2955"/>
      <c r="EF53" s="2955"/>
      <c r="EG53" s="2955"/>
      <c r="EH53" s="2955"/>
      <c r="EI53" s="2955"/>
      <c r="EJ53" s="2955"/>
      <c r="EK53" s="2955"/>
      <c r="EL53" s="2955"/>
      <c r="EM53" s="2955"/>
      <c r="EN53" s="2955"/>
      <c r="EO53" s="2955"/>
      <c r="EP53" s="2955"/>
      <c r="EQ53" s="2955"/>
      <c r="ER53" s="2955"/>
      <c r="ES53" s="2955"/>
      <c r="ET53" s="2955"/>
      <c r="EU53" s="2955"/>
      <c r="EV53" s="2955"/>
      <c r="EW53" s="2955"/>
      <c r="EX53" s="2955"/>
      <c r="EY53" s="2955"/>
      <c r="EZ53" s="2955"/>
      <c r="FA53" s="2955"/>
      <c r="FB53" s="2955"/>
      <c r="FC53" s="2955"/>
      <c r="FD53" s="2955"/>
      <c r="FE53" s="2955"/>
      <c r="FF53" s="2955"/>
      <c r="FG53" s="2955"/>
      <c r="FH53" s="2955"/>
      <c r="FI53" s="2955"/>
      <c r="FJ53" s="2955"/>
      <c r="FK53" s="2955"/>
      <c r="FL53" s="2955"/>
      <c r="FM53" s="2955"/>
      <c r="FN53" s="2955"/>
      <c r="FO53" s="2955"/>
      <c r="FP53" s="2955"/>
      <c r="FQ53" s="2955"/>
      <c r="FR53" s="2955"/>
      <c r="FS53" s="2955"/>
      <c r="FT53" s="2955"/>
      <c r="FU53" s="2955"/>
      <c r="FV53" s="2955"/>
      <c r="FW53" s="2955"/>
      <c r="FX53" s="2955"/>
      <c r="FY53" s="2955"/>
      <c r="FZ53" s="2955"/>
      <c r="GA53" s="2955"/>
      <c r="GB53" s="2955"/>
      <c r="GC53" s="2955"/>
      <c r="GD53" s="2955"/>
      <c r="GE53" s="2955"/>
      <c r="GF53" s="2955"/>
      <c r="GG53" s="2955"/>
      <c r="GH53" s="2955"/>
      <c r="GI53" s="2955"/>
      <c r="GJ53" s="2955"/>
      <c r="GK53" s="2955"/>
      <c r="GL53" s="2955"/>
      <c r="GM53" s="2955"/>
      <c r="GN53" s="2955"/>
      <c r="GO53" s="2955"/>
      <c r="GP53" s="2955"/>
      <c r="GQ53" s="2955"/>
      <c r="GR53" s="2955"/>
      <c r="GS53" s="2955"/>
      <c r="GT53" s="2955"/>
      <c r="GU53" s="2955"/>
      <c r="GV53" s="2955"/>
      <c r="GW53" s="2955"/>
      <c r="GX53" s="2955"/>
      <c r="GY53" s="2955"/>
      <c r="GZ53" s="2955"/>
      <c r="HA53" s="2955"/>
      <c r="HB53" s="2955"/>
      <c r="HC53" s="2955"/>
      <c r="HD53" s="2955"/>
      <c r="HE53" s="2955"/>
      <c r="HF53" s="2955"/>
      <c r="HG53" s="2955"/>
      <c r="HH53" s="2955"/>
      <c r="HI53" s="2955"/>
      <c r="HJ53" s="2955"/>
      <c r="HK53" s="2955"/>
      <c r="HL53" s="2955"/>
      <c r="HM53" s="2955"/>
      <c r="HN53" s="2955"/>
      <c r="HO53" s="2955"/>
      <c r="HP53" s="2955"/>
      <c r="HQ53" s="2955"/>
      <c r="HR53" s="2955"/>
      <c r="HS53" s="2955"/>
      <c r="HT53" s="2955"/>
      <c r="HU53" s="2955"/>
      <c r="HV53" s="2955"/>
      <c r="HW53" s="2955"/>
      <c r="HX53" s="2955"/>
      <c r="HY53" s="2955"/>
      <c r="HZ53" s="2955"/>
      <c r="IA53" s="2955"/>
      <c r="IB53" s="2955"/>
      <c r="IC53" s="2955"/>
      <c r="ID53" s="2955"/>
      <c r="IE53" s="2955"/>
      <c r="IF53" s="2955"/>
      <c r="IG53" s="2955"/>
      <c r="IH53" s="2955"/>
      <c r="II53" s="2955"/>
      <c r="IJ53" s="2955"/>
      <c r="IK53" s="2955"/>
      <c r="IL53" s="2955"/>
      <c r="IM53" s="2955"/>
      <c r="IN53" s="2955"/>
      <c r="IO53" s="2955"/>
      <c r="IP53" s="2955"/>
    </row>
    <row r="54" spans="1:250" s="2953" customFormat="1" ht="15" customHeight="1">
      <c r="A54" s="3344"/>
      <c r="B54" s="3329" t="s">
        <v>3219</v>
      </c>
      <c r="C54" s="3336" t="s">
        <v>3220</v>
      </c>
      <c r="D54" s="3337" t="s">
        <v>3221</v>
      </c>
      <c r="E54" s="3338"/>
      <c r="F54" s="2956" t="s">
        <v>3222</v>
      </c>
      <c r="G54" s="3330"/>
      <c r="H54" s="3333">
        <v>1040.3699999999999</v>
      </c>
      <c r="I54" s="2958" t="s">
        <v>3223</v>
      </c>
      <c r="J54" s="3333" t="s">
        <v>3145</v>
      </c>
      <c r="K54" s="2958"/>
      <c r="L54" s="2965"/>
      <c r="M54" s="2965">
        <f>120742*12</f>
        <v>1448904</v>
      </c>
      <c r="N54" s="2965">
        <f>120742*11</f>
        <v>1328162</v>
      </c>
      <c r="O54" s="2964"/>
      <c r="P54" s="2964"/>
      <c r="Q54" s="2964"/>
      <c r="R54" s="2964"/>
      <c r="S54" s="2964"/>
      <c r="T54" s="2960">
        <f t="shared" si="0"/>
        <v>2777066</v>
      </c>
      <c r="U54" s="3326">
        <f>T54+T55</f>
        <v>4432166</v>
      </c>
      <c r="V54" s="3324">
        <f>U54/H54/1064</f>
        <v>4.0039308600518861</v>
      </c>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c r="BA54" s="2955"/>
      <c r="BB54" s="2955"/>
      <c r="BC54" s="2955"/>
      <c r="BD54" s="2955"/>
      <c r="BE54" s="2955"/>
      <c r="BF54" s="2955"/>
      <c r="BG54" s="2955"/>
      <c r="BH54" s="2955"/>
      <c r="BI54" s="2955"/>
      <c r="BJ54" s="2955"/>
      <c r="BK54" s="2955"/>
      <c r="BL54" s="2955"/>
      <c r="BM54" s="2955"/>
      <c r="BN54" s="2955"/>
      <c r="BO54" s="2955"/>
      <c r="BP54" s="2955"/>
      <c r="BQ54" s="2955"/>
      <c r="BR54" s="2955"/>
      <c r="BS54" s="2955"/>
      <c r="BT54" s="2955"/>
      <c r="BU54" s="2955"/>
      <c r="BV54" s="2955"/>
      <c r="BW54" s="2955"/>
      <c r="BX54" s="2955"/>
      <c r="BY54" s="2955"/>
      <c r="BZ54" s="2955"/>
      <c r="CA54" s="2955"/>
      <c r="CB54" s="2955"/>
      <c r="CC54" s="2955"/>
      <c r="CD54" s="2955"/>
      <c r="CE54" s="2955"/>
      <c r="CF54" s="2955"/>
      <c r="CG54" s="2955"/>
      <c r="CH54" s="2955"/>
      <c r="CI54" s="2955"/>
      <c r="CJ54" s="2955"/>
      <c r="CK54" s="2955"/>
      <c r="CL54" s="2955"/>
      <c r="CM54" s="2955"/>
      <c r="CN54" s="2955"/>
      <c r="CO54" s="2955"/>
      <c r="CP54" s="2955"/>
      <c r="CQ54" s="2955"/>
      <c r="CR54" s="2955"/>
      <c r="CS54" s="2955"/>
      <c r="CT54" s="2955"/>
      <c r="CU54" s="2955"/>
      <c r="CV54" s="2955"/>
      <c r="CW54" s="2955"/>
      <c r="CX54" s="2955"/>
      <c r="CY54" s="2955"/>
      <c r="CZ54" s="2955"/>
      <c r="DA54" s="2955"/>
      <c r="DB54" s="2955"/>
      <c r="DC54" s="2955"/>
      <c r="DD54" s="2955"/>
      <c r="DE54" s="2955"/>
      <c r="DF54" s="2955"/>
      <c r="DG54" s="2955"/>
      <c r="DH54" s="2955"/>
      <c r="DI54" s="2955"/>
      <c r="DJ54" s="2955"/>
      <c r="DK54" s="2955"/>
      <c r="DL54" s="2955"/>
      <c r="DM54" s="2955"/>
      <c r="DN54" s="2955"/>
      <c r="DO54" s="2955"/>
      <c r="DP54" s="2955"/>
      <c r="DQ54" s="2955"/>
      <c r="DR54" s="2955"/>
      <c r="DS54" s="2955"/>
      <c r="DT54" s="2955"/>
      <c r="DU54" s="2955"/>
      <c r="DV54" s="2955"/>
      <c r="DW54" s="2955"/>
      <c r="DX54" s="2955"/>
      <c r="DY54" s="2955"/>
      <c r="DZ54" s="2955"/>
      <c r="EA54" s="2955"/>
      <c r="EB54" s="2955"/>
      <c r="EC54" s="2955"/>
      <c r="ED54" s="2955"/>
      <c r="EE54" s="2955"/>
      <c r="EF54" s="2955"/>
      <c r="EG54" s="2955"/>
      <c r="EH54" s="2955"/>
      <c r="EI54" s="2955"/>
      <c r="EJ54" s="2955"/>
      <c r="EK54" s="2955"/>
      <c r="EL54" s="2955"/>
      <c r="EM54" s="2955"/>
      <c r="EN54" s="2955"/>
      <c r="EO54" s="2955"/>
      <c r="EP54" s="2955"/>
      <c r="EQ54" s="2955"/>
      <c r="ER54" s="2955"/>
      <c r="ES54" s="2955"/>
      <c r="ET54" s="2955"/>
      <c r="EU54" s="2955"/>
      <c r="EV54" s="2955"/>
      <c r="EW54" s="2955"/>
      <c r="EX54" s="2955"/>
      <c r="EY54" s="2955"/>
      <c r="EZ54" s="2955"/>
      <c r="FA54" s="2955"/>
      <c r="FB54" s="2955"/>
      <c r="FC54" s="2955"/>
      <c r="FD54" s="2955"/>
      <c r="FE54" s="2955"/>
      <c r="FF54" s="2955"/>
      <c r="FG54" s="2955"/>
      <c r="FH54" s="2955"/>
      <c r="FI54" s="2955"/>
      <c r="FJ54" s="2955"/>
      <c r="FK54" s="2955"/>
      <c r="FL54" s="2955"/>
      <c r="FM54" s="2955"/>
      <c r="FN54" s="2955"/>
      <c r="FO54" s="2955"/>
      <c r="FP54" s="2955"/>
      <c r="FQ54" s="2955"/>
      <c r="FR54" s="2955"/>
      <c r="FS54" s="2955"/>
      <c r="FT54" s="2955"/>
      <c r="FU54" s="2955"/>
      <c r="FV54" s="2955"/>
      <c r="FW54" s="2955"/>
      <c r="FX54" s="2955"/>
      <c r="FY54" s="2955"/>
      <c r="FZ54" s="2955"/>
      <c r="GA54" s="2955"/>
      <c r="GB54" s="2955"/>
      <c r="GC54" s="2955"/>
      <c r="GD54" s="2955"/>
      <c r="GE54" s="2955"/>
      <c r="GF54" s="2955"/>
      <c r="GG54" s="2955"/>
      <c r="GH54" s="2955"/>
      <c r="GI54" s="2955"/>
      <c r="GJ54" s="2955"/>
      <c r="GK54" s="2955"/>
      <c r="GL54" s="2955"/>
      <c r="GM54" s="2955"/>
      <c r="GN54" s="2955"/>
      <c r="GO54" s="2955"/>
      <c r="GP54" s="2955"/>
      <c r="GQ54" s="2955"/>
      <c r="GR54" s="2955"/>
      <c r="GS54" s="2955"/>
      <c r="GT54" s="2955"/>
      <c r="GU54" s="2955"/>
      <c r="GV54" s="2955"/>
      <c r="GW54" s="2955"/>
      <c r="GX54" s="2955"/>
      <c r="GY54" s="2955"/>
      <c r="GZ54" s="2955"/>
      <c r="HA54" s="2955"/>
      <c r="HB54" s="2955"/>
      <c r="HC54" s="2955"/>
      <c r="HD54" s="2955"/>
      <c r="HE54" s="2955"/>
      <c r="HF54" s="2955"/>
      <c r="HG54" s="2955"/>
      <c r="HH54" s="2955"/>
      <c r="HI54" s="2955"/>
      <c r="HJ54" s="2955"/>
      <c r="HK54" s="2955"/>
      <c r="HL54" s="2955"/>
      <c r="HM54" s="2955"/>
      <c r="HN54" s="2955"/>
      <c r="HO54" s="2955"/>
      <c r="HP54" s="2955"/>
      <c r="HQ54" s="2955"/>
      <c r="HR54" s="2955"/>
      <c r="HS54" s="2955"/>
      <c r="HT54" s="2955"/>
      <c r="HU54" s="2955"/>
      <c r="HV54" s="2955"/>
      <c r="HW54" s="2955"/>
      <c r="HX54" s="2955"/>
      <c r="HY54" s="2955"/>
      <c r="HZ54" s="2955"/>
      <c r="IA54" s="2955"/>
      <c r="IB54" s="2955"/>
      <c r="IC54" s="2955"/>
      <c r="ID54" s="2955"/>
      <c r="IE54" s="2955"/>
      <c r="IF54" s="2955"/>
      <c r="IG54" s="2955"/>
      <c r="IH54" s="2955"/>
      <c r="II54" s="2955"/>
      <c r="IJ54" s="2955"/>
      <c r="IK54" s="2955"/>
      <c r="IL54" s="2955"/>
      <c r="IM54" s="2955"/>
      <c r="IN54" s="2955"/>
      <c r="IO54" s="2955"/>
      <c r="IP54" s="2955"/>
    </row>
    <row r="55" spans="1:250" s="2953" customFormat="1" ht="15" customHeight="1">
      <c r="A55" s="3344"/>
      <c r="B55" s="3329"/>
      <c r="C55" s="3336"/>
      <c r="D55" s="3337"/>
      <c r="E55" s="3338"/>
      <c r="F55" s="2956" t="s">
        <v>3224</v>
      </c>
      <c r="G55" s="3330"/>
      <c r="H55" s="3333"/>
      <c r="I55" s="2958" t="s">
        <v>3201</v>
      </c>
      <c r="J55" s="3334"/>
      <c r="K55" s="2964"/>
      <c r="L55" s="2965"/>
      <c r="M55" s="2965"/>
      <c r="N55" s="2965">
        <f>137925</f>
        <v>137925</v>
      </c>
      <c r="O55" s="2964">
        <f>137925*11</f>
        <v>1517175</v>
      </c>
      <c r="P55" s="2964"/>
      <c r="Q55" s="2964"/>
      <c r="R55" s="2964"/>
      <c r="S55" s="2964"/>
      <c r="T55" s="2960">
        <f t="shared" si="0"/>
        <v>1655100</v>
      </c>
      <c r="U55" s="3327"/>
      <c r="V55" s="3325"/>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c r="BA55" s="2955"/>
      <c r="BB55" s="2955"/>
      <c r="BC55" s="2955"/>
      <c r="BD55" s="2955"/>
      <c r="BE55" s="2955"/>
      <c r="BF55" s="2955"/>
      <c r="BG55" s="2955"/>
      <c r="BH55" s="2955"/>
      <c r="BI55" s="2955"/>
      <c r="BJ55" s="2955"/>
      <c r="BK55" s="2955"/>
      <c r="BL55" s="2955"/>
      <c r="BM55" s="2955"/>
      <c r="BN55" s="2955"/>
      <c r="BO55" s="2955"/>
      <c r="BP55" s="2955"/>
      <c r="BQ55" s="2955"/>
      <c r="BR55" s="2955"/>
      <c r="BS55" s="2955"/>
      <c r="BT55" s="2955"/>
      <c r="BU55" s="2955"/>
      <c r="BV55" s="2955"/>
      <c r="BW55" s="2955"/>
      <c r="BX55" s="2955"/>
      <c r="BY55" s="2955"/>
      <c r="BZ55" s="2955"/>
      <c r="CA55" s="2955"/>
      <c r="CB55" s="2955"/>
      <c r="CC55" s="2955"/>
      <c r="CD55" s="2955"/>
      <c r="CE55" s="2955"/>
      <c r="CF55" s="2955"/>
      <c r="CG55" s="2955"/>
      <c r="CH55" s="2955"/>
      <c r="CI55" s="2955"/>
      <c r="CJ55" s="2955"/>
      <c r="CK55" s="2955"/>
      <c r="CL55" s="2955"/>
      <c r="CM55" s="2955"/>
      <c r="CN55" s="2955"/>
      <c r="CO55" s="2955"/>
      <c r="CP55" s="2955"/>
      <c r="CQ55" s="2955"/>
      <c r="CR55" s="2955"/>
      <c r="CS55" s="2955"/>
      <c r="CT55" s="2955"/>
      <c r="CU55" s="2955"/>
      <c r="CV55" s="2955"/>
      <c r="CW55" s="2955"/>
      <c r="CX55" s="2955"/>
      <c r="CY55" s="2955"/>
      <c r="CZ55" s="2955"/>
      <c r="DA55" s="2955"/>
      <c r="DB55" s="2955"/>
      <c r="DC55" s="2955"/>
      <c r="DD55" s="2955"/>
      <c r="DE55" s="2955"/>
      <c r="DF55" s="2955"/>
      <c r="DG55" s="2955"/>
      <c r="DH55" s="2955"/>
      <c r="DI55" s="2955"/>
      <c r="DJ55" s="2955"/>
      <c r="DK55" s="2955"/>
      <c r="DL55" s="2955"/>
      <c r="DM55" s="2955"/>
      <c r="DN55" s="2955"/>
      <c r="DO55" s="2955"/>
      <c r="DP55" s="2955"/>
      <c r="DQ55" s="2955"/>
      <c r="DR55" s="2955"/>
      <c r="DS55" s="2955"/>
      <c r="DT55" s="2955"/>
      <c r="DU55" s="2955"/>
      <c r="DV55" s="2955"/>
      <c r="DW55" s="2955"/>
      <c r="DX55" s="2955"/>
      <c r="DY55" s="2955"/>
      <c r="DZ55" s="2955"/>
      <c r="EA55" s="2955"/>
      <c r="EB55" s="2955"/>
      <c r="EC55" s="2955"/>
      <c r="ED55" s="2955"/>
      <c r="EE55" s="2955"/>
      <c r="EF55" s="2955"/>
      <c r="EG55" s="2955"/>
      <c r="EH55" s="2955"/>
      <c r="EI55" s="2955"/>
      <c r="EJ55" s="2955"/>
      <c r="EK55" s="2955"/>
      <c r="EL55" s="2955"/>
      <c r="EM55" s="2955"/>
      <c r="EN55" s="2955"/>
      <c r="EO55" s="2955"/>
      <c r="EP55" s="2955"/>
      <c r="EQ55" s="2955"/>
      <c r="ER55" s="2955"/>
      <c r="ES55" s="2955"/>
      <c r="ET55" s="2955"/>
      <c r="EU55" s="2955"/>
      <c r="EV55" s="2955"/>
      <c r="EW55" s="2955"/>
      <c r="EX55" s="2955"/>
      <c r="EY55" s="2955"/>
      <c r="EZ55" s="2955"/>
      <c r="FA55" s="2955"/>
      <c r="FB55" s="2955"/>
      <c r="FC55" s="2955"/>
      <c r="FD55" s="2955"/>
      <c r="FE55" s="2955"/>
      <c r="FF55" s="2955"/>
      <c r="FG55" s="2955"/>
      <c r="FH55" s="2955"/>
      <c r="FI55" s="2955"/>
      <c r="FJ55" s="2955"/>
      <c r="FK55" s="2955"/>
      <c r="FL55" s="2955"/>
      <c r="FM55" s="2955"/>
      <c r="FN55" s="2955"/>
      <c r="FO55" s="2955"/>
      <c r="FP55" s="2955"/>
      <c r="FQ55" s="2955"/>
      <c r="FR55" s="2955"/>
      <c r="FS55" s="2955"/>
      <c r="FT55" s="2955"/>
      <c r="FU55" s="2955"/>
      <c r="FV55" s="2955"/>
      <c r="FW55" s="2955"/>
      <c r="FX55" s="2955"/>
      <c r="FY55" s="2955"/>
      <c r="FZ55" s="2955"/>
      <c r="GA55" s="2955"/>
      <c r="GB55" s="2955"/>
      <c r="GC55" s="2955"/>
      <c r="GD55" s="2955"/>
      <c r="GE55" s="2955"/>
      <c r="GF55" s="2955"/>
      <c r="GG55" s="2955"/>
      <c r="GH55" s="2955"/>
      <c r="GI55" s="2955"/>
      <c r="GJ55" s="2955"/>
      <c r="GK55" s="2955"/>
      <c r="GL55" s="2955"/>
      <c r="GM55" s="2955"/>
      <c r="GN55" s="2955"/>
      <c r="GO55" s="2955"/>
      <c r="GP55" s="2955"/>
      <c r="GQ55" s="2955"/>
      <c r="GR55" s="2955"/>
      <c r="GS55" s="2955"/>
      <c r="GT55" s="2955"/>
      <c r="GU55" s="2955"/>
      <c r="GV55" s="2955"/>
      <c r="GW55" s="2955"/>
      <c r="GX55" s="2955"/>
      <c r="GY55" s="2955"/>
      <c r="GZ55" s="2955"/>
      <c r="HA55" s="2955"/>
      <c r="HB55" s="2955"/>
      <c r="HC55" s="2955"/>
      <c r="HD55" s="2955"/>
      <c r="HE55" s="2955"/>
      <c r="HF55" s="2955"/>
      <c r="HG55" s="2955"/>
      <c r="HH55" s="2955"/>
      <c r="HI55" s="2955"/>
      <c r="HJ55" s="2955"/>
      <c r="HK55" s="2955"/>
      <c r="HL55" s="2955"/>
      <c r="HM55" s="2955"/>
      <c r="HN55" s="2955"/>
      <c r="HO55" s="2955"/>
      <c r="HP55" s="2955"/>
      <c r="HQ55" s="2955"/>
      <c r="HR55" s="2955"/>
      <c r="HS55" s="2955"/>
      <c r="HT55" s="2955"/>
      <c r="HU55" s="2955"/>
      <c r="HV55" s="2955"/>
      <c r="HW55" s="2955"/>
      <c r="HX55" s="2955"/>
      <c r="HY55" s="2955"/>
      <c r="HZ55" s="2955"/>
      <c r="IA55" s="2955"/>
      <c r="IB55" s="2955"/>
      <c r="IC55" s="2955"/>
      <c r="ID55" s="2955"/>
      <c r="IE55" s="2955"/>
      <c r="IF55" s="2955"/>
      <c r="IG55" s="2955"/>
      <c r="IH55" s="2955"/>
      <c r="II55" s="2955"/>
      <c r="IJ55" s="2955"/>
      <c r="IK55" s="2955"/>
      <c r="IL55" s="2955"/>
      <c r="IM55" s="2955"/>
      <c r="IN55" s="2955"/>
      <c r="IO55" s="2955"/>
      <c r="IP55" s="2955"/>
    </row>
    <row r="56" spans="1:250" s="2968" customFormat="1" ht="15" customHeight="1">
      <c r="A56" s="3344"/>
      <c r="B56" s="3335" t="s">
        <v>3225</v>
      </c>
      <c r="C56" s="3336" t="s">
        <v>3226</v>
      </c>
      <c r="D56" s="3337" t="s">
        <v>3216</v>
      </c>
      <c r="E56" s="3338" t="s">
        <v>3155</v>
      </c>
      <c r="F56" s="2956" t="s">
        <v>3205</v>
      </c>
      <c r="G56" s="3330" t="s">
        <v>3132</v>
      </c>
      <c r="H56" s="3333">
        <v>1041.6099999999999</v>
      </c>
      <c r="I56" s="2958" t="s">
        <v>3227</v>
      </c>
      <c r="J56" s="3333" t="s">
        <v>3145</v>
      </c>
      <c r="K56" s="2958">
        <v>128826</v>
      </c>
      <c r="L56" s="2965">
        <v>431226.54</v>
      </c>
      <c r="M56" s="2965">
        <f>128826*12</f>
        <v>1545912</v>
      </c>
      <c r="N56" s="2965">
        <f>128826*8.5</f>
        <v>1095021</v>
      </c>
      <c r="O56" s="2959"/>
      <c r="P56" s="2965">
        <v>0</v>
      </c>
      <c r="Q56" s="2965">
        <v>0</v>
      </c>
      <c r="R56" s="2959">
        <v>0</v>
      </c>
      <c r="S56" s="2965">
        <v>0</v>
      </c>
      <c r="T56" s="2960">
        <f t="shared" si="0"/>
        <v>2640933</v>
      </c>
      <c r="U56" s="3326">
        <f>T56+T57</f>
        <v>4338789</v>
      </c>
      <c r="V56" s="3324">
        <f>U56/H56/987</f>
        <v>4.2203283092642794</v>
      </c>
    </row>
    <row r="57" spans="1:250" s="2968" customFormat="1" ht="15" customHeight="1">
      <c r="A57" s="3344"/>
      <c r="B57" s="3335"/>
      <c r="C57" s="3336"/>
      <c r="D57" s="3337"/>
      <c r="E57" s="3338"/>
      <c r="F57" s="2956" t="s">
        <v>3207</v>
      </c>
      <c r="G57" s="3330"/>
      <c r="H57" s="3333"/>
      <c r="I57" s="2958" t="s">
        <v>3228</v>
      </c>
      <c r="J57" s="3333"/>
      <c r="K57" s="2958">
        <v>141488</v>
      </c>
      <c r="L57" s="2965"/>
      <c r="M57" s="2965"/>
      <c r="N57" s="2965">
        <f>141488*3.5</f>
        <v>495208</v>
      </c>
      <c r="O57" s="2959">
        <f>141488*8.5</f>
        <v>1202648</v>
      </c>
      <c r="P57" s="2964"/>
      <c r="Q57" s="2964"/>
      <c r="R57" s="2964"/>
      <c r="S57" s="2964"/>
      <c r="T57" s="2960">
        <f t="shared" si="0"/>
        <v>1697856</v>
      </c>
      <c r="U57" s="3327"/>
      <c r="V57" s="3325"/>
    </row>
    <row r="58" spans="1:250" s="2968" customFormat="1" ht="15" customHeight="1">
      <c r="A58" s="3344"/>
      <c r="B58" s="3335"/>
      <c r="C58" s="3336"/>
      <c r="D58" s="3337"/>
      <c r="E58" s="3338"/>
      <c r="F58" s="2956"/>
      <c r="G58" s="3330"/>
      <c r="H58" s="3333"/>
      <c r="I58" s="2958"/>
      <c r="J58" s="3333"/>
      <c r="K58" s="2958"/>
      <c r="L58" s="2965"/>
      <c r="M58" s="2965"/>
      <c r="N58" s="2965"/>
      <c r="O58" s="2959"/>
      <c r="P58" s="2964"/>
      <c r="Q58" s="2964"/>
      <c r="R58" s="2964"/>
      <c r="S58" s="2964"/>
      <c r="T58" s="2960">
        <f t="shared" si="0"/>
        <v>0</v>
      </c>
      <c r="U58" s="2979"/>
      <c r="V58" s="2979"/>
    </row>
    <row r="59" spans="1:250" s="2955" customFormat="1" ht="15" customHeight="1">
      <c r="A59" s="3329" t="s">
        <v>37</v>
      </c>
      <c r="B59" s="3329"/>
      <c r="C59" s="3330"/>
      <c r="D59" s="2969"/>
      <c r="E59" s="2956"/>
      <c r="F59" s="2956" t="s">
        <v>3229</v>
      </c>
      <c r="G59" s="2970"/>
      <c r="H59" s="2964">
        <v>15490.52</v>
      </c>
      <c r="I59" s="2964"/>
      <c r="J59" s="2964"/>
      <c r="K59" s="2964"/>
      <c r="L59" s="2965">
        <f>SUM(L5:L58)</f>
        <v>10967773.490659997</v>
      </c>
      <c r="M59" s="2965">
        <f t="shared" ref="M59:S59" si="1">SUM(M5:M58)</f>
        <v>21337399.13859041</v>
      </c>
      <c r="N59" s="2965">
        <f t="shared" si="1"/>
        <v>25053855.012500003</v>
      </c>
      <c r="O59" s="2965">
        <f t="shared" si="1"/>
        <v>24502162.882786304</v>
      </c>
      <c r="P59" s="2965">
        <f t="shared" si="1"/>
        <v>10471974.885523288</v>
      </c>
      <c r="Q59" s="2965">
        <f t="shared" si="1"/>
        <v>4052402.64</v>
      </c>
      <c r="R59" s="2965">
        <f t="shared" si="1"/>
        <v>4052402.64</v>
      </c>
      <c r="S59" s="2965">
        <f t="shared" si="1"/>
        <v>2363901.54</v>
      </c>
      <c r="T59" s="2960">
        <f t="shared" si="0"/>
        <v>91834098.739400014</v>
      </c>
      <c r="U59" s="2980">
        <f>U56+U54+U51+U49+U47+U44+U41+U40+U36+U33+U30+U26+U24+U20+U18+U15+U12+U9+U6</f>
        <v>91834098.739399999</v>
      </c>
      <c r="V59" s="2980">
        <f>(H5*V6+H9*V9+H11*V12+H14*V15+H17*V18+H20*V20+H23*V24+H26*V26+H29*V30+H32*V33+H35*V36+H38*V40+H41*V41+H44*V44+H47*V47+H49*V49+H51*V51+H54*V54+H56*V56)/H59</f>
        <v>4.5516441174029474</v>
      </c>
    </row>
    <row r="60" spans="1:250">
      <c r="V60">
        <f>ROUND(V59*H59/15902.38,2)</f>
        <v>4.43</v>
      </c>
    </row>
  </sheetData>
  <mergeCells count="188">
    <mergeCell ref="A1:T2"/>
    <mergeCell ref="A3:A4"/>
    <mergeCell ref="B3:B4"/>
    <mergeCell ref="C3:C4"/>
    <mergeCell ref="D3:D4"/>
    <mergeCell ref="E3:E4"/>
    <mergeCell ref="F3:F4"/>
    <mergeCell ref="G3:G4"/>
    <mergeCell ref="H3:H4"/>
    <mergeCell ref="I3:I4"/>
    <mergeCell ref="Q3:Q4"/>
    <mergeCell ref="R3:R4"/>
    <mergeCell ref="S3:S4"/>
    <mergeCell ref="T3:T4"/>
    <mergeCell ref="N3:N4"/>
    <mergeCell ref="O3:O4"/>
    <mergeCell ref="P3:P4"/>
    <mergeCell ref="A5:A58"/>
    <mergeCell ref="B5:B7"/>
    <mergeCell ref="C5:C7"/>
    <mergeCell ref="D5:D7"/>
    <mergeCell ref="E5:E7"/>
    <mergeCell ref="G5:G7"/>
    <mergeCell ref="J3:J4"/>
    <mergeCell ref="L3:L4"/>
    <mergeCell ref="M3:M4"/>
    <mergeCell ref="H5:H7"/>
    <mergeCell ref="J5:J7"/>
    <mergeCell ref="B9:B10"/>
    <mergeCell ref="C9:C10"/>
    <mergeCell ref="D9:D10"/>
    <mergeCell ref="E9:E10"/>
    <mergeCell ref="G9:G10"/>
    <mergeCell ref="H9:H10"/>
    <mergeCell ref="J9:J10"/>
    <mergeCell ref="B17:B19"/>
    <mergeCell ref="C17:C19"/>
    <mergeCell ref="D17:D19"/>
    <mergeCell ref="E17:E19"/>
    <mergeCell ref="H17:H19"/>
    <mergeCell ref="J17:J19"/>
    <mergeCell ref="J11:J13"/>
    <mergeCell ref="B14:B16"/>
    <mergeCell ref="C14:C16"/>
    <mergeCell ref="D14:D16"/>
    <mergeCell ref="E14:E16"/>
    <mergeCell ref="G14:G16"/>
    <mergeCell ref="H14:H16"/>
    <mergeCell ref="J14:J16"/>
    <mergeCell ref="B11:B13"/>
    <mergeCell ref="C11:C13"/>
    <mergeCell ref="D11:D13"/>
    <mergeCell ref="E11:E13"/>
    <mergeCell ref="G11:G13"/>
    <mergeCell ref="H11:H13"/>
    <mergeCell ref="B23:B25"/>
    <mergeCell ref="C23:C25"/>
    <mergeCell ref="D23:D25"/>
    <mergeCell ref="E23:E25"/>
    <mergeCell ref="H23:H25"/>
    <mergeCell ref="J23:J25"/>
    <mergeCell ref="B20:B22"/>
    <mergeCell ref="C20:C22"/>
    <mergeCell ref="D20:D22"/>
    <mergeCell ref="E20:E22"/>
    <mergeCell ref="H20:H22"/>
    <mergeCell ref="J20:J22"/>
    <mergeCell ref="J26:J28"/>
    <mergeCell ref="B29:B31"/>
    <mergeCell ref="C29:C31"/>
    <mergeCell ref="D29:D31"/>
    <mergeCell ref="E29:E31"/>
    <mergeCell ref="G29:G31"/>
    <mergeCell ref="H29:H31"/>
    <mergeCell ref="J29:J31"/>
    <mergeCell ref="B26:B28"/>
    <mergeCell ref="C26:C28"/>
    <mergeCell ref="D26:D28"/>
    <mergeCell ref="E26:E28"/>
    <mergeCell ref="G26:G28"/>
    <mergeCell ref="H26:H28"/>
    <mergeCell ref="J32:J34"/>
    <mergeCell ref="B35:B37"/>
    <mergeCell ref="C35:C37"/>
    <mergeCell ref="D35:D37"/>
    <mergeCell ref="E35:E37"/>
    <mergeCell ref="G35:G37"/>
    <mergeCell ref="H35:H37"/>
    <mergeCell ref="J35:J37"/>
    <mergeCell ref="B32:B34"/>
    <mergeCell ref="C32:C34"/>
    <mergeCell ref="D32:D34"/>
    <mergeCell ref="E32:E34"/>
    <mergeCell ref="G32:G34"/>
    <mergeCell ref="H32:H34"/>
    <mergeCell ref="J38:J40"/>
    <mergeCell ref="B41:B43"/>
    <mergeCell ref="C41:C43"/>
    <mergeCell ref="D41:D43"/>
    <mergeCell ref="E41:E43"/>
    <mergeCell ref="G41:G43"/>
    <mergeCell ref="H41:H43"/>
    <mergeCell ref="J41:J43"/>
    <mergeCell ref="B38:B40"/>
    <mergeCell ref="C38:C40"/>
    <mergeCell ref="D38:D40"/>
    <mergeCell ref="E38:E40"/>
    <mergeCell ref="G38:G40"/>
    <mergeCell ref="H38:H40"/>
    <mergeCell ref="J44:J46"/>
    <mergeCell ref="B47:B48"/>
    <mergeCell ref="C47:C48"/>
    <mergeCell ref="D47:D48"/>
    <mergeCell ref="E47:E48"/>
    <mergeCell ref="G47:G48"/>
    <mergeCell ref="H47:H48"/>
    <mergeCell ref="J47:J48"/>
    <mergeCell ref="B44:B46"/>
    <mergeCell ref="C44:C46"/>
    <mergeCell ref="D44:D46"/>
    <mergeCell ref="E44:E46"/>
    <mergeCell ref="G44:G46"/>
    <mergeCell ref="H44:H46"/>
    <mergeCell ref="E54:E55"/>
    <mergeCell ref="G54:G55"/>
    <mergeCell ref="H54:H55"/>
    <mergeCell ref="J49:J50"/>
    <mergeCell ref="B51:B53"/>
    <mergeCell ref="C51:C53"/>
    <mergeCell ref="D51:D53"/>
    <mergeCell ref="E51:E53"/>
    <mergeCell ref="G51:G53"/>
    <mergeCell ref="H51:H53"/>
    <mergeCell ref="J51:J53"/>
    <mergeCell ref="B49:B50"/>
    <mergeCell ref="C49:C50"/>
    <mergeCell ref="D49:D50"/>
    <mergeCell ref="E49:E50"/>
    <mergeCell ref="G49:G50"/>
    <mergeCell ref="H49:H50"/>
    <mergeCell ref="V26:V27"/>
    <mergeCell ref="V30:V31"/>
    <mergeCell ref="V33:V34"/>
    <mergeCell ref="A59:C59"/>
    <mergeCell ref="U6:U7"/>
    <mergeCell ref="U3:U4"/>
    <mergeCell ref="U9:U10"/>
    <mergeCell ref="U12:U13"/>
    <mergeCell ref="U15:U16"/>
    <mergeCell ref="U18:U19"/>
    <mergeCell ref="U20:U21"/>
    <mergeCell ref="U26:U27"/>
    <mergeCell ref="U30:U31"/>
    <mergeCell ref="J54:J55"/>
    <mergeCell ref="B56:B58"/>
    <mergeCell ref="C56:C58"/>
    <mergeCell ref="D56:D58"/>
    <mergeCell ref="E56:E58"/>
    <mergeCell ref="G56:G58"/>
    <mergeCell ref="H56:H58"/>
    <mergeCell ref="J56:J58"/>
    <mergeCell ref="B54:B55"/>
    <mergeCell ref="C54:C55"/>
    <mergeCell ref="D54:D55"/>
    <mergeCell ref="V36:V37"/>
    <mergeCell ref="V41:V42"/>
    <mergeCell ref="V44:V45"/>
    <mergeCell ref="U51:U52"/>
    <mergeCell ref="U54:U55"/>
    <mergeCell ref="U56:U57"/>
    <mergeCell ref="V3:V4"/>
    <mergeCell ref="V6:V7"/>
    <mergeCell ref="V9:V10"/>
    <mergeCell ref="V12:V13"/>
    <mergeCell ref="V15:V16"/>
    <mergeCell ref="V18:V19"/>
    <mergeCell ref="V20:V21"/>
    <mergeCell ref="U33:U34"/>
    <mergeCell ref="U36:U37"/>
    <mergeCell ref="U41:U42"/>
    <mergeCell ref="U44:U45"/>
    <mergeCell ref="U47:U48"/>
    <mergeCell ref="U49:U50"/>
    <mergeCell ref="V47:V48"/>
    <mergeCell ref="V49:V50"/>
    <mergeCell ref="V51:V52"/>
    <mergeCell ref="V54:V55"/>
    <mergeCell ref="V56:V57"/>
  </mergeCells>
  <phoneticPr fontId="143" type="noConversion"/>
  <hyperlinks>
    <hyperlink ref="C5:C7" location="平安银行!A1" display="平安银行股份有限公司北京分行"/>
    <hyperlink ref="C35:C37" location="中金时代!A1" display="和隆祥"/>
    <hyperlink ref="C38:C40" location="中金时代!A1" display="和隆祥"/>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130" zoomScaleNormal="130" workbookViewId="0">
      <selection activeCell="K48" sqref="K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1640</v>
      </c>
      <c r="B2" s="3007" t="s">
        <v>1641</v>
      </c>
      <c r="C2" s="3007" t="s">
        <v>1642</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47" t="s">
        <v>1637</v>
      </c>
      <c r="E3" s="1047" t="s">
        <v>1643</v>
      </c>
      <c r="F3" s="1047" t="s">
        <v>1637</v>
      </c>
      <c r="G3" s="1047" t="s">
        <v>1638</v>
      </c>
      <c r="H3" s="1047" t="s">
        <v>1637</v>
      </c>
      <c r="I3" s="1047" t="s">
        <v>1638</v>
      </c>
    </row>
    <row r="4" spans="1:9" ht="60">
      <c r="A4" s="1976" t="str">
        <f>项目基本情况!S2</f>
        <v>北京市北京市丰台区南四环西路188号十六区18号楼1至15层101出让国有建设用地使用权及在建建筑物房地产</v>
      </c>
      <c r="B4" s="1047">
        <f>项目基本情况!C17</f>
        <v>15902.38</v>
      </c>
      <c r="C4" s="1047">
        <f>项目基本情况!C18</f>
        <v>0</v>
      </c>
      <c r="D4" s="1047" t="e">
        <f ca="1">结果表!D118</f>
        <v>#REF!</v>
      </c>
      <c r="E4" s="1047" t="e">
        <f ca="1">结果表!E118</f>
        <v>#REF!</v>
      </c>
      <c r="F4" s="1047" t="e">
        <f ca="1">结果表!F118</f>
        <v>#REF!</v>
      </c>
      <c r="G4" s="1047" t="e">
        <f ca="1">结果表!G118</f>
        <v>#REF!</v>
      </c>
      <c r="H4" s="1047">
        <f ca="1">结果表!H118</f>
        <v>53825</v>
      </c>
      <c r="I4" s="1047">
        <f ca="1">结果表!I118</f>
        <v>33847</v>
      </c>
    </row>
    <row r="5" spans="1:9" ht="30" customHeight="1">
      <c r="A5" s="3008" t="s">
        <v>1639</v>
      </c>
      <c r="B5" s="3008"/>
      <c r="C5" s="3008"/>
      <c r="D5" s="3009" t="e">
        <f ca="1">结果表!D119</f>
        <v>#REF!</v>
      </c>
      <c r="E5" s="3009"/>
      <c r="F5" s="3009" t="e">
        <f ca="1">结果表!F119</f>
        <v>#REF!</v>
      </c>
      <c r="G5" s="3009"/>
      <c r="H5" s="3009" t="str">
        <f ca="1">结果表!H119</f>
        <v>伍亿叁仟捌佰贰拾伍万元整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1639</v>
      </c>
      <c r="B7" s="3008"/>
      <c r="C7" s="3008"/>
      <c r="D7" s="3011" t="str">
        <f>结果表!D121</f>
        <v>零元整</v>
      </c>
      <c r="E7" s="3012"/>
      <c r="F7" s="3012"/>
      <c r="G7" s="3012"/>
      <c r="H7" s="3012"/>
      <c r="I7" s="3013"/>
    </row>
    <row r="8" spans="1:9" ht="15.75">
      <c r="A8" s="3010" t="str">
        <f>结果表!A122</f>
        <v/>
      </c>
      <c r="B8" s="3010"/>
      <c r="C8" s="3010"/>
      <c r="D8" s="3010" t="str">
        <f>结果表!D122</f>
        <v>——</v>
      </c>
      <c r="E8" s="3010"/>
      <c r="F8" s="3010"/>
      <c r="G8" s="3010"/>
      <c r="H8" s="3010"/>
      <c r="I8" s="3010"/>
    </row>
    <row r="9" spans="1:9" ht="15">
      <c r="A9" s="3008" t="s">
        <v>1639</v>
      </c>
      <c r="B9" s="3008"/>
      <c r="C9" s="3008"/>
      <c r="D9" s="3009" t="e">
        <f>结果表!D123</f>
        <v>#VALUE!</v>
      </c>
      <c r="E9" s="3009"/>
      <c r="F9" s="3009"/>
      <c r="G9" s="3009"/>
      <c r="H9" s="3009"/>
      <c r="I9" s="3009"/>
    </row>
    <row r="10" spans="1:9" ht="15.75">
      <c r="A10" s="3010" t="str">
        <f>结果表!A124</f>
        <v>抵押担保权已注销时的房地产抵押价值</v>
      </c>
      <c r="B10" s="3010"/>
      <c r="C10" s="3010"/>
      <c r="D10" s="3010">
        <f ca="1">结果表!D124</f>
        <v>53825</v>
      </c>
      <c r="E10" s="3010"/>
      <c r="F10" s="3010"/>
      <c r="G10" s="3010"/>
      <c r="H10" s="3010"/>
      <c r="I10" s="3010"/>
    </row>
    <row r="11" spans="1:9" ht="15">
      <c r="A11" s="3008" t="s">
        <v>1639</v>
      </c>
      <c r="B11" s="3008"/>
      <c r="C11" s="3008"/>
      <c r="D11" s="3009" t="str">
        <f ca="1">结果表!D125</f>
        <v>伍亿叁仟捌佰贰拾伍万元整</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1639</v>
      </c>
      <c r="B13" s="3014"/>
      <c r="C13" s="3014"/>
      <c r="D13" s="3015" t="e">
        <f>结果表!D127</f>
        <v>#VALUE!</v>
      </c>
      <c r="E13" s="3015"/>
      <c r="F13" s="3015"/>
      <c r="G13" s="3015"/>
      <c r="H13" s="3015"/>
      <c r="I13" s="3015"/>
    </row>
    <row r="14" spans="1:9" ht="15" thickTop="1">
      <c r="A14" s="3016" t="s">
        <v>1644</v>
      </c>
      <c r="B14" s="3016"/>
      <c r="C14" s="3016"/>
      <c r="D14" s="3016"/>
      <c r="E14" s="3016"/>
      <c r="F14" s="3016"/>
      <c r="G14" s="3016"/>
      <c r="H14" s="3016"/>
      <c r="I14" s="301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7" t="s">
        <v>1661</v>
      </c>
      <c r="B1" s="3017"/>
      <c r="C1" s="3017"/>
      <c r="D1" s="3017"/>
    </row>
    <row r="2" spans="1:4" ht="18">
      <c r="A2" s="3018" t="s">
        <v>1645</v>
      </c>
      <c r="B2" s="3018"/>
      <c r="C2" s="3018"/>
      <c r="D2" s="3018"/>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8">
      <c r="A6" s="3018" t="s">
        <v>1651</v>
      </c>
      <c r="B6" s="3018"/>
      <c r="C6" s="3018"/>
      <c r="D6" s="3018"/>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19" t="s">
        <v>1654</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1655</v>
      </c>
      <c r="B16" s="3023"/>
      <c r="C16" s="3023"/>
      <c r="D16" s="3023"/>
    </row>
    <row r="17" spans="1:4" ht="144" customHeight="1">
      <c r="A17" s="3023" t="s">
        <v>1656</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1657</v>
      </c>
      <c r="B22" s="3025"/>
      <c r="C22" s="3025"/>
      <c r="D22" s="3025"/>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31" t="s">
        <v>1668</v>
      </c>
      <c r="B15" s="3026" t="s">
        <v>136</v>
      </c>
      <c r="C15" s="3027"/>
    </row>
    <row r="16" spans="1:7" ht="13.5">
      <c r="A16" s="3032"/>
      <c r="B16" s="3026" t="s">
        <v>69</v>
      </c>
      <c r="C16" s="3027"/>
    </row>
    <row r="17" spans="1:3" ht="13.5">
      <c r="A17" s="3032"/>
      <c r="B17" s="3029" t="s">
        <v>1669</v>
      </c>
      <c r="C17" s="2003" t="s">
        <v>1668</v>
      </c>
    </row>
    <row r="18" spans="1:3" ht="13.5">
      <c r="A18" s="3032"/>
      <c r="B18" s="3029"/>
      <c r="C18" s="2003" t="s">
        <v>1670</v>
      </c>
    </row>
    <row r="19" spans="1:3" ht="13.5">
      <c r="A19" s="3032"/>
      <c r="B19" s="3029"/>
      <c r="C19" s="2003" t="s">
        <v>1671</v>
      </c>
    </row>
    <row r="20" spans="1:3" ht="13.5">
      <c r="A20" s="3033"/>
      <c r="B20" s="3028" t="s">
        <v>1672</v>
      </c>
      <c r="C20" s="3027"/>
    </row>
    <row r="21" spans="1:3" ht="13.5">
      <c r="A21" s="2004" t="s">
        <v>1673</v>
      </c>
      <c r="B21" s="2005"/>
      <c r="C21" s="2006"/>
    </row>
    <row r="22" spans="1:3" ht="13.5">
      <c r="A22" s="3030" t="s">
        <v>1674</v>
      </c>
      <c r="B22" s="3028" t="s">
        <v>1675</v>
      </c>
      <c r="C22" s="3027"/>
    </row>
    <row r="23" spans="1:3" ht="13.5">
      <c r="A23" s="3030"/>
      <c r="B23" s="3028" t="s">
        <v>1676</v>
      </c>
      <c r="C23" s="3027"/>
    </row>
    <row r="24" spans="1:3" ht="13.5">
      <c r="A24" s="3030"/>
      <c r="B24" s="3028" t="s">
        <v>1677</v>
      </c>
      <c r="C24" s="3027"/>
    </row>
    <row r="25" spans="1:3" ht="13.5">
      <c r="A25" s="3030"/>
      <c r="B25" s="3029" t="s">
        <v>1678</v>
      </c>
      <c r="C25" s="2003" t="s">
        <v>1679</v>
      </c>
    </row>
    <row r="26" spans="1:3" ht="13.5">
      <c r="A26" s="3030"/>
      <c r="B26" s="3029"/>
      <c r="C26" s="2003" t="s">
        <v>1680</v>
      </c>
    </row>
    <row r="27" spans="1:3" ht="13.5">
      <c r="A27" s="3030"/>
      <c r="B27" s="3029"/>
      <c r="C27" s="2003" t="s">
        <v>1681</v>
      </c>
    </row>
    <row r="28" spans="1:3" ht="13.5">
      <c r="A28" s="3030"/>
      <c r="B28" s="3029"/>
      <c r="C28" s="2003" t="s">
        <v>1682</v>
      </c>
    </row>
    <row r="29" spans="1:3" ht="13.5">
      <c r="A29" s="3030"/>
      <c r="B29" s="3029"/>
      <c r="C29" s="2003" t="s">
        <v>1683</v>
      </c>
    </row>
    <row r="30" spans="1:3" ht="13.5">
      <c r="A30" s="3030"/>
      <c r="B30" s="3029"/>
      <c r="C30" s="2003" t="s">
        <v>1684</v>
      </c>
    </row>
    <row r="31" spans="1:3" ht="13.5">
      <c r="A31" s="3030"/>
      <c r="B31" s="3029"/>
      <c r="C31" s="2003" t="s">
        <v>1685</v>
      </c>
    </row>
    <row r="32" spans="1:3" ht="13.5">
      <c r="A32" s="3030"/>
      <c r="B32" s="3029"/>
      <c r="C32" s="2003" t="s">
        <v>1686</v>
      </c>
    </row>
    <row r="33" spans="1:3" ht="13.5">
      <c r="A33" s="3030"/>
      <c r="B33" s="3029"/>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43373</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3045</v>
      </c>
      <c r="B12" s="1025">
        <v>1120110054</v>
      </c>
      <c r="C12" s="2943">
        <v>43937</v>
      </c>
      <c r="D12" s="1705" t="s">
        <v>3045</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34" t="s">
        <v>846</v>
      </c>
      <c r="B25" s="3034"/>
      <c r="C25" s="3034"/>
      <c r="D25" s="3034"/>
      <c r="E25" s="3034"/>
      <c r="F25" s="3034"/>
      <c r="G25" s="3034"/>
    </row>
    <row r="26" spans="1:7" s="1028" customFormat="1" ht="24" customHeight="1">
      <c r="A26" s="3035" t="s">
        <v>847</v>
      </c>
      <c r="B26" s="3035"/>
      <c r="C26" s="3036"/>
      <c r="D26" s="3037" t="s">
        <v>848</v>
      </c>
      <c r="E26" s="3035"/>
      <c r="F26" s="3035"/>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租赁统计</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2018-09-30T00:43:04Z</dcterms:modified>
</cp:coreProperties>
</file>