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分摊土地报告" sheetId="86" r:id="rId15"/>
    <sheet name="数据-取费表" sheetId="1" r:id="rId16"/>
    <sheet name="估价对象房地状况" sheetId="20" r:id="rId17"/>
    <sheet name="系统读取表" sheetId="74" r:id="rId18"/>
    <sheet name="规证" sheetId="87" r:id="rId19"/>
    <sheet name="结果表" sheetId="9" r:id="rId20"/>
    <sheet name="清单" sheetId="85" r:id="rId21"/>
    <sheet name="成本法" sheetId="68" r:id="rId22"/>
    <sheet name="土地比较法-住宅、综合 " sheetId="80" r:id="rId23"/>
    <sheet name="假设开发法" sheetId="12" r:id="rId24"/>
    <sheet name="土地案例" sheetId="81" r:id="rId25"/>
    <sheet name="成本法 (元)" sheetId="69"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住宅案例" sheetId="82" r:id="rId32"/>
    <sheet name="比较法-商业" sheetId="33" state="hidden" r:id="rId33"/>
    <sheet name="比较法-办公" sheetId="34" state="hidden" r:id="rId34"/>
    <sheet name="比较法-工业" sheetId="37" state="hidden" r:id="rId35"/>
    <sheet name="比较法-仓储" sheetId="36" r:id="rId36"/>
    <sheet name="仓储案例" sheetId="84" r:id="rId37"/>
    <sheet name="比较法-车位" sheetId="35" r:id="rId38"/>
    <sheet name="车库案例" sheetId="83"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3" hidden="1">'比较法-办公'!$A$1:$L$50</definedName>
    <definedName name="_xlnm._FilterDatabase" localSheetId="35" hidden="1">'比较法-仓储'!$A$1:$L$37</definedName>
    <definedName name="_xlnm._FilterDatabase" localSheetId="37"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分摊土地报告!$A$1:$F$229</definedName>
    <definedName name="_xlnm._FilterDatabase" localSheetId="12" hidden="1">'数据-基础表'!$A$12:$AT$587</definedName>
    <definedName name="_xlnm._FilterDatabase" localSheetId="24" hidden="1">土地案例!$A$1:$V$30</definedName>
    <definedName name="_xlnm._FilterDatabase" localSheetId="40" hidden="1">'土地比较法-工业'!$A$1:$L$43</definedName>
    <definedName name="_xlnm._FilterDatabase" localSheetId="39" hidden="1">'土地比较法-住宅、综合'!$A$1:$L$48</definedName>
    <definedName name="_xlnm._FilterDatabase" localSheetId="22" hidden="1">'土地比较法-住宅、综合 '!$A$1:$L$48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7">'比较法-车位'!$A$1:$K$44,'比较法-车位'!$A$47:$M$102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'数据-汇总表'!$A$1:$J$32</definedName>
    <definedName name="_xlnm.Print_Area" localSheetId="12">'数据-基础表'!$A$1:$M$13</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22">'土地比较法-住宅、综合 '!$A$1:$K$65,'土地比较法-住宅、综合 '!$A$68:$M$131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 '!$A$72:$M$72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 '!$B$105:$M$105</definedName>
    <definedName name="套综道路等级">'土地比较法-住宅、综合'!$B$105:$M$105</definedName>
    <definedName name="套综工程地质条件" localSheetId="22">'土地比较法-住宅、综合 '!$B$124:$M$124</definedName>
    <definedName name="套综工程地质条件">'土地比较法-住宅、综合'!$B$124:$M$124</definedName>
    <definedName name="套综交易情况" localSheetId="22">'土地比较法-住宅、综合 '!$A$72:$M$72</definedName>
    <definedName name="套综交易情况">'土地比较法-住宅、综合'!$A$72:$M$72</definedName>
    <definedName name="套综临街宽度及深度" localSheetId="22">'土地比较法-住宅、综合 '!$B$120:$M$120</definedName>
    <definedName name="套综临街宽度及深度">'土地比较法-住宅、综合'!$B$120:$M$120</definedName>
    <definedName name="套综土地级别" localSheetId="22">'土地比较法-住宅、综合 '!$B$107:$M$107</definedName>
    <definedName name="套综土地级别">'土地比较法-住宅、综合'!$B$107:$M$107</definedName>
    <definedName name="套综用途" localSheetId="22">'土地比较法-住宅、综合 '!$B$74:$M$74</definedName>
    <definedName name="套综用途">'土地比较法-住宅、综合'!$B$74:$M$74</definedName>
    <definedName name="套综宗地内开发程度" localSheetId="22">'土地比较法-住宅、综合 '!$B$122:$M$122</definedName>
    <definedName name="套综宗地内开发程度">'土地比较法-住宅、综合'!$B$122:$M$122</definedName>
    <definedName name="套综宗地形状" localSheetId="22">'土地比较法-住宅、综合 '!$B$118:$M$118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H37" i="12"/>
  <c r="L23" i="12"/>
  <c r="L16" i="12"/>
  <c r="L14" i="12"/>
  <c r="L12" i="12"/>
  <c r="L11" i="12"/>
  <c r="J37" i="68" l="1"/>
  <c r="H45" i="68"/>
  <c r="H42" i="68"/>
  <c r="H37" i="68"/>
  <c r="H36" i="68"/>
  <c r="H34" i="68"/>
  <c r="B10" i="87"/>
  <c r="B12" i="87"/>
  <c r="G12" i="87"/>
  <c r="C12" i="87"/>
  <c r="B11" i="87"/>
  <c r="I11" i="87"/>
  <c r="I10" i="87"/>
  <c r="K12" i="87"/>
  <c r="I9" i="87"/>
  <c r="B9" i="87" s="1"/>
  <c r="I8" i="87"/>
  <c r="B8" i="87" s="1"/>
  <c r="B6" i="87"/>
  <c r="I7" i="87"/>
  <c r="B5" i="87"/>
  <c r="B4" i="87"/>
  <c r="E228" i="86"/>
  <c r="D228" i="86"/>
  <c r="E225" i="86"/>
  <c r="D225" i="86"/>
  <c r="E170" i="86"/>
  <c r="D170" i="86"/>
  <c r="E146" i="86"/>
  <c r="D146" i="86"/>
  <c r="E95" i="86"/>
  <c r="D95" i="86"/>
  <c r="E71" i="86"/>
  <c r="D71" i="86"/>
  <c r="E44" i="86"/>
  <c r="D44" i="86"/>
  <c r="F39" i="6"/>
  <c r="F37" i="6"/>
  <c r="B21" i="1"/>
  <c r="H20" i="1"/>
  <c r="B7" i="87" l="1"/>
  <c r="D229" i="86"/>
  <c r="E229" i="86"/>
  <c r="A3" i="3" s="1"/>
  <c r="G30" i="85"/>
  <c r="C194" i="85"/>
  <c r="I7" i="36"/>
  <c r="G7" i="36"/>
  <c r="E7" i="36"/>
  <c r="I37" i="35"/>
  <c r="M45" i="83"/>
  <c r="M23" i="83"/>
  <c r="G37" i="35"/>
  <c r="E37" i="35"/>
  <c r="M7" i="83"/>
  <c r="I7" i="35" l="1"/>
  <c r="G7" i="35"/>
  <c r="E7" i="35"/>
  <c r="I33" i="21" l="1"/>
  <c r="G33" i="21"/>
  <c r="E33" i="21"/>
  <c r="I11" i="21"/>
  <c r="G11" i="21"/>
  <c r="E11" i="21"/>
  <c r="I7" i="21"/>
  <c r="G7" i="21"/>
  <c r="E7" i="21"/>
  <c r="Q18" i="1" l="1"/>
  <c r="C14" i="74"/>
  <c r="B14" i="74"/>
  <c r="Q20" i="1"/>
  <c r="Q19" i="1"/>
  <c r="N8" i="1"/>
  <c r="G50" i="80" l="1"/>
  <c r="G49" i="80"/>
  <c r="G5" i="21" s="1"/>
  <c r="G5" i="35" s="1"/>
  <c r="E49" i="80"/>
  <c r="E5" i="21" s="1"/>
  <c r="E5" i="35" s="1"/>
  <c r="I38" i="80"/>
  <c r="G38" i="80"/>
  <c r="I46" i="80"/>
  <c r="G46" i="80"/>
  <c r="E46" i="80"/>
  <c r="I7" i="80"/>
  <c r="G7" i="80"/>
  <c r="E7" i="80"/>
  <c r="G5" i="80"/>
  <c r="E38" i="80"/>
  <c r="E50" i="80"/>
  <c r="I50" i="80"/>
  <c r="I49" i="80"/>
  <c r="I5" i="21" s="1"/>
  <c r="I5" i="80"/>
  <c r="E5" i="80"/>
  <c r="T25" i="81"/>
  <c r="T24" i="81"/>
  <c r="T21" i="81"/>
  <c r="I5" i="35" l="1"/>
  <c r="I5" i="36"/>
  <c r="T13" i="81"/>
  <c r="T10" i="81"/>
  <c r="D70" i="80" l="1"/>
  <c r="E70" i="80" s="1"/>
  <c r="F70" i="80" s="1"/>
  <c r="G70" i="80" s="1"/>
  <c r="H70" i="80" s="1"/>
  <c r="I70" i="80" s="1"/>
  <c r="J70" i="80" s="1"/>
  <c r="K70" i="80" s="1"/>
  <c r="L70" i="80" s="1"/>
  <c r="M70" i="80" s="1"/>
  <c r="G34" i="12" l="1"/>
  <c r="B130" i="80"/>
  <c r="B128" i="80"/>
  <c r="B126" i="80"/>
  <c r="D125" i="80"/>
  <c r="E125" i="80" s="1"/>
  <c r="F125" i="80" s="1"/>
  <c r="G125" i="80" s="1"/>
  <c r="H125" i="80" s="1"/>
  <c r="I125" i="80" s="1"/>
  <c r="J125" i="80" s="1"/>
  <c r="K125" i="80" s="1"/>
  <c r="L125" i="80" s="1"/>
  <c r="M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9" i="80"/>
  <c r="E119" i="80" s="1"/>
  <c r="F119" i="80" s="1"/>
  <c r="G119" i="80" s="1"/>
  <c r="H119" i="80" s="1"/>
  <c r="I119" i="80" s="1"/>
  <c r="J119" i="80" s="1"/>
  <c r="K119" i="80" s="1"/>
  <c r="L119" i="80" s="1"/>
  <c r="M119" i="80" s="1"/>
  <c r="M115" i="80"/>
  <c r="L115" i="80"/>
  <c r="K115" i="80"/>
  <c r="J115" i="80"/>
  <c r="I115" i="80"/>
  <c r="H115" i="80"/>
  <c r="G115" i="80"/>
  <c r="F115" i="80"/>
  <c r="E115" i="80"/>
  <c r="D115" i="80"/>
  <c r="C115" i="80"/>
  <c r="B113" i="80"/>
  <c r="B111" i="80"/>
  <c r="B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J104" i="80" s="1"/>
  <c r="K104" i="80" s="1"/>
  <c r="L104" i="80" s="1"/>
  <c r="M104" i="80" s="1"/>
  <c r="B103" i="80"/>
  <c r="D102" i="80"/>
  <c r="E102" i="80" s="1"/>
  <c r="F102" i="80" s="1"/>
  <c r="G102" i="80" s="1"/>
  <c r="D100" i="80"/>
  <c r="E100" i="80" s="1"/>
  <c r="F100" i="80" s="1"/>
  <c r="G100" i="80" s="1"/>
  <c r="D98" i="80"/>
  <c r="E98" i="80" s="1"/>
  <c r="F98" i="80" s="1"/>
  <c r="G98" i="80" s="1"/>
  <c r="D96" i="80"/>
  <c r="E96" i="80" s="1"/>
  <c r="F96" i="80" s="1"/>
  <c r="G96" i="80" s="1"/>
  <c r="D94" i="80"/>
  <c r="E94" i="80" s="1"/>
  <c r="F94" i="80" s="1"/>
  <c r="G94" i="80" s="1"/>
  <c r="D92" i="80"/>
  <c r="E92" i="80" s="1"/>
  <c r="F92" i="80" s="1"/>
  <c r="G92" i="80" s="1"/>
  <c r="D90" i="80"/>
  <c r="E90" i="80" s="1"/>
  <c r="F90" i="80" s="1"/>
  <c r="G90" i="80" s="1"/>
  <c r="D88" i="80"/>
  <c r="E88" i="80" s="1"/>
  <c r="F88" i="80" s="1"/>
  <c r="G88" i="80" s="1"/>
  <c r="B85" i="80"/>
  <c r="B83" i="80"/>
  <c r="B81" i="80"/>
  <c r="D80" i="80"/>
  <c r="E80" i="80" s="1"/>
  <c r="F80" i="80" s="1"/>
  <c r="G80" i="80" s="1"/>
  <c r="H80" i="80" s="1"/>
  <c r="I80" i="80" s="1"/>
  <c r="J80" i="80" s="1"/>
  <c r="K80" i="80" s="1"/>
  <c r="L80" i="80" s="1"/>
  <c r="M80" i="80" s="1"/>
  <c r="M78" i="80"/>
  <c r="L78" i="80"/>
  <c r="K78" i="80"/>
  <c r="J78" i="80"/>
  <c r="I78" i="80"/>
  <c r="H78" i="80"/>
  <c r="G78" i="80"/>
  <c r="F78" i="80"/>
  <c r="E78" i="80"/>
  <c r="D78" i="80"/>
  <c r="C78" i="80"/>
  <c r="H64" i="80"/>
  <c r="I64" i="80" s="1"/>
  <c r="C64" i="80"/>
  <c r="H63" i="80"/>
  <c r="I63" i="80" s="1"/>
  <c r="C63" i="80"/>
  <c r="H62" i="80"/>
  <c r="I62" i="80" s="1"/>
  <c r="C62" i="80"/>
  <c r="H61" i="80"/>
  <c r="I61" i="80" s="1"/>
  <c r="C61" i="80"/>
  <c r="H60" i="80"/>
  <c r="I60" i="80" s="1"/>
  <c r="C60" i="80"/>
  <c r="H59" i="80"/>
  <c r="I59" i="80" s="1"/>
  <c r="C59" i="80"/>
  <c r="H58" i="80"/>
  <c r="I58" i="80" s="1"/>
  <c r="C58" i="80"/>
  <c r="H57" i="80"/>
  <c r="I57" i="80" s="1"/>
  <c r="C57" i="80"/>
  <c r="I53" i="80"/>
  <c r="J53" i="80" s="1"/>
  <c r="G53" i="80"/>
  <c r="H53" i="80" s="1"/>
  <c r="E53" i="80"/>
  <c r="F53" i="80" s="1"/>
  <c r="P48" i="80"/>
  <c r="P47" i="80"/>
  <c r="K47" i="80"/>
  <c r="V46" i="80"/>
  <c r="T46" i="80"/>
  <c r="R46" i="80"/>
  <c r="P46" i="80"/>
  <c r="Q45" i="80"/>
  <c r="Z45" i="80" s="1"/>
  <c r="J45" i="80"/>
  <c r="H45" i="80"/>
  <c r="F45" i="80"/>
  <c r="Q44" i="80"/>
  <c r="Z44" i="80" s="1"/>
  <c r="J44" i="80"/>
  <c r="H44" i="80"/>
  <c r="F44" i="80"/>
  <c r="Q43" i="80"/>
  <c r="Z43" i="80" s="1"/>
  <c r="J43" i="80"/>
  <c r="H43" i="80"/>
  <c r="F43" i="80"/>
  <c r="Q42" i="80"/>
  <c r="Z42" i="80" s="1"/>
  <c r="J42" i="80"/>
  <c r="H42" i="80"/>
  <c r="F42" i="80"/>
  <c r="Q41" i="80"/>
  <c r="Z41" i="80" s="1"/>
  <c r="J41" i="80"/>
  <c r="F41" i="80"/>
  <c r="Q40" i="80"/>
  <c r="Z40" i="80" s="1"/>
  <c r="J40" i="80"/>
  <c r="H40" i="80"/>
  <c r="F40" i="80"/>
  <c r="Q39" i="80"/>
  <c r="Z39" i="80" s="1"/>
  <c r="J39" i="80"/>
  <c r="H39" i="80"/>
  <c r="F39" i="80"/>
  <c r="Q38" i="80"/>
  <c r="Z38" i="80" s="1"/>
  <c r="J38" i="80"/>
  <c r="H38" i="80"/>
  <c r="F38" i="80"/>
  <c r="Q37" i="80"/>
  <c r="Z37" i="80" s="1"/>
  <c r="J37" i="80"/>
  <c r="H37" i="80"/>
  <c r="F37" i="80"/>
  <c r="Q36" i="80"/>
  <c r="Z36" i="80" s="1"/>
  <c r="J36" i="80"/>
  <c r="H36" i="80"/>
  <c r="F36" i="80"/>
  <c r="Q35" i="80"/>
  <c r="Z35" i="80" s="1"/>
  <c r="J35" i="80"/>
  <c r="H35" i="80"/>
  <c r="F35" i="80"/>
  <c r="Q34" i="80"/>
  <c r="Z34" i="80" s="1"/>
  <c r="J34" i="80"/>
  <c r="H34" i="80"/>
  <c r="F34" i="80"/>
  <c r="Q32" i="80"/>
  <c r="Z32" i="80" s="1"/>
  <c r="J32" i="80"/>
  <c r="H32" i="80"/>
  <c r="F32" i="80"/>
  <c r="Q31" i="80"/>
  <c r="Z31" i="80" s="1"/>
  <c r="J31" i="80"/>
  <c r="H31" i="80"/>
  <c r="F31" i="80"/>
  <c r="Q29" i="80"/>
  <c r="Z29" i="80" s="1"/>
  <c r="J29" i="80"/>
  <c r="H29" i="80"/>
  <c r="F29" i="80"/>
  <c r="Q27" i="80"/>
  <c r="Z27" i="80" s="1"/>
  <c r="J27" i="80"/>
  <c r="H27" i="80"/>
  <c r="F27" i="80"/>
  <c r="Q25" i="80"/>
  <c r="Z25" i="80" s="1"/>
  <c r="J25" i="80"/>
  <c r="H25" i="80"/>
  <c r="F25" i="80"/>
  <c r="Q23" i="80"/>
  <c r="Z23" i="80" s="1"/>
  <c r="J23" i="80"/>
  <c r="H23" i="80"/>
  <c r="F23" i="80"/>
  <c r="C23" i="80"/>
  <c r="Q21" i="80"/>
  <c r="Z21" i="80" s="1"/>
  <c r="J21" i="80"/>
  <c r="H21" i="80"/>
  <c r="F21" i="80"/>
  <c r="Q19" i="80"/>
  <c r="Z19" i="80" s="1"/>
  <c r="J19" i="80"/>
  <c r="H19" i="80"/>
  <c r="F19" i="80"/>
  <c r="Q17" i="80"/>
  <c r="Z17" i="80" s="1"/>
  <c r="J17" i="80"/>
  <c r="H17" i="80"/>
  <c r="F17" i="80"/>
  <c r="Q15" i="80"/>
  <c r="Z15" i="80" s="1"/>
  <c r="J15" i="80"/>
  <c r="H15" i="80"/>
  <c r="F15" i="80"/>
  <c r="Q14" i="80"/>
  <c r="Z14" i="80" s="1"/>
  <c r="J14" i="80"/>
  <c r="H14" i="80"/>
  <c r="F14" i="80"/>
  <c r="Q13" i="80"/>
  <c r="Z13" i="80" s="1"/>
  <c r="J13" i="80"/>
  <c r="H13" i="80"/>
  <c r="F13" i="80"/>
  <c r="Q12" i="80"/>
  <c r="Z12" i="80" s="1"/>
  <c r="J12" i="80"/>
  <c r="H12" i="80"/>
  <c r="F12" i="80"/>
  <c r="Q11" i="80"/>
  <c r="Z11" i="80" s="1"/>
  <c r="J11" i="80"/>
  <c r="H11" i="80"/>
  <c r="F11" i="80"/>
  <c r="Q10" i="80"/>
  <c r="Z10" i="80" s="1"/>
  <c r="Q9" i="80"/>
  <c r="Z9" i="80" s="1"/>
  <c r="J9" i="80"/>
  <c r="H9" i="80"/>
  <c r="F9" i="80"/>
  <c r="J8" i="80"/>
  <c r="H8" i="80"/>
  <c r="F8" i="80"/>
  <c r="G13" i="4"/>
  <c r="G21" i="6"/>
  <c r="G20" i="6"/>
  <c r="D14" i="9"/>
  <c r="F19" i="6"/>
  <c r="D3" i="4"/>
  <c r="H41" i="80" l="1"/>
  <c r="AB41" i="80" s="1"/>
  <c r="AA8" i="80"/>
  <c r="S8" i="80"/>
  <c r="AB8" i="80"/>
  <c r="U8" i="80"/>
  <c r="AC8" i="80"/>
  <c r="W8" i="80"/>
  <c r="AA9" i="80"/>
  <c r="S9" i="80"/>
  <c r="AB9" i="80"/>
  <c r="U9" i="80"/>
  <c r="AC9" i="80"/>
  <c r="W9" i="80"/>
  <c r="AA11" i="80"/>
  <c r="S11" i="80"/>
  <c r="AB11" i="80"/>
  <c r="U11" i="80"/>
  <c r="AC11" i="80"/>
  <c r="W11" i="80"/>
  <c r="AA12" i="80"/>
  <c r="S12" i="80"/>
  <c r="AB12" i="80"/>
  <c r="U12" i="80"/>
  <c r="AC12" i="80"/>
  <c r="W12" i="80"/>
  <c r="AA13" i="80"/>
  <c r="S13" i="80"/>
  <c r="AB13" i="80"/>
  <c r="U13" i="80"/>
  <c r="AC13" i="80"/>
  <c r="W13" i="80"/>
  <c r="AA14" i="80"/>
  <c r="S14" i="80"/>
  <c r="AB14" i="80"/>
  <c r="U14" i="80"/>
  <c r="AC14" i="80"/>
  <c r="W14" i="80"/>
  <c r="AA15" i="80"/>
  <c r="S15" i="80"/>
  <c r="AB15" i="80"/>
  <c r="U15" i="80"/>
  <c r="AC15" i="80"/>
  <c r="W15" i="80"/>
  <c r="AA17" i="80"/>
  <c r="S17" i="80"/>
  <c r="AB17" i="80"/>
  <c r="U17" i="80"/>
  <c r="AC17" i="80"/>
  <c r="W17" i="80"/>
  <c r="AA19" i="80"/>
  <c r="S19" i="80"/>
  <c r="AB19" i="80"/>
  <c r="U19" i="80"/>
  <c r="AC19" i="80"/>
  <c r="W19" i="80"/>
  <c r="AA21" i="80"/>
  <c r="S21" i="80"/>
  <c r="AB21" i="80"/>
  <c r="U21" i="80"/>
  <c r="AC21" i="80"/>
  <c r="W21" i="80"/>
  <c r="AA23" i="80"/>
  <c r="S23" i="80"/>
  <c r="AB23" i="80"/>
  <c r="U23" i="80"/>
  <c r="AC23" i="80"/>
  <c r="W23" i="80"/>
  <c r="AA25" i="80"/>
  <c r="S25" i="80"/>
  <c r="AB25" i="80"/>
  <c r="U25" i="80"/>
  <c r="AC25" i="80"/>
  <c r="W25" i="80"/>
  <c r="AA27" i="80"/>
  <c r="S27" i="80"/>
  <c r="AB27" i="80"/>
  <c r="U27" i="80"/>
  <c r="AC27" i="80"/>
  <c r="W27" i="80"/>
  <c r="AA29" i="80"/>
  <c r="S29" i="80"/>
  <c r="AB29" i="80"/>
  <c r="U29" i="80"/>
  <c r="AC29" i="80"/>
  <c r="W29" i="80"/>
  <c r="AA31" i="80"/>
  <c r="S31" i="80"/>
  <c r="AB31" i="80"/>
  <c r="U31" i="80"/>
  <c r="AC31" i="80"/>
  <c r="W31" i="80"/>
  <c r="AA32" i="80"/>
  <c r="S32" i="80"/>
  <c r="AB32" i="80"/>
  <c r="U32" i="80"/>
  <c r="AC32" i="80"/>
  <c r="W32" i="80"/>
  <c r="AA34" i="80"/>
  <c r="S34" i="80"/>
  <c r="AB34" i="80"/>
  <c r="U34" i="80"/>
  <c r="AC34" i="80"/>
  <c r="W34" i="80"/>
  <c r="AA35" i="80"/>
  <c r="S35" i="80"/>
  <c r="AB35" i="80"/>
  <c r="U35" i="80"/>
  <c r="AC35" i="80"/>
  <c r="W35" i="80"/>
  <c r="AA36" i="80"/>
  <c r="S36" i="80"/>
  <c r="AB36" i="80"/>
  <c r="U36" i="80"/>
  <c r="AC36" i="80"/>
  <c r="W36" i="80"/>
  <c r="AA37" i="80"/>
  <c r="S37" i="80"/>
  <c r="AB37" i="80"/>
  <c r="U37" i="80"/>
  <c r="AC37" i="80"/>
  <c r="W37" i="80"/>
  <c r="AA38" i="80"/>
  <c r="S38" i="80"/>
  <c r="AB38" i="80"/>
  <c r="U38" i="80"/>
  <c r="AC38" i="80"/>
  <c r="W38" i="80"/>
  <c r="AA39" i="80"/>
  <c r="S39" i="80"/>
  <c r="AB39" i="80"/>
  <c r="U39" i="80"/>
  <c r="AC39" i="80"/>
  <c r="W39" i="80"/>
  <c r="AA40" i="80"/>
  <c r="S40" i="80"/>
  <c r="AB40" i="80"/>
  <c r="U40" i="80"/>
  <c r="AC40" i="80"/>
  <c r="W40" i="80"/>
  <c r="AA41" i="80"/>
  <c r="S41" i="80"/>
  <c r="AC41" i="80"/>
  <c r="W41" i="80"/>
  <c r="AA42" i="80"/>
  <c r="S42" i="80"/>
  <c r="AB42" i="80"/>
  <c r="U42" i="80"/>
  <c r="AC42" i="80"/>
  <c r="W42" i="80"/>
  <c r="AA43" i="80"/>
  <c r="S43" i="80"/>
  <c r="AB43" i="80"/>
  <c r="U43" i="80"/>
  <c r="AC43" i="80"/>
  <c r="W43" i="80"/>
  <c r="AA44" i="80"/>
  <c r="S44" i="80"/>
  <c r="AB44" i="80"/>
  <c r="U44" i="80"/>
  <c r="AC44" i="80"/>
  <c r="W44" i="80"/>
  <c r="AA45" i="80"/>
  <c r="S45" i="80"/>
  <c r="AB45" i="80"/>
  <c r="U45" i="80"/>
  <c r="AC45" i="80"/>
  <c r="W45" i="80"/>
  <c r="D30" i="74"/>
  <c r="B10" i="74"/>
  <c r="U4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s="1"/>
  <c r="L4" i="9"/>
  <c r="B17" i="72"/>
  <c r="B15" i="72"/>
  <c r="A3" i="51"/>
  <c r="C8" i="11"/>
  <c r="B40" i="48"/>
  <c r="B3" i="72" s="1"/>
  <c r="F35" i="4"/>
  <c r="J55" i="80" s="1"/>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76" i="43"/>
  <c r="C20" i="20"/>
  <c r="B79" i="43"/>
  <c r="C18" i="20"/>
  <c r="B73" i="43"/>
  <c r="C17" i="20"/>
  <c r="C19" i="80" s="1"/>
  <c r="B61" i="43"/>
  <c r="C16" i="20"/>
  <c r="C17" i="80" s="1"/>
  <c r="C17" i="39"/>
  <c r="C15" i="20"/>
  <c r="C15" i="80"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E85" i="21"/>
  <c r="F23" i="21" s="1"/>
  <c r="S23" i="21" s="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E11" i="76"/>
  <c r="D3" i="73"/>
  <c r="F26" i="15"/>
  <c r="F7" i="73"/>
  <c r="E10" i="76"/>
  <c r="B12" i="76"/>
  <c r="F9" i="67"/>
  <c r="M23" i="15"/>
  <c r="M24" i="15"/>
  <c r="C76" i="67"/>
  <c r="F16" i="67"/>
  <c r="M29" i="15"/>
  <c r="L48" i="67"/>
  <c r="F8" i="15"/>
  <c r="E2" i="68"/>
  <c r="M28" i="67"/>
  <c r="E13" i="76"/>
  <c r="F5" i="73"/>
  <c r="E9" i="76"/>
  <c r="D6" i="73"/>
  <c r="L48" i="15"/>
  <c r="M6" i="15"/>
  <c r="M6" i="67"/>
  <c r="C76" i="15"/>
  <c r="M8" i="67"/>
  <c r="B8" i="76"/>
  <c r="F6" i="67"/>
  <c r="F43" i="15"/>
  <c r="F13" i="67"/>
  <c r="M8" i="15"/>
  <c r="F42" i="15"/>
  <c r="F7" i="67"/>
  <c r="J15" i="67"/>
  <c r="F42" i="67"/>
  <c r="L47" i="15"/>
  <c r="F38" i="67"/>
  <c r="M9" i="67"/>
  <c r="F4" i="73"/>
  <c r="B13" i="76"/>
  <c r="M22" i="67"/>
  <c r="F37" i="67"/>
  <c r="F43" i="67"/>
  <c r="F7" i="15"/>
  <c r="M26" i="67"/>
  <c r="E7" i="76"/>
  <c r="AO13" i="1"/>
  <c r="F8" i="67"/>
  <c r="M29" i="67"/>
  <c r="F36" i="67"/>
  <c r="F40" i="15"/>
  <c r="L47" i="67"/>
  <c r="F37" i="15"/>
  <c r="F26" i="67"/>
  <c r="M22" i="15"/>
  <c r="E2" i="69"/>
  <c r="F38" i="15"/>
  <c r="F36" i="15"/>
  <c r="D4" i="73"/>
  <c r="F20" i="31"/>
  <c r="F16" i="15"/>
  <c r="F6" i="73"/>
  <c r="F3" i="73"/>
  <c r="D7" i="73"/>
  <c r="F40" i="67"/>
  <c r="E12" i="76"/>
  <c r="F6" i="15"/>
  <c r="M23" i="67"/>
  <c r="M24" i="67"/>
  <c r="B9" i="76"/>
  <c r="B10" i="76"/>
  <c r="M9" i="15"/>
  <c r="D5" i="73"/>
  <c r="F13" i="15"/>
  <c r="B11" i="76"/>
  <c r="M26" i="15"/>
  <c r="B7" i="76"/>
  <c r="E8" i="76"/>
  <c r="F9" i="15"/>
  <c r="J15" i="15"/>
  <c r="M28" i="15"/>
  <c r="H19" i="21" l="1"/>
  <c r="F19" i="21"/>
  <c r="C40" i="68"/>
  <c r="C21" i="68"/>
  <c r="C40" i="69"/>
  <c r="C67" i="39"/>
  <c r="I7" i="39"/>
  <c r="G7" i="39"/>
  <c r="E7" i="39"/>
  <c r="C67" i="80"/>
  <c r="B101" i="43"/>
  <c r="C25" i="80"/>
  <c r="B100" i="43"/>
  <c r="C29" i="80"/>
  <c r="B99" i="43"/>
  <c r="C27" i="80"/>
  <c r="B94" i="43"/>
  <c r="C21" i="80"/>
  <c r="F8" i="1"/>
  <c r="G8" i="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11" i="6"/>
  <c r="E10" i="6"/>
  <c r="E13" i="6"/>
  <c r="E62" i="80" s="1"/>
  <c r="H16" i="1"/>
  <c r="P6" i="1"/>
  <c r="C13" i="12" s="1"/>
  <c r="P11" i="1"/>
  <c r="E59" i="40"/>
  <c r="K14" i="1"/>
  <c r="K16" i="1" s="1"/>
  <c r="D9" i="11"/>
  <c r="C9" i="11" s="1"/>
  <c r="D19" i="12"/>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C19" i="12" l="1"/>
  <c r="AA19" i="21"/>
  <c r="S19" i="21"/>
  <c r="AB19" i="21"/>
  <c r="U19" i="21"/>
  <c r="C69" i="80"/>
  <c r="D67" i="80"/>
  <c r="F10" i="39"/>
  <c r="S10" i="39" s="1"/>
  <c r="J10" i="80"/>
  <c r="H10" i="80"/>
  <c r="F10" i="80"/>
  <c r="E60" i="39"/>
  <c r="E60" i="80"/>
  <c r="E64" i="39"/>
  <c r="E64" i="80"/>
  <c r="E57" i="40"/>
  <c r="E61" i="80"/>
  <c r="F27" i="6"/>
  <c r="E56" i="80"/>
  <c r="E63" i="39"/>
  <c r="E63" i="80"/>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A10" i="39" l="1"/>
  <c r="B70" i="39"/>
  <c r="B70" i="80"/>
  <c r="D69" i="80"/>
  <c r="E67" i="80"/>
  <c r="E65" i="80"/>
  <c r="AA10" i="80"/>
  <c r="S10" i="80"/>
  <c r="AB10" i="80"/>
  <c r="U10" i="80"/>
  <c r="AC10" i="80"/>
  <c r="W10" i="80"/>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69" i="80" l="1"/>
  <c r="F67" i="80"/>
  <c r="D116" i="43"/>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66" i="67"/>
  <c r="C60" i="67"/>
  <c r="C34" i="69"/>
  <c r="C14" i="67"/>
  <c r="C17" i="15"/>
  <c r="C17" i="67"/>
  <c r="F69" i="80" l="1"/>
  <c r="G67" i="80"/>
  <c r="D13" i="71"/>
  <c r="C12" i="71"/>
  <c r="D3" i="21"/>
  <c r="E6" i="6"/>
  <c r="D37" i="11"/>
  <c r="D14" i="12"/>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S16" i="1"/>
  <c r="E9" i="70"/>
  <c r="E2" i="70" s="1"/>
  <c r="AR9" i="1"/>
  <c r="AQ9" i="1"/>
  <c r="T9" i="1"/>
  <c r="AQ11" i="1"/>
  <c r="AR11" i="1"/>
  <c r="T11" i="1"/>
  <c r="AR12" i="1"/>
  <c r="T12" i="1"/>
  <c r="AQ12" i="1"/>
  <c r="AQ10" i="1"/>
  <c r="T10" i="1"/>
  <c r="AR10" i="1"/>
  <c r="AR7" i="1"/>
  <c r="AQ7" i="1"/>
  <c r="T7" i="1"/>
  <c r="M27" i="6"/>
  <c r="I19" i="6"/>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D17" i="12" l="1"/>
  <c r="C17" i="12" s="1"/>
  <c r="G69" i="80"/>
  <c r="H67" i="80"/>
  <c r="B23" i="1"/>
  <c r="B24" i="1"/>
  <c r="C29" i="11"/>
  <c r="D27" i="11" s="1"/>
  <c r="C29" i="68"/>
  <c r="D27" i="68" s="1"/>
  <c r="C44" i="68"/>
  <c r="D41" i="68" s="1"/>
  <c r="C44" i="11"/>
  <c r="D41" i="11" s="1"/>
  <c r="D25" i="6"/>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H19" i="6"/>
  <c r="S19" i="6"/>
  <c r="S27" i="6" s="1"/>
  <c r="I27" i="6"/>
  <c r="E2" i="76"/>
  <c r="B2" i="76"/>
  <c r="I69" i="39"/>
  <c r="J67" i="39"/>
  <c r="I63" i="40"/>
  <c r="H65" i="40"/>
  <c r="I58" i="21"/>
  <c r="J58" i="21" s="1"/>
  <c r="K58" i="21" s="1"/>
  <c r="L58" i="21" s="1"/>
  <c r="M58" i="21" s="1"/>
  <c r="N58" i="21" s="1"/>
  <c r="O58" i="21" s="1"/>
  <c r="H7" i="21" s="1"/>
  <c r="J7" i="21"/>
  <c r="F7" i="21"/>
  <c r="J48" i="35"/>
  <c r="H69" i="80" l="1"/>
  <c r="I67" i="80"/>
  <c r="M59" i="15"/>
  <c r="M59" i="67"/>
  <c r="C29" i="12"/>
  <c r="D28" i="12" s="1"/>
  <c r="C26" i="12"/>
  <c r="D25" i="12" s="1"/>
  <c r="F34" i="68"/>
  <c r="F34" i="11"/>
  <c r="F11" i="12"/>
  <c r="F50" i="69"/>
  <c r="F50" i="11"/>
  <c r="F50" i="68"/>
  <c r="C26" i="68"/>
  <c r="D22" i="68" s="1"/>
  <c r="C23" i="11"/>
  <c r="C26" i="11"/>
  <c r="D22" i="11" s="1"/>
  <c r="D27" i="6"/>
  <c r="D16" i="6"/>
  <c r="D11" i="71"/>
  <c r="C10" i="71"/>
  <c r="C10" i="68"/>
  <c r="B29" i="1" s="1"/>
  <c r="C8" i="68" s="1"/>
  <c r="D19" i="68"/>
  <c r="C10" i="69"/>
  <c r="C8" i="69" s="1"/>
  <c r="C5" i="69" s="1"/>
  <c r="C23" i="69" s="1"/>
  <c r="D19" i="69"/>
  <c r="C28" i="11"/>
  <c r="C27" i="11" s="1"/>
  <c r="C25" i="1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8" i="12" l="1"/>
  <c r="C22" i="11"/>
  <c r="C31" i="11" s="1"/>
  <c r="I69" i="80"/>
  <c r="J67" i="80"/>
  <c r="C14" i="12"/>
  <c r="C16" i="12" s="1"/>
  <c r="C21" i="12" s="1"/>
  <c r="C36" i="11"/>
  <c r="C37" i="11"/>
  <c r="C34" i="11"/>
  <c r="C36" i="68"/>
  <c r="C34" i="68"/>
  <c r="I5" i="6"/>
  <c r="I6" i="6"/>
  <c r="C19" i="69"/>
  <c r="D37" i="69"/>
  <c r="C37" i="69" s="1"/>
  <c r="C33" i="69" s="1"/>
  <c r="C19" i="68"/>
  <c r="D37" i="68"/>
  <c r="C37" i="68" s="1"/>
  <c r="D10" i="71"/>
  <c r="C9" i="71"/>
  <c r="Q49" i="67"/>
  <c r="J14" i="67"/>
  <c r="J13" i="67" s="1"/>
  <c r="J23" i="67" s="1"/>
  <c r="C36" i="67"/>
  <c r="C57" i="67"/>
  <c r="C64" i="67" s="1"/>
  <c r="C13" i="67"/>
  <c r="Q70" i="67" s="1"/>
  <c r="C61" i="67"/>
  <c r="C23" i="15"/>
  <c r="C29" i="15" s="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J69" i="80" l="1"/>
  <c r="K67" i="80"/>
  <c r="C38" i="68"/>
  <c r="C35" i="68"/>
  <c r="C38" i="11"/>
  <c r="C35" i="11"/>
  <c r="C22" i="12"/>
  <c r="C8" i="71"/>
  <c r="D9" i="71"/>
  <c r="C24" i="68"/>
  <c r="C39" i="69"/>
  <c r="C42" i="69"/>
  <c r="C24" i="69"/>
  <c r="C20" i="69"/>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33" i="68"/>
  <c r="C42" i="68" s="1"/>
  <c r="K69" i="80"/>
  <c r="L67" i="80"/>
  <c r="C28" i="69"/>
  <c r="C27" i="69" s="1"/>
  <c r="C25" i="69"/>
  <c r="C22" i="69" s="1"/>
  <c r="C43" i="69"/>
  <c r="C41" i="69" s="1"/>
  <c r="C46" i="69"/>
  <c r="C45" i="69" s="1"/>
  <c r="D8" i="71"/>
  <c r="C7"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C46" i="11" l="1"/>
  <c r="C45" i="11" s="1"/>
  <c r="C42" i="11"/>
  <c r="C41" i="11" s="1"/>
  <c r="C39" i="68"/>
  <c r="C43" i="68" s="1"/>
  <c r="C41" i="68" s="1"/>
  <c r="C31" i="69"/>
  <c r="L69" i="80"/>
  <c r="M67" i="80"/>
  <c r="D7" i="71"/>
  <c r="C6" i="71"/>
  <c r="C49" i="69"/>
  <c r="C51" i="69" s="1"/>
  <c r="L57" i="67"/>
  <c r="L60" i="67" s="1"/>
  <c r="L46" i="67" s="1"/>
  <c r="Q67" i="67"/>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6" i="68"/>
  <c r="C45" i="68" s="1"/>
  <c r="C49" i="68" s="1"/>
  <c r="C51" i="68" s="1"/>
  <c r="C49" i="11"/>
  <c r="C51" i="11" s="1"/>
  <c r="C52" i="11" s="1"/>
  <c r="B2" i="11" s="1"/>
  <c r="B3" i="11" s="1"/>
  <c r="M69" i="80"/>
  <c r="N67" i="80"/>
  <c r="C52" i="69"/>
  <c r="B2" i="69" s="1"/>
  <c r="B3"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5"/>
  <c r="D2" i="37"/>
  <c r="L51" i="15"/>
  <c r="C56" i="11" l="1"/>
  <c r="C57" i="11" s="1"/>
  <c r="C57" i="69"/>
  <c r="C56" i="69" s="1"/>
  <c r="N69" i="80"/>
  <c r="O67" i="80"/>
  <c r="O69" i="80" s="1"/>
  <c r="F7" i="80"/>
  <c r="H7" i="80"/>
  <c r="J7" i="80"/>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12" i="1"/>
  <c r="AO6" i="1"/>
  <c r="AO10" i="1"/>
  <c r="AO7" i="1"/>
  <c r="AO9" i="1"/>
  <c r="B3" i="36" l="1"/>
  <c r="D6" i="12" s="1"/>
  <c r="M6" i="12" s="1"/>
  <c r="D8" i="12"/>
  <c r="B3" i="35"/>
  <c r="E6" i="12" s="1"/>
  <c r="E8" i="12"/>
  <c r="M7" i="12" s="1"/>
  <c r="C4" i="12"/>
  <c r="N4" i="12" s="1"/>
  <c r="AC7" i="80"/>
  <c r="V47" i="80" s="1"/>
  <c r="I47" i="80" s="1"/>
  <c r="W7" i="80"/>
  <c r="AB7" i="80"/>
  <c r="T47" i="80" s="1"/>
  <c r="G47" i="80" s="1"/>
  <c r="U7" i="80"/>
  <c r="AA7" i="80"/>
  <c r="R47" i="80" s="1"/>
  <c r="S7" i="80"/>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12" l="1"/>
  <c r="C23" i="12"/>
  <c r="R48" i="80"/>
  <c r="E47" i="80"/>
  <c r="G52" i="80"/>
  <c r="H52" i="80" s="1"/>
  <c r="G51" i="80"/>
  <c r="H51" i="80" s="1"/>
  <c r="I51" i="80"/>
  <c r="J51" i="80" s="1"/>
  <c r="I52" i="80"/>
  <c r="J5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E52" i="80"/>
  <c r="F52" i="80" s="1"/>
  <c r="E51" i="80"/>
  <c r="F51" i="80" s="1"/>
  <c r="C48" i="80"/>
  <c r="C47" i="80"/>
  <c r="C42" i="40"/>
  <c r="C43" i="40"/>
  <c r="E47" i="40"/>
  <c r="F47" i="40" s="1"/>
  <c r="E46" i="40"/>
  <c r="F46" i="40" s="1"/>
  <c r="I47" i="40"/>
  <c r="J47" i="40" s="1"/>
  <c r="C32" i="12" l="1"/>
  <c r="B2" i="12" s="1"/>
  <c r="B3" i="12" s="1"/>
  <c r="B64" i="80"/>
  <c r="F64" i="80" s="1"/>
  <c r="B63" i="80"/>
  <c r="F63" i="80" s="1"/>
  <c r="B62" i="80"/>
  <c r="F62" i="80" s="1"/>
  <c r="B61" i="80"/>
  <c r="F61" i="80" s="1"/>
  <c r="B60" i="80"/>
  <c r="F60" i="80" s="1"/>
  <c r="B59" i="80"/>
  <c r="F59" i="80" s="1"/>
  <c r="B58" i="80"/>
  <c r="F58" i="80" s="1"/>
  <c r="B57" i="80"/>
  <c r="F57" i="80" s="1"/>
  <c r="B56" i="80"/>
  <c r="F56" i="80" s="1"/>
  <c r="F65" i="80" s="1"/>
  <c r="B2" i="80"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D103" i="9" l="1"/>
  <c r="D102" i="9"/>
  <c r="D21" i="9"/>
  <c r="B3" i="80"/>
  <c r="C6" i="68"/>
  <c r="C7" i="68" s="1"/>
  <c r="C5" i="68" s="1"/>
  <c r="C23" i="68" l="1"/>
  <c r="C20" i="68"/>
  <c r="C25" i="68" s="1"/>
  <c r="AB18" i="71"/>
  <c r="C28" i="68" l="1"/>
  <c r="C27" i="68" s="1"/>
  <c r="C22" i="68"/>
  <c r="C31" i="68" l="1"/>
  <c r="C52" i="68" s="1"/>
  <c r="B2" i="68" s="1"/>
  <c r="C57" i="68" l="1"/>
  <c r="C56" i="68" s="1"/>
  <c r="B3" i="68"/>
  <c r="C20" i="9"/>
  <c r="D35" i="9"/>
  <c r="C19" i="9"/>
  <c r="D34" i="9"/>
  <c r="C102" i="9" l="1"/>
  <c r="D22" i="9"/>
  <c r="G19" i="9"/>
  <c r="C21" i="9"/>
  <c r="G20" i="9"/>
  <c r="C32" i="9" s="1"/>
  <c r="C103" i="9"/>
  <c r="C35" i="9" l="1"/>
  <c r="F118" i="9" s="1"/>
  <c r="H118" i="9"/>
  <c r="G21" i="9"/>
  <c r="D14" i="74"/>
  <c r="G14" i="74" s="1"/>
  <c r="B6" i="74" s="1"/>
  <c r="D6" i="74" s="1"/>
  <c r="C34" i="9" l="1"/>
  <c r="D118" i="9" s="1"/>
  <c r="D4" i="52" s="1"/>
  <c r="B47" i="72" s="1"/>
  <c r="E14" i="74"/>
  <c r="F14" i="74"/>
  <c r="B5" i="74"/>
  <c r="H101" i="9"/>
  <c r="H119" i="9"/>
  <c r="H5" i="52" s="1"/>
  <c r="C104" i="9"/>
  <c r="H4" i="52"/>
  <c r="I118" i="9"/>
  <c r="F119" i="9"/>
  <c r="F5" i="52" s="1"/>
  <c r="B53" i="72" s="1"/>
  <c r="F4" i="52"/>
  <c r="B51" i="72" s="1"/>
  <c r="G118" i="9"/>
  <c r="G4" i="52" s="1"/>
  <c r="B52" i="72" s="1"/>
  <c r="D119" i="9" l="1"/>
  <c r="D5" i="52" s="1"/>
  <c r="B49" i="72" s="1"/>
  <c r="C105" i="9"/>
  <c r="I4" i="52"/>
  <c r="H102" i="9"/>
  <c r="D7" i="53" s="1"/>
  <c r="B21" i="72" s="1"/>
  <c r="E118" i="9"/>
  <c r="E4" i="52" s="1"/>
  <c r="B48" i="72" s="1"/>
  <c r="D45" i="9"/>
  <c r="D5" i="53"/>
  <c r="M48" i="9"/>
  <c r="H107" i="9"/>
  <c r="M49" i="9" s="1"/>
  <c r="D5" i="74"/>
  <c r="L68" i="9" l="1"/>
  <c r="M68" i="9" s="1"/>
  <c r="L65" i="9"/>
  <c r="M65" i="9" s="1"/>
  <c r="L66" i="9"/>
  <c r="M66" i="9" s="1"/>
  <c r="L64" i="9"/>
  <c r="M64" i="9" s="1"/>
  <c r="L63" i="9"/>
  <c r="M63" i="9" s="1"/>
  <c r="L67" i="9"/>
  <c r="M67" i="9" s="1"/>
  <c r="C5" i="74"/>
  <c r="H108" i="9"/>
  <c r="D13" i="53"/>
  <c r="D122" i="9"/>
  <c r="D6" i="53"/>
  <c r="B22" i="72" s="1"/>
  <c r="B20" i="72"/>
  <c r="C72" i="9"/>
  <c r="D55" i="9"/>
  <c r="M53" i="9" s="1"/>
  <c r="C64" i="9"/>
  <c r="C63" i="9" s="1"/>
  <c r="C67" i="9" s="1"/>
  <c r="C93" i="9"/>
  <c r="C86" i="9" s="1"/>
  <c r="C85" i="9"/>
  <c r="C78" i="9"/>
  <c r="C73" i="9" s="1"/>
  <c r="D52" i="9"/>
  <c r="D53" i="9"/>
  <c r="M69" i="9" l="1"/>
  <c r="N69" i="9" s="1"/>
  <c r="C95" i="9"/>
  <c r="C79" i="9"/>
  <c r="C80" i="9" s="1"/>
  <c r="E80" i="9" s="1"/>
  <c r="E81" i="9" s="1"/>
  <c r="C96" i="9"/>
  <c r="E96" i="9" s="1"/>
  <c r="E97" i="9" s="1"/>
  <c r="D59" i="9"/>
  <c r="M55" i="9" s="1"/>
  <c r="C68" i="9"/>
  <c r="D54" i="9" s="1"/>
  <c r="D8" i="52"/>
  <c r="D123" i="9"/>
  <c r="D9" i="52" s="1"/>
  <c r="D14" i="53"/>
  <c r="B32" i="72" s="1"/>
  <c r="B30" i="72"/>
  <c r="D15" i="53"/>
  <c r="B31" i="72" s="1"/>
  <c r="C6" i="74"/>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<sst xmlns="http://schemas.openxmlformats.org/spreadsheetml/2006/main" count="9408" uniqueCount="3963">
  <si>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</si>
  <si>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</si>
  <si>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</si>
  <si>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</si>
  <si>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</si>
  <si>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</si>
  <si>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</si>
  <si>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</si>
  <si>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</si>
  <si>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</si>
  <si>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</si>
  <si>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</si>
  <si>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</si>
  <si>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</si>
  <si>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</si>
  <si>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</si>
  <si>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</si>
  <si>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</si>
  <si>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</si>
  <si>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</si>
  <si>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</si>
  <si>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</si>
  <si>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</si>
  <si>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</si>
  <si>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</si>
  <si>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</si>
  <si>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</si>
  <si>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</si>
  <si>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</si>
  <si>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</si>
  <si>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</si>
  <si>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</si>
  <si>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</si>
  <si>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</si>
  <si>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</si>
  <si>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</si>
  <si>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</si>
  <si>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</si>
  <si>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</si>
  <si>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</si>
  <si>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</si>
  <si>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</si>
  <si>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</si>
  <si>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</si>
  <si>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</si>
  <si>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</si>
  <si>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</si>
  <si>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</si>
  <si>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</si>
  <si>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</si>
  <si>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</si>
  <si>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</si>
  <si>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</si>
  <si>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</si>
  <si>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</si>
  <si>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</si>
  <si>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</si>
  <si>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</si>
  <si>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</si>
  <si>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</si>
  <si>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</si>
  <si>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</si>
  <si>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</si>
  <si>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</si>
  <si>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</si>
  <si>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</si>
  <si>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</si>
  <si>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</si>
  <si>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</si>
  <si>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</si>
  <si>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</si>
  <si>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</si>
  <si>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</si>
  <si>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</si>
  <si>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</si>
  <si>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</si>
  <si>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</si>
  <si>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</si>
  <si>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</si>
  <si>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</si>
  <si>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</si>
  <si>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</si>
  <si>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</si>
  <si>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</si>
  <si>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</si>
  <si>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</si>
  <si>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</si>
  <si>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</si>
  <si>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</si>
  <si>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</si>
  <si>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</si>
  <si>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</si>
  <si>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</si>
  <si>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</si>
  <si>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</si>
  <si>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</si>
  <si>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</si>
  <si>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</si>
  <si>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</si>
  <si>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</si>
  <si>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</si>
  <si>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</si>
  <si>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</si>
  <si>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</si>
  <si>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</si>
  <si>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</si>
  <si>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</si>
  <si>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</si>
  <si>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</si>
  <si>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</si>
  <si>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</si>
  <si>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</si>
  <si>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</si>
  <si>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</si>
  <si>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</si>
  <si>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</si>
  <si>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</si>
  <si>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</si>
  <si>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</si>
  <si>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</si>
  <si>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</si>
  <si>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</si>
  <si>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</si>
  <si>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</si>
  <si>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</si>
  <si>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</si>
  <si>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</si>
  <si>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</si>
  <si>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</si>
  <si>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</si>
  <si>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</si>
  <si>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</si>
  <si>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</si>
  <si>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</si>
  <si>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</si>
  <si>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</si>
  <si>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</si>
  <si>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</si>
  <si>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</si>
  <si>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</si>
  <si>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</si>
  <si>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</si>
  <si>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</si>
  <si>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</si>
  <si>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</si>
  <si>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</si>
  <si>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</si>
  <si>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</si>
  <si>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</si>
  <si>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</si>
  <si>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</si>
  <si>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</si>
  <si>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</si>
  <si>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</si>
  <si>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</si>
  <si>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</si>
  <si>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</si>
  <si>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</si>
  <si>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</si>
  <si>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</si>
  <si>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</si>
  <si>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</si>
  <si>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</si>
  <si>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</si>
  <si>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</si>
  <si>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</si>
  <si>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</si>
  <si>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</si>
  <si>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</si>
  <si>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</si>
  <si>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</si>
  <si>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</si>
  <si>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</si>
  <si>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</si>
  <si>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</si>
  <si>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</si>
  <si>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</si>
  <si>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</si>
  <si>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</si>
  <si>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</si>
  <si>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</si>
  <si>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</si>
  <si>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</si>
  <si>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</si>
  <si>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</si>
  <si>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</si>
  <si>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</si>
  <si>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</si>
  <si>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</si>
  <si>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</si>
  <si>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</si>
  <si>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</si>
  <si>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</si>
  <si>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</si>
  <si>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</si>
  <si>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</si>
  <si>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</si>
  <si>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</si>
  <si>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</si>
  <si>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</si>
  <si>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</si>
  <si>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</si>
  <si>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</si>
  <si>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</si>
  <si>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</si>
  <si>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</si>
  <si>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</si>
  <si>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</si>
  <si>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</si>
  <si>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</si>
  <si>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</si>
  <si>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</si>
  <si>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</si>
  <si>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</si>
  <si>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</si>
  <si>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</si>
  <si>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</si>
  <si>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</si>
  <si>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</si>
  <si>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</si>
  <si>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</si>
  <si>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</si>
  <si>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</si>
  <si>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</si>
  <si>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</si>
  <si>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</si>
  <si>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</si>
  <si>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</si>
  <si>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</si>
  <si>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</si>
  <si>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</si>
  <si>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</si>
  <si>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</si>
  <si>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</si>
  <si>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</si>
  <si>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</si>
  <si>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</si>
  <si>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</si>
  <si>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</si>
  <si>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</si>
  <si>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</si>
  <si>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</si>
  <si>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</si>
  <si>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</si>
  <si>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</si>
  <si>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</si>
  <si>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</si>
  <si>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</si>
  <si>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</si>
  <si>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</si>
  <si>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</si>
  <si>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</si>
  <si>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</si>
  <si>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</si>
  <si>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</si>
  <si>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</si>
  <si>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</si>
  <si>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</si>
  <si>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</si>
  <si>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</si>
  <si>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</si>
  <si>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</si>
  <si>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</si>
  <si>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</si>
  <si>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</si>
  <si>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</si>
  <si>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</si>
  <si>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</si>
  <si>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</si>
  <si>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</si>
  <si>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</si>
  <si>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</si>
  <si>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</si>
  <si>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</si>
  <si>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</si>
  <si>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</si>
  <si>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</si>
  <si>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</si>
  <si>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</si>
  <si>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</si>
  <si>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</si>
  <si>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</si>
  <si>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</si>
  <si>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</si>
  <si>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</si>
  <si>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</si>
  <si>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</si>
  <si>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</si>
  <si>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</si>
  <si>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</si>
  <si>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</si>
  <si>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</si>
  <si>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</si>
  <si>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</si>
  <si>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</si>
  <si>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</si>
  <si>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</si>
  <si>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</si>
  <si>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</si>
  <si>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</si>
  <si>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</si>
  <si>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</si>
  <si>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</si>
  <si>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</si>
  <si>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</si>
  <si>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</si>
  <si>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</si>
  <si>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</si>
  <si>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</si>
  <si>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</si>
  <si>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</si>
  <si>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</si>
  <si>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</si>
  <si>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</si>
  <si>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</si>
  <si>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</si>
  <si>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</si>
  <si>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</si>
  <si>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</si>
  <si>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</si>
  <si>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</si>
  <si>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</si>
  <si>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</si>
  <si>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</si>
  <si>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</si>
  <si>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</si>
  <si>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</si>
  <si>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</si>
  <si>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</si>
  <si>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</si>
  <si>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</si>
  <si>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</si>
  <si>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</si>
  <si>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</si>
  <si>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</si>
  <si>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</si>
  <si>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</si>
  <si>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</si>
  <si>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</si>
  <si>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</si>
  <si>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</si>
  <si>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</si>
  <si>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</si>
  <si>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</si>
  <si>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</si>
  <si>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</si>
  <si>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</si>
  <si>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</si>
  <si>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</si>
  <si>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</si>
  <si>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</si>
  <si>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</si>
  <si>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</si>
  <si>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</si>
  <si>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</si>
  <si>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</si>
  <si>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</si>
  <si>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</si>
  <si>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</si>
  <si>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</si>
  <si>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</si>
  <si>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</si>
  <si>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</si>
  <si>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</si>
  <si>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</si>
  <si>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</si>
  <si>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</si>
  <si>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</si>
  <si>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</si>
  <si>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</si>
  <si>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</si>
  <si>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</si>
  <si>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</si>
  <si>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</si>
  <si>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</si>
  <si>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</si>
  <si>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</si>
  <si>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</si>
  <si>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</si>
  <si>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</si>
  <si>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</si>
  <si>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</si>
  <si>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</si>
  <si>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</si>
  <si>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</si>
  <si>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</si>
  <si>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</si>
  <si>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</si>
  <si>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</si>
  <si>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</si>
  <si>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</si>
  <si>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</si>
  <si>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</si>
  <si>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</si>
  <si>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</si>
  <si>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</si>
  <si>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</si>
  <si>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</si>
  <si>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</si>
  <si>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</si>
  <si>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</si>
  <si>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</si>
  <si>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</si>
  <si>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</si>
  <si>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</si>
  <si>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</si>
  <si>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</si>
  <si>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</si>
  <si>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</si>
  <si>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</si>
  <si>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</si>
  <si>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</si>
  <si>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</si>
  <si>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</si>
  <si>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</si>
  <si>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</si>
  <si>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</si>
  <si>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</si>
  <si>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</si>
  <si>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</si>
  <si>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</si>
  <si>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</si>
  <si>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</si>
  <si>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</si>
  <si>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</si>
  <si>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</si>
  <si>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</si>
  <si>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</si>
  <si>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</si>
  <si>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</si>
  <si>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</si>
  <si>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</si>
  <si>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</si>
  <si>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</si>
  <si>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</si>
  <si>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</si>
  <si>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</si>
  <si>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</si>
  <si>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</si>
  <si>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</si>
  <si>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</si>
  <si>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</si>
  <si>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</si>
  <si>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</si>
  <si>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</si>
  <si>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</si>
  <si>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</si>
  <si>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</si>
  <si>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</si>
  <si>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</si>
  <si>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</si>
  <si>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</si>
  <si>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</si>
  <si>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</si>
  <si>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</si>
  <si>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</si>
  <si>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</si>
  <si>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</si>
  <si>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</si>
  <si>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</si>
  <si>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</si>
  <si>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</si>
  <si>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</si>
  <si>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</si>
  <si>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</si>
  <si>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</si>
  <si>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</si>
  <si>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</si>
  <si>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</si>
  <si>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</si>
  <si>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</si>
  <si>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</si>
  <si>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</si>
  <si>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</si>
  <si>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</si>
  <si>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</si>
  <si>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</si>
  <si>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</si>
  <si>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</si>
  <si>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</si>
  <si>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</si>
  <si>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</si>
  <si>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</si>
  <si>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</si>
  <si>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</si>
  <si>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</si>
  <si>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</si>
  <si>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</si>
  <si>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</si>
  <si>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</si>
  <si>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</si>
  <si>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</si>
  <si>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</si>
  <si>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</si>
  <si>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</si>
  <si>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</si>
  <si>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</si>
  <si>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</si>
  <si>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</si>
  <si>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</si>
  <si>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</si>
  <si>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</si>
  <si>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</si>
  <si>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</si>
  <si>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</si>
  <si>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</si>
  <si>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</si>
  <si>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</si>
  <si>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</si>
  <si>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</si>
  <si>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</si>
  <si>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</si>
  <si>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</si>
  <si>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</si>
  <si>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</si>
  <si>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</si>
  <si>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</si>
  <si>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</si>
  <si>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</si>
  <si>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</si>
  <si>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</si>
  <si>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</si>
  <si>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</si>
  <si>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</si>
  <si>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</si>
  <si>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</si>
  <si>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</si>
  <si>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</si>
  <si>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</si>
  <si>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</si>
  <si>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</si>
  <si>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</si>
  <si>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</si>
  <si>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</si>
  <si>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</si>
  <si>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</si>
  <si>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</si>
  <si>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</si>
  <si>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</si>
  <si>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</si>
  <si>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</si>
  <si>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</si>
  <si>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</si>
  <si>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</si>
  <si>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</si>
  <si>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</si>
  <si>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</si>
  <si>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</si>
  <si>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</si>
  <si>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</si>
  <si>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</si>
  <si>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</si>
  <si>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</si>
  <si>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</si>
  <si>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</si>
  <si>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</si>
  <si>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</si>
  <si>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</si>
  <si>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</si>
  <si>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</si>
  <si>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</si>
  <si>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</si>
  <si>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</si>
  <si>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</si>
  <si>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</si>
  <si>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</si>
  <si>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</si>
  <si>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</si>
  <si>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</si>
  <si>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</si>
  <si>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</si>
  <si>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</si>
  <si>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</si>
  <si>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</si>
  <si>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</si>
  <si>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</si>
  <si>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</si>
  <si>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</si>
  <si>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</si>
  <si>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</si>
  <si>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</si>
  <si>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</si>
  <si>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</si>
  <si>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</si>
  <si>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</si>
  <si>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</si>
  <si>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</si>
  <si>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</si>
  <si>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</si>
  <si>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</si>
  <si>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</si>
  <si>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</si>
  <si>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</si>
  <si>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</si>
  <si>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</si>
  <si>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</si>
  <si>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</si>
  <si>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</si>
  <si>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</si>
  <si>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</si>
  <si>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</si>
  <si>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</si>
  <si>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</si>
  <si>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</si>
  <si>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</si>
  <si>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</si>
  <si>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</si>
  <si>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</si>
  <si>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</si>
  <si>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</si>
  <si>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</si>
  <si>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</si>
  <si>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</si>
  <si>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</si>
  <si>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</si>
  <si>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</si>
  <si>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</si>
  <si>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</si>
  <si>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</si>
  <si>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</si>
  <si>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</si>
  <si>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</si>
  <si>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</si>
  <si>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</si>
  <si>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</si>
  <si>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</si>
  <si>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</si>
  <si>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</si>
  <si>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</si>
  <si>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</si>
  <si>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</si>
  <si>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</si>
  <si>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</si>
  <si>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</si>
  <si>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</si>
  <si>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</si>
  <si>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</si>
  <si>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</si>
  <si>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</si>
  <si>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</si>
  <si>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</si>
  <si>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</si>
  <si>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</si>
  <si>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</si>
  <si>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</si>
  <si>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</si>
  <si>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</si>
  <si>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</si>
  <si>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</si>
  <si>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</si>
  <si>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</si>
  <si>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</si>
  <si>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</si>
  <si>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</si>
  <si>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</si>
  <si>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</si>
  <si>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</si>
  <si>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</si>
  <si>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</si>
  <si>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</si>
  <si>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</si>
  <si>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</si>
  <si>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</si>
  <si>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</si>
  <si>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</si>
  <si>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</si>
  <si>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</si>
  <si>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</si>
  <si>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</si>
  <si>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</si>
  <si>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</si>
  <si>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</si>
  <si>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</si>
  <si>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</si>
  <si>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</si>
  <si>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</si>
  <si>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</si>
  <si>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</si>
  <si>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</si>
  <si>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</si>
  <si>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</si>
  <si>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</si>
  <si>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</si>
  <si>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</si>
  <si>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</si>
  <si>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</si>
  <si>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</si>
  <si>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</si>
  <si>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</si>
  <si>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</si>
  <si>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</si>
  <si>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</si>
  <si>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</si>
  <si>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</si>
  <si>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</si>
  <si>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</si>
  <si>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</si>
  <si>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</si>
  <si>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</si>
  <si>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</si>
  <si>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</si>
  <si>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</si>
  <si>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</si>
  <si>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</si>
  <si>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</si>
  <si>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</si>
  <si>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</si>
  <si>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</si>
  <si>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</si>
  <si>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</si>
  <si>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</si>
  <si>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</si>
  <si>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</si>
  <si>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</si>
  <si>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</si>
  <si>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</si>
  <si>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</si>
  <si>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</si>
  <si>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</si>
  <si>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</si>
  <si>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</si>
  <si>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</si>
  <si>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</si>
  <si>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</si>
  <si>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</si>
  <si>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</si>
  <si>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</si>
  <si>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</si>
  <si>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</si>
  <si>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</si>
  <si>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</si>
  <si>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</si>
  <si>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</si>
  <si>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</si>
  <si>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</si>
  <si>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</si>
  <si>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</si>
  <si>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</si>
  <si>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</si>
  <si>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</si>
  <si>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</si>
  <si>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</si>
  <si>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</si>
  <si>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</si>
  <si>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</si>
  <si>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</si>
  <si>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</si>
  <si>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</si>
  <si>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</si>
  <si>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</si>
  <si>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</si>
  <si>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</si>
  <si>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</si>
  <si>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</si>
  <si>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</si>
  <si>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</si>
  <si>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</si>
  <si>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</si>
  <si>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</si>
  <si>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</si>
  <si>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</si>
  <si>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</si>
  <si>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</si>
  <si>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</si>
  <si>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</si>
  <si>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</si>
  <si>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</si>
  <si>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</si>
  <si>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</si>
  <si>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</si>
  <si>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</si>
  <si>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</si>
  <si>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</si>
  <si>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</si>
  <si>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</si>
  <si>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</si>
  <si>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</si>
  <si>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</si>
  <si>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</si>
  <si>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</si>
  <si>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</si>
  <si>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</si>
  <si>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</si>
  <si>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</si>
  <si>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</si>
  <si>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</si>
  <si>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</si>
  <si>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</si>
  <si>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</si>
  <si>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</si>
  <si>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</si>
  <si>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</si>
  <si>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</si>
  <si>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</si>
  <si>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</si>
  <si>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</si>
  <si>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</si>
  <si>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</si>
  <si>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</si>
  <si>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</si>
  <si>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</si>
  <si>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</si>
  <si>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</si>
  <si>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</si>
  <si>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</si>
  <si>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</si>
  <si>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</si>
  <si>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</si>
  <si>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</si>
  <si>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</si>
  <si>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</si>
  <si>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</si>
  <si>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</si>
  <si>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</si>
  <si>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</si>
  <si>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</si>
  <si>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</si>
  <si>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</si>
  <si>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</si>
  <si>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</si>
  <si>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</si>
  <si>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</si>
  <si>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</si>
  <si>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</si>
  <si>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</si>
  <si>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</si>
  <si>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</si>
  <si>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</si>
  <si>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</si>
  <si>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</si>
  <si>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</si>
  <si>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</si>
  <si>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</si>
  <si>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</si>
  <si>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</si>
  <si>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</si>
  <si>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</si>
  <si>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</si>
  <si>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</si>
  <si>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</si>
  <si>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</si>
  <si>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</si>
  <si>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</si>
  <si>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</si>
  <si>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</si>
  <si>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</si>
  <si>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</si>
  <si>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</si>
  <si>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</si>
  <si>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</si>
  <si>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</si>
  <si>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</si>
  <si>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</si>
  <si>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</si>
  <si>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</si>
  <si>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</si>
  <si>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</si>
  <si>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</si>
  <si>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</si>
  <si>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</si>
  <si>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</si>
  <si>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</si>
  <si>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</si>
  <si>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</si>
  <si>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</si>
  <si>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</si>
  <si>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</si>
  <si>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</si>
  <si>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</si>
  <si>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</si>
  <si>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</si>
  <si>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</si>
  <si>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</si>
  <si>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</si>
  <si>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</si>
  <si>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</si>
  <si>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</si>
  <si>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</si>
  <si>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</si>
  <si>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</si>
  <si>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</si>
  <si>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</si>
  <si>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</si>
  <si>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</si>
  <si>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</si>
  <si>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</si>
  <si>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</si>
  <si>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</si>
  <si>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</si>
  <si>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</si>
  <si>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</si>
  <si>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</si>
  <si>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</si>
  <si>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</si>
  <si>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</si>
  <si>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</si>
  <si>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</si>
  <si>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</si>
  <si>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</si>
  <si>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</si>
  <si>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</si>
  <si>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</si>
  <si>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</si>
  <si>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</si>
  <si>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</si>
  <si>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</si>
  <si>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</si>
  <si>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</si>
  <si>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</si>
  <si>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</si>
  <si>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</si>
  <si>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</si>
  <si>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</si>
  <si>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</si>
  <si>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</si>
  <si>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</si>
  <si>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</si>
  <si>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</si>
  <si>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</si>
  <si>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</si>
  <si>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</si>
  <si>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</si>
  <si>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</si>
  <si>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</si>
  <si>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</si>
  <si>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</si>
  <si>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</si>
  <si>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</si>
  <si>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</si>
  <si>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</si>
  <si>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</si>
  <si>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</si>
  <si>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</si>
  <si>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</si>
  <si>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</si>
  <si>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</si>
  <si>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</si>
  <si>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</si>
  <si>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</si>
  <si>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</si>
  <si>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</si>
  <si>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</si>
  <si>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</si>
  <si>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</si>
  <si>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</si>
  <si>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</si>
  <si>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</si>
  <si>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</si>
  <si>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</si>
  <si>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</si>
  <si>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</si>
  <si>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</si>
  <si>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</si>
  <si>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</si>
  <si>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</si>
  <si>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</si>
  <si>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</si>
  <si>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</si>
  <si>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</si>
  <si>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</si>
  <si>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</si>
  <si>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</si>
  <si>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</si>
  <si>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</si>
  <si>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</si>
  <si>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</si>
  <si>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</si>
  <si>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</si>
  <si>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</si>
  <si>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</si>
  <si>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</si>
  <si>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</si>
  <si>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</si>
  <si>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</si>
  <si>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</si>
  <si>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</si>
  <si>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</si>
  <si>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</si>
  <si>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</si>
  <si>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</si>
  <si>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</si>
  <si>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</si>
  <si>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</si>
  <si>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</si>
  <si>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</si>
  <si>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</si>
  <si>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</si>
  <si>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</si>
  <si>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</si>
  <si>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</si>
  <si>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</si>
  <si>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</si>
  <si>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</si>
  <si>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</si>
  <si>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</si>
  <si>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</si>
  <si>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</si>
  <si>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</si>
  <si>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</si>
  <si>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</si>
  <si>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</si>
  <si>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</si>
  <si>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</si>
  <si>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</si>
  <si>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</si>
  <si>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</si>
  <si>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</si>
  <si>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</si>
  <si>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</si>
  <si>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</si>
  <si>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</si>
  <si>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</si>
  <si>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</si>
  <si>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</si>
  <si>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</si>
  <si>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</si>
  <si>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</si>
  <si>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</si>
  <si>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</si>
  <si>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</si>
  <si>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</si>
  <si>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</si>
  <si>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</si>
  <si>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</si>
  <si>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</si>
  <si>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</si>
  <si>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</si>
  <si>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</si>
  <si>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</si>
  <si>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</si>
  <si>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</si>
  <si>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</si>
  <si>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</si>
  <si>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</si>
  <si>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</si>
  <si>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</si>
  <si>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</si>
  <si>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</si>
  <si>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</si>
  <si>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</si>
  <si>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</si>
  <si>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</si>
  <si>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</si>
  <si>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</si>
  <si>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</si>
  <si>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</si>
  <si>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</si>
  <si>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</si>
  <si>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</si>
  <si>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</si>
  <si>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</si>
  <si>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</si>
  <si>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</si>
  <si>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</si>
  <si>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</si>
  <si>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</si>
  <si>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</si>
  <si>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</si>
  <si>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</si>
  <si>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</si>
  <si>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</si>
  <si>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</si>
  <si>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</si>
  <si>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</si>
  <si>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</si>
  <si>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</si>
  <si>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</si>
  <si>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</si>
  <si>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</si>
  <si>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</si>
  <si>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</si>
  <si>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</si>
  <si>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</si>
  <si>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</si>
  <si>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</si>
  <si>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</si>
  <si>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</si>
  <si>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</si>
  <si>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</si>
  <si>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</si>
  <si>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</si>
  <si>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</si>
  <si>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</si>
  <si>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</si>
  <si>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</si>
  <si>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</si>
  <si>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</si>
  <si>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</si>
  <si>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</si>
  <si>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</si>
  <si>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</si>
  <si>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</si>
  <si>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</si>
  <si>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</si>
  <si>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</si>
  <si>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</si>
  <si>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</si>
  <si>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</si>
  <si>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</si>
  <si>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</si>
  <si>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</si>
  <si>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</si>
  <si>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</si>
  <si>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</si>
  <si>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</si>
  <si>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</si>
  <si>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</si>
  <si>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</si>
  <si>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</si>
  <si>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</si>
  <si>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</si>
  <si>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</si>
  <si>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</si>
  <si>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</si>
  <si>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</si>
  <si>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</si>
  <si>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</si>
  <si>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</si>
  <si>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</si>
  <si>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</si>
  <si>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</si>
  <si>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</si>
  <si>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</si>
  <si>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</si>
  <si>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</si>
  <si>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</si>
  <si>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</si>
  <si>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</si>
  <si>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</si>
  <si>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</si>
  <si>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</si>
  <si>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</si>
  <si>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</si>
  <si>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</si>
  <si>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</si>
  <si>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</si>
  <si>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</si>
  <si>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</si>
  <si>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</si>
  <si>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</si>
  <si>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</si>
  <si>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</si>
  <si>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</si>
  <si>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</si>
  <si>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</si>
  <si>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</si>
  <si>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</si>
  <si>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</si>
  <si>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</si>
  <si>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</si>
  <si>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</si>
  <si>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</si>
  <si>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</si>
  <si>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</si>
  <si>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</si>
  <si>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</si>
  <si>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</si>
  <si>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</si>
  <si>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</si>
  <si>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</si>
  <si>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</si>
  <si>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</si>
  <si>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</si>
  <si>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</si>
  <si>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</si>
  <si>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</si>
  <si>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</si>
  <si>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</si>
  <si>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</si>
  <si>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</si>
  <si>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</si>
  <si>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</si>
  <si>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</si>
  <si>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</si>
  <si>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</si>
  <si>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</si>
  <si>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</si>
  <si>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</si>
  <si>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</si>
  <si>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</si>
  <si>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</si>
  <si>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</si>
  <si>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</si>
  <si>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</si>
  <si>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</si>
  <si>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</si>
  <si>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</si>
  <si>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</si>
  <si>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</si>
  <si>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</si>
  <si>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</si>
  <si>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</si>
  <si>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</si>
  <si>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</si>
  <si>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</si>
  <si>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</si>
  <si>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</si>
  <si>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</si>
  <si>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</si>
  <si>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</si>
  <si>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</si>
  <si>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</si>
  <si>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</si>
  <si>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</si>
  <si>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</si>
  <si>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</si>
  <si>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</si>
  <si>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</si>
  <si>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</si>
  <si>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</si>
  <si>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</si>
  <si>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</si>
  <si>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</si>
  <si>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</si>
  <si>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</si>
  <si>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</si>
  <si>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</si>
  <si>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</si>
  <si>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</si>
  <si>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</si>
  <si>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</si>
  <si>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</si>
  <si>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</si>
  <si>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</si>
  <si>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</si>
  <si>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</si>
  <si>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</si>
  <si>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</si>
  <si>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</si>
  <si>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</si>
  <si>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</si>
  <si>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</si>
  <si>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</si>
  <si>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</si>
  <si>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</si>
  <si>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</si>
  <si>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</si>
  <si>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</si>
  <si>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</si>
  <si>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</si>
  <si>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</si>
  <si>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</si>
  <si>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</si>
  <si>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</si>
  <si>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</si>
  <si>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</si>
  <si>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</si>
  <si>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</si>
  <si>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</si>
  <si>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</si>
  <si>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</si>
  <si>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</si>
  <si>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</si>
  <si>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</si>
  <si>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</si>
  <si>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</si>
  <si>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</si>
  <si>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</si>
  <si>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</si>
  <si>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</si>
  <si>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</si>
  <si>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</si>
  <si>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</si>
  <si>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</si>
  <si>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</si>
  <si>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</si>
  <si>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</si>
  <si>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</si>
  <si>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</si>
  <si>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</si>
  <si>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</si>
  <si>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</si>
  <si>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</si>
  <si>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</si>
  <si>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</si>
  <si>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</si>
  <si>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</si>
  <si>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</si>
  <si>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</si>
  <si>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</si>
  <si>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</si>
  <si>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</si>
  <si>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</si>
  <si>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</si>
  <si>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</si>
  <si>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</si>
  <si>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</si>
  <si>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</si>
  <si>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</si>
  <si>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</si>
  <si>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</si>
  <si>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</si>
  <si>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</si>
  <si>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</si>
  <si>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</si>
  <si>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</si>
  <si>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</si>
  <si>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</si>
  <si>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</si>
  <si>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</si>
  <si>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</si>
  <si>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</si>
  <si>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</si>
  <si>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</si>
  <si>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</si>
  <si>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</si>
  <si>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</si>
  <si>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</si>
  <si>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</si>
  <si>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</si>
  <si>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</si>
  <si>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</si>
  <si>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</si>
  <si>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</si>
  <si>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</si>
  <si>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</si>
  <si>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</si>
  <si>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</si>
  <si>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</si>
  <si>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</si>
  <si>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</si>
  <si>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</si>
  <si>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</si>
  <si>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</si>
  <si>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</si>
  <si>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</si>
  <si>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</si>
  <si>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</si>
  <si>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</si>
  <si>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</si>
  <si>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</si>
  <si>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</si>
  <si>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</si>
  <si>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</si>
  <si>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</si>
  <si>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</si>
  <si>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</si>
  <si>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</si>
  <si>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</si>
  <si>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</si>
  <si>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</si>
  <si>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</si>
  <si>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</si>
  <si>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</si>
  <si>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</si>
  <si>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</si>
  <si>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</si>
  <si>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</si>
  <si>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</si>
  <si>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</si>
  <si>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</si>
  <si>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</si>
  <si>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</si>
  <si>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</si>
  <si>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</si>
  <si>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</si>
  <si>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</si>
  <si>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</si>
  <si>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</si>
  <si>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</si>
  <si>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</si>
  <si>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</si>
  <si>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</si>
  <si>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</si>
  <si>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</si>
  <si>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</si>
  <si>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</si>
  <si>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</si>
  <si>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</si>
  <si>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</si>
  <si>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</si>
  <si>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</si>
  <si>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</si>
  <si>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</si>
  <si>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</si>
  <si>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</si>
  <si>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</si>
  <si>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</si>
  <si>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</si>
  <si>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</si>
  <si>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</si>
  <si>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</si>
  <si>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</si>
  <si>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</si>
  <si>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</si>
  <si>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</si>
  <si>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</si>
  <si>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</si>
  <si>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</si>
  <si>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</si>
  <si>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</si>
  <si>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</si>
  <si>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</si>
  <si>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</si>
  <si>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</si>
  <si>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</si>
  <si>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</si>
  <si>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</si>
  <si>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</si>
  <si>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</si>
  <si>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</si>
  <si>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</si>
  <si>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</si>
  <si>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</si>
  <si>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</si>
  <si>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</si>
  <si>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</si>
  <si>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</si>
  <si>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</si>
  <si>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</si>
  <si>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</si>
  <si>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</si>
  <si>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</si>
  <si>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</si>
  <si>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</si>
  <si>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</si>
  <si>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</si>
  <si>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</si>
  <si>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</si>
  <si>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</si>
  <si>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</si>
  <si>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</si>
  <si>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</si>
  <si>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</si>
  <si>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</si>
  <si>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</si>
  <si>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</si>
  <si>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</si>
  <si>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</si>
  <si>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</si>
  <si>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</si>
  <si>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</si>
  <si>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</si>
  <si>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</si>
  <si>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</si>
  <si>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</si>
  <si>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</si>
  <si>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</si>
  <si>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</si>
  <si>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</si>
  <si>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</si>
  <si>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</si>
  <si>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</si>
  <si>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</si>
  <si>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</si>
  <si>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</si>
  <si>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</si>
  <si>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</si>
  <si>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</si>
  <si>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</si>
  <si>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</si>
  <si>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</si>
  <si>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</si>
  <si>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</si>
  <si>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</si>
  <si>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</si>
  <si>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</si>
  <si>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</si>
  <si>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</si>
  <si>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</si>
  <si>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</si>
  <si>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</si>
  <si>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</si>
  <si>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</si>
  <si>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</si>
  <si>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</si>
  <si>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</si>
  <si>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</si>
  <si>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</si>
  <si>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</si>
  <si>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</si>
  <si>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</si>
  <si>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</si>
  <si>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</si>
  <si>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</si>
  <si>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</si>
  <si>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</si>
  <si>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</si>
  <si>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</si>
  <si>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</si>
  <si>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</si>
  <si>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</si>
  <si>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</si>
  <si>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</si>
  <si>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</si>
  <si>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</si>
  <si>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</si>
  <si>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</si>
  <si>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</si>
  <si>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</si>
  <si>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</si>
  <si>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</si>
  <si>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</si>
  <si>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</si>
  <si>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</si>
  <si>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</si>
  <si>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</si>
  <si>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</si>
  <si>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</si>
  <si>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</si>
  <si>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</si>
  <si>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</si>
  <si>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</si>
  <si>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</si>
  <si>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</si>
  <si>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</si>
  <si>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</si>
  <si>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</si>
  <si>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</si>
  <si>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</si>
  <si>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</si>
  <si>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</si>
  <si>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</si>
  <si>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</si>
  <si>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</si>
  <si>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</si>
  <si>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</si>
  <si>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</si>
  <si>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</si>
  <si>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</si>
  <si>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</si>
  <si>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</si>
  <si>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</si>
  <si>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</si>
  <si>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</si>
  <si>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</si>
  <si>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</si>
  <si>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</si>
  <si>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</si>
  <si>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</si>
  <si>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</si>
  <si>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</si>
  <si>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</si>
  <si>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</si>
  <si>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</si>
  <si>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</si>
  <si>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</si>
  <si>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</si>
  <si>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</si>
  <si>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</si>
  <si>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</si>
  <si>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</si>
  <si>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</si>
  <si>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</si>
  <si>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</si>
  <si>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</si>
  <si>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</si>
  <si>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</si>
  <si>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</si>
  <si>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</si>
  <si>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</si>
  <si>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</si>
  <si>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</si>
  <si>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</si>
  <si>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</si>
  <si>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</si>
  <si>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</si>
  <si>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</si>
  <si>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</si>
  <si>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</si>
  <si>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</si>
  <si>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</si>
  <si>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</si>
  <si>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</si>
  <si>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</si>
  <si>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</si>
  <si>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</si>
  <si>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</si>
  <si>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</si>
  <si>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</si>
  <si>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</si>
  <si>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</si>
  <si>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</si>
  <si>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</si>
  <si>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</si>
  <si>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</si>
  <si>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</si>
  <si>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</si>
  <si>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</si>
  <si>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</si>
  <si>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</si>
  <si>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</si>
  <si>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</si>
  <si>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</si>
  <si>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</si>
  <si>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</si>
  <si>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</si>
  <si>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</si>
  <si>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</si>
  <si>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</si>
  <si>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</si>
  <si>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</si>
  <si>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</si>
  <si>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</si>
  <si>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</si>
  <si>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</si>
  <si>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</si>
  <si>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</si>
  <si>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</si>
  <si>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</si>
  <si>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</si>
  <si>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</si>
  <si>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</si>
  <si>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</si>
  <si>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</si>
  <si>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</si>
  <si>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</si>
  <si>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</si>
  <si>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</si>
  <si>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</si>
  <si>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</si>
  <si>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</si>
  <si>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</si>
  <si>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</si>
  <si>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</si>
  <si>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</si>
  <si>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</si>
  <si>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</si>
  <si>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</si>
  <si>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</si>
  <si>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</si>
  <si>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</si>
  <si>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</si>
  <si>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</si>
  <si>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</si>
  <si>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</si>
  <si>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</si>
  <si>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</si>
  <si>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</si>
  <si>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</si>
  <si>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</si>
  <si>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</si>
  <si>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</si>
  <si>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</si>
  <si>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</si>
  <si>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</si>
  <si>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</si>
  <si>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</si>
  <si>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</si>
  <si>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</si>
  <si>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</si>
  <si>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</si>
  <si>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</si>
  <si>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</si>
  <si>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</si>
  <si>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</si>
  <si>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</si>
  <si>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</si>
  <si>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</si>
  <si>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</si>
  <si>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</si>
  <si>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</si>
  <si>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</si>
  <si>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</si>
  <si>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</si>
  <si>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</si>
  <si>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</si>
  <si>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</si>
  <si>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</si>
  <si>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</si>
  <si>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</si>
  <si>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</si>
  <si>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</si>
  <si>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</si>
  <si>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</si>
  <si>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</si>
  <si>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</si>
  <si>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</si>
  <si>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</si>
  <si>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</si>
  <si>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</si>
  <si>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</si>
  <si>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</si>
  <si>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</si>
  <si>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</si>
  <si>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</si>
  <si>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</si>
  <si>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</si>
  <si>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</si>
  <si>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</si>
  <si>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</si>
  <si>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</si>
  <si>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</si>
  <si>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</si>
  <si>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</si>
  <si>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</si>
  <si>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</si>
  <si>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</si>
  <si>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</si>
  <si>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</si>
  <si>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</si>
  <si>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</si>
  <si>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</si>
  <si>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</si>
  <si>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</si>
  <si>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</si>
  <si>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</si>
  <si>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</si>
  <si>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</si>
  <si>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</si>
  <si>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</si>
  <si>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</si>
  <si>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</si>
  <si>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</si>
  <si>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</si>
  <si>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</si>
  <si>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</si>
  <si>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</si>
  <si>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</si>
  <si>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</si>
  <si>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</si>
  <si>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</si>
  <si>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</si>
  <si>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</si>
  <si>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</si>
  <si>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</si>
  <si>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</si>
  <si>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</si>
  <si>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</si>
  <si>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</si>
  <si>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</si>
  <si>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</si>
  <si>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</si>
  <si>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</si>
  <si>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</si>
  <si>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</si>
  <si>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</si>
  <si>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</si>
  <si>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</si>
  <si>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</si>
  <si>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</si>
  <si>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</si>
  <si>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</si>
  <si>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</si>
  <si>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</si>
  <si>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</si>
  <si>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</si>
  <si>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</si>
  <si>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</si>
  <si>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</si>
  <si>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</si>
  <si>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</si>
  <si>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</si>
  <si>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</si>
  <si>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</si>
  <si>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</si>
  <si>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</si>
  <si>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</si>
  <si>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</si>
  <si>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</si>
  <si>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</si>
  <si>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</si>
  <si>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</si>
  <si>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</si>
  <si>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</si>
  <si>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</si>
  <si>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</si>
  <si>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</si>
  <si>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</si>
  <si>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</si>
  <si>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</si>
  <si>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</si>
  <si>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</si>
  <si>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</si>
  <si>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</si>
  <si>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</si>
  <si>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</si>
  <si>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</si>
  <si>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</si>
  <si>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</si>
  <si>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</si>
  <si>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</si>
  <si>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</si>
  <si>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</si>
  <si>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</si>
  <si>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</si>
  <si>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</si>
  <si>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</si>
  <si>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</si>
  <si>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</si>
  <si>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</si>
  <si>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</si>
  <si>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</si>
  <si>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</si>
  <si>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</si>
  <si>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</si>
  <si>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</si>
  <si>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</si>
  <si>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</si>
  <si>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</si>
  <si>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</si>
  <si>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</si>
  <si>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</si>
  <si>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</si>
  <si>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</si>
  <si>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</si>
  <si>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</si>
  <si>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</si>
  <si>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</si>
  <si>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</si>
  <si>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</si>
  <si>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</si>
  <si>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</si>
  <si>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</si>
  <si>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</si>
  <si>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</si>
  <si>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</si>
  <si>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</si>
  <si>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</si>
  <si>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</si>
  <si>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</si>
  <si>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</si>
  <si>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</si>
  <si>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</si>
  <si>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</si>
  <si>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</si>
  <si>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</si>
  <si>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</si>
  <si>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</si>
  <si>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</si>
  <si>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</si>
  <si>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</si>
  <si>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</si>
  <si>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</si>
  <si>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</si>
  <si>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</si>
  <si>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</si>
  <si>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</si>
  <si>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</si>
  <si>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</si>
  <si>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</si>
  <si>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</si>
  <si>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</si>
  <si>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</si>
  <si>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</si>
  <si>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</si>
  <si>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</si>
  <si>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</si>
  <si>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</si>
  <si>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</si>
  <si>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</si>
  <si>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</si>
  <si>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</si>
  <si>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</si>
  <si>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</si>
  <si>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</si>
  <si>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</si>
  <si>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</si>
  <si>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</si>
  <si>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</si>
  <si>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</si>
  <si>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</si>
  <si>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</si>
  <si>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</si>
  <si>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</si>
  <si>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</si>
  <si>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</si>
  <si>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</si>
  <si>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</si>
  <si>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</si>
  <si>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</si>
  <si>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</si>
  <si>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</si>
  <si>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</si>
  <si>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</si>
  <si>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</si>
  <si>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</si>
  <si>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</si>
  <si>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</si>
  <si>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</si>
  <si>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</si>
  <si>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</si>
  <si>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</si>
  <si>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</si>
  <si>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</si>
  <si>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</si>
  <si>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</si>
  <si>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</si>
  <si>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</si>
  <si>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</si>
  <si>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</si>
  <si>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</si>
  <si>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</si>
  <si>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</si>
  <si>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</si>
  <si>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</si>
  <si>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</si>
  <si>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</si>
  <si>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</si>
  <si>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</si>
  <si>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</si>
  <si>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</si>
  <si>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</si>
  <si>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</si>
  <si>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</si>
  <si>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</si>
  <si>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</si>
  <si>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</si>
  <si>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</si>
  <si>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</si>
  <si>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</si>
  <si>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</si>
  <si>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</si>
  <si>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</si>
  <si>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</si>
  <si>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</si>
  <si>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</si>
  <si>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</si>
  <si>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</si>
  <si>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</si>
  <si>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</si>
  <si>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</si>
  <si>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</si>
  <si>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</si>
  <si>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</si>
  <si>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</si>
  <si>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</si>
  <si>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</si>
  <si>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</si>
  <si>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</si>
  <si>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</si>
  <si>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</si>
  <si>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</si>
  <si>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</si>
  <si>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</si>
  <si>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</si>
  <si>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</si>
  <si>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</si>
  <si>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</si>
  <si>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</si>
  <si>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</si>
  <si>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</si>
  <si>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</si>
  <si>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</si>
  <si>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</si>
  <si>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</si>
  <si>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</si>
  <si>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</si>
  <si>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</si>
  <si>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</si>
  <si>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</si>
  <si>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</si>
  <si>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</si>
  <si>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</si>
  <si>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</si>
  <si>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</si>
  <si>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</si>
  <si>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</si>
  <si>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</si>
  <si>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</si>
  <si>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</si>
  <si>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</si>
  <si>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</si>
  <si>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</si>
  <si>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</si>
  <si>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</si>
  <si>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</si>
  <si>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</si>
  <si>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</si>
  <si>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</si>
  <si>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</si>
  <si>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</si>
  <si>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</si>
  <si>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</si>
  <si>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</si>
  <si>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</si>
  <si>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</si>
  <si>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</si>
  <si>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</si>
  <si>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</si>
  <si>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</si>
  <si>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</si>
  <si>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</si>
  <si>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</si>
  <si>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</si>
  <si>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</si>
  <si>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</si>
  <si>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</si>
  <si>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</si>
  <si>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</si>
  <si>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</si>
  <si>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</si>
  <si>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</si>
  <si>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</si>
  <si>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</si>
  <si>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</si>
  <si>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</si>
  <si>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</si>
  <si>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</si>
  <si>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</si>
  <si>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</si>
  <si>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</si>
  <si>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</si>
  <si>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</si>
  <si>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</si>
  <si>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</si>
  <si>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</si>
  <si>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</si>
  <si>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</si>
  <si>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</si>
  <si>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</si>
  <si>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</si>
  <si>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</si>
  <si>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</si>
  <si>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</si>
  <si>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</si>
  <si>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</si>
  <si>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</si>
  <si>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</si>
  <si>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</si>
  <si>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</si>
  <si>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</si>
  <si>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</si>
  <si>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</si>
  <si>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</si>
  <si>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</si>
  <si>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</si>
  <si>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</si>
  <si>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</si>
  <si>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</si>
  <si>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</si>
  <si>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</si>
  <si>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</si>
  <si>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</si>
  <si>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</si>
  <si>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</si>
  <si>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</si>
  <si>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</si>
  <si>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</si>
  <si>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</si>
  <si>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</si>
  <si>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</si>
  <si>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</si>
  <si>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</si>
  <si>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</si>
  <si>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</si>
  <si>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</si>
  <si>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</si>
  <si>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</si>
  <si>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</si>
  <si>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</si>
  <si>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</si>
  <si>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</si>
  <si>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</si>
  <si>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</si>
  <si>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</si>
  <si>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</si>
  <si>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</si>
  <si>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</si>
  <si>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</si>
  <si>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</si>
  <si>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</si>
  <si>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</si>
  <si>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</si>
  <si>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</si>
  <si>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</si>
  <si>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</si>
  <si>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</si>
  <si>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</si>
  <si>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</si>
  <si>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</si>
  <si>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</si>
  <si>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</si>
  <si>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</si>
  <si>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</si>
  <si>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</si>
  <si>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</si>
  <si>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</si>
  <si>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</si>
  <si>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</si>
  <si>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</si>
  <si>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</si>
  <si>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</si>
  <si>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</si>
  <si>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</si>
  <si>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</si>
  <si>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</si>
  <si>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</si>
  <si>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</si>
  <si>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</si>
  <si>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</si>
  <si>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</si>
  <si>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</si>
  <si>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</si>
  <si>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</si>
  <si>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</si>
  <si>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</si>
  <si>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</si>
  <si>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</si>
  <si>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</si>
  <si>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</si>
  <si>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</si>
  <si>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</si>
  <si>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</si>
  <si>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</si>
  <si>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</si>
  <si>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</si>
  <si>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</si>
  <si>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</si>
  <si>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</si>
  <si>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</si>
  <si>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</si>
  <si>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</si>
  <si>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</si>
  <si>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</si>
  <si>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</si>
  <si>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</si>
  <si>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</si>
  <si>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</si>
  <si>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</si>
  <si>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</si>
  <si>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</si>
  <si>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</si>
  <si>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</si>
  <si>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</si>
  <si>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</si>
  <si>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</si>
  <si>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</si>
  <si>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</si>
  <si>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</si>
  <si>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</si>
  <si>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</si>
  <si>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</si>
  <si>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</si>
  <si>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</si>
  <si>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</si>
  <si>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</si>
  <si>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</si>
  <si>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</si>
  <si>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</si>
  <si>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</si>
  <si>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</si>
  <si>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</si>
  <si>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</si>
  <si>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</si>
  <si>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</si>
  <si>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</si>
  <si>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</si>
  <si>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</si>
  <si>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</si>
  <si>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</si>
  <si>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</si>
  <si>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</si>
  <si>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</si>
  <si>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</si>
  <si>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</si>
  <si>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</si>
  <si>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</si>
  <si>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</si>
  <si>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</si>
  <si>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</si>
  <si>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</si>
  <si>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</si>
  <si>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</si>
  <si>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</si>
  <si>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</si>
  <si>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</si>
  <si>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</si>
  <si>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</si>
  <si>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</si>
  <si>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</si>
  <si>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</si>
  <si>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</si>
  <si>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</si>
  <si>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</si>
  <si>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</si>
  <si>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</si>
  <si>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</si>
  <si>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</si>
  <si>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</si>
  <si>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</si>
  <si>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</si>
  <si>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</si>
  <si>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</si>
  <si>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</si>
  <si>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</si>
  <si>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</si>
  <si>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</si>
  <si>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</si>
  <si>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</si>
  <si>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</si>
  <si>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</si>
  <si>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</si>
  <si>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</si>
  <si>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</si>
  <si>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</si>
  <si>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</si>
  <si>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</si>
  <si>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</si>
  <si>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</si>
  <si>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</si>
  <si>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</si>
  <si>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</si>
  <si>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</si>
  <si>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</si>
  <si>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</si>
  <si>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</si>
  <si>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</si>
  <si>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</si>
  <si>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</si>
  <si>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</si>
  <si>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</si>
  <si>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</si>
  <si>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</si>
  <si>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</si>
  <si>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</si>
  <si>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</si>
  <si>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</si>
  <si>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</si>
  <si>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</si>
  <si>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</si>
  <si>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</si>
  <si>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</si>
  <si>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</si>
  <si>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</si>
  <si>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</si>
  <si>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</si>
  <si>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</si>
  <si>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</si>
  <si>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</si>
  <si>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</si>
  <si>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</si>
  <si>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</si>
  <si>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</si>
  <si>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</si>
  <si>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</si>
  <si>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</si>
  <si>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</si>
  <si>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</si>
  <si>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</si>
  <si>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</si>
  <si>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</si>
  <si>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</si>
  <si>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</si>
  <si>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</si>
  <si>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</si>
  <si>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</si>
  <si>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</si>
  <si>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</si>
  <si>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</si>
  <si>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</si>
  <si>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</si>
  <si>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</si>
  <si>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</si>
  <si>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</si>
  <si>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</si>
  <si>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</si>
  <si>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</si>
  <si>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</si>
  <si>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</si>
  <si>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</si>
  <si>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</si>
  <si>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</si>
  <si>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</si>
  <si>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</si>
  <si>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</si>
  <si>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</si>
  <si>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</si>
  <si>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</si>
  <si>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</si>
  <si>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</si>
  <si>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</si>
  <si>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</si>
  <si>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</si>
  <si>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</si>
  <si>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</si>
  <si>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</si>
  <si>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</si>
  <si>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</si>
  <si>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</si>
  <si>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</si>
  <si>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</si>
  <si>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</si>
  <si>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</si>
  <si>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</si>
  <si>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</si>
  <si>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</si>
  <si>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</si>
  <si>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</si>
  <si>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</si>
  <si>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</si>
  <si>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</si>
  <si>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</si>
  <si>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</si>
  <si>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</si>
  <si>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</si>
  <si>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</si>
  <si>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</si>
  <si>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</si>
  <si>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</si>
  <si>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</si>
  <si>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</si>
  <si>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</si>
  <si>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</si>
  <si>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</si>
  <si>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</si>
  <si>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</si>
  <si>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</si>
  <si>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</si>
  <si>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</si>
  <si>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</si>
  <si>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</si>
  <si>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</si>
  <si>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</si>
  <si>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</si>
  <si>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</si>
  <si>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</si>
  <si>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</si>
  <si>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</si>
  <si>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</si>
  <si>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</si>
  <si>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</si>
  <si>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</si>
  <si>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</si>
  <si>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</si>
  <si>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</si>
  <si>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</si>
  <si>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</si>
  <si>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</si>
  <si>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</si>
  <si>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</si>
  <si>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</si>
  <si>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</si>
  <si>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</si>
  <si>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</si>
  <si>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</si>
  <si>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</si>
  <si>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</si>
  <si>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</si>
  <si>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</si>
  <si>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</si>
  <si>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</si>
  <si>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</si>
  <si>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</si>
  <si>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</si>
  <si>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</si>
  <si>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</si>
  <si>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</si>
  <si>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</si>
  <si>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</si>
  <si>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</si>
  <si>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</si>
  <si>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</si>
  <si>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</si>
  <si>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</si>
  <si>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</si>
  <si>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</si>
  <si>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</si>
  <si>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</si>
  <si>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</si>
  <si>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</si>
  <si>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</si>
  <si>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</si>
  <si>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</si>
  <si>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</si>
  <si>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</si>
  <si>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</si>
  <si>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</si>
  <si>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</si>
  <si>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</si>
  <si>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</si>
  <si>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</si>
  <si>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</si>
  <si>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</si>
  <si>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</si>
  <si>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</si>
  <si>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</si>
  <si>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</si>
  <si>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</si>
  <si>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</si>
  <si>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</si>
  <si>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</si>
  <si>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</si>
  <si>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</si>
  <si>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</si>
  <si>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</si>
  <si>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</si>
  <si>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</si>
  <si>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</si>
  <si>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</si>
  <si>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</si>
  <si>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</si>
  <si>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</si>
  <si>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</si>
  <si>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</si>
  <si>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</si>
  <si>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</si>
  <si>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</si>
  <si>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</si>
  <si>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</si>
  <si>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</si>
  <si>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</si>
  <si>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</si>
  <si>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</si>
  <si>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</si>
  <si>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</si>
  <si>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</si>
  <si>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</si>
  <si>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</si>
  <si>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</si>
  <si>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</si>
  <si>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</si>
  <si>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</si>
  <si>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</si>
  <si>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</si>
  <si>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</si>
  <si>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</si>
  <si>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</si>
  <si>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</si>
  <si>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</si>
  <si>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</si>
  <si>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</si>
  <si>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</si>
  <si>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</si>
  <si>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</si>
  <si>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</si>
  <si>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</si>
  <si>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</si>
  <si>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</si>
  <si>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</si>
  <si>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</si>
  <si>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</si>
  <si>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</si>
  <si>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</si>
  <si>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</si>
  <si>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</si>
  <si>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</si>
  <si>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</si>
  <si>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</si>
  <si>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</si>
  <si>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</si>
  <si>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</si>
  <si>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</si>
  <si>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</si>
  <si>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</si>
  <si>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</si>
  <si>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</si>
  <si>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</si>
  <si>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</si>
  <si>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</si>
  <si>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</si>
  <si>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</si>
  <si>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</si>
  <si>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</si>
  <si>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</si>
  <si>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</si>
  <si>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</si>
  <si>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</si>
  <si>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</si>
  <si>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</si>
  <si>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</si>
  <si>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</si>
  <si>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</si>
  <si>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</si>
  <si>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</si>
  <si>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</si>
  <si>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</si>
  <si>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</si>
  <si>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</si>
  <si>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</si>
  <si>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</si>
  <si>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</si>
  <si>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</si>
  <si>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</si>
  <si>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</si>
  <si>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</si>
  <si>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</si>
  <si>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</si>
  <si>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</si>
  <si>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</si>
  <si>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</si>
  <si>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</si>
  <si>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</si>
  <si>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</si>
  <si>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</si>
  <si>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</si>
  <si>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</si>
  <si>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</si>
  <si>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</si>
  <si>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</si>
  <si>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</si>
  <si>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</si>
  <si>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</si>
  <si>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</si>
  <si>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</si>
  <si>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</si>
  <si>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</si>
  <si>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</si>
  <si>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</si>
  <si>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</si>
  <si>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</si>
  <si>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</si>
  <si>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</si>
  <si>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</si>
  <si>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</si>
  <si>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</si>
  <si>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</si>
  <si>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</si>
  <si>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</si>
  <si>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</si>
  <si>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</si>
  <si>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</si>
  <si>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</si>
  <si>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</si>
  <si>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</si>
  <si>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</si>
  <si>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</si>
  <si>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</si>
  <si>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</si>
  <si>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</si>
  <si>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</si>
  <si>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</si>
  <si>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</si>
  <si>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</si>
  <si>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</si>
  <si>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</si>
  <si>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</si>
  <si>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</si>
  <si>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</si>
  <si>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</si>
  <si>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</si>
  <si>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</si>
  <si>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</si>
  <si>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</si>
  <si>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</si>
  <si>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</si>
  <si>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</si>
  <si>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</si>
  <si>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</si>
  <si>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</si>
  <si>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</si>
  <si>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</si>
  <si>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</si>
  <si>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</si>
  <si>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</si>
  <si>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</si>
  <si>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</si>
  <si>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</si>
  <si>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</si>
  <si>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</si>
  <si>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</si>
  <si>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</si>
  <si>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</si>
  <si>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</si>
  <si>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</si>
  <si>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</si>
  <si>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</si>
  <si>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</si>
  <si>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</si>
  <si>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</si>
  <si>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</si>
  <si>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</si>
  <si>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</si>
  <si>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</si>
  <si>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</si>
  <si>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</si>
  <si>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</si>
  <si>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</si>
  <si>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</si>
  <si>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</si>
  <si>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</si>
  <si>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</si>
  <si>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</si>
  <si>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</si>
  <si>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</si>
  <si>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</si>
  <si>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</si>
  <si>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</si>
  <si>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</si>
  <si>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</si>
  <si>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</si>
  <si>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</si>
  <si>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</si>
  <si>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</si>
  <si>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</si>
  <si>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</si>
  <si>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</si>
  <si>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</si>
  <si>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</si>
  <si>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</si>
  <si>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</si>
  <si>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</si>
  <si>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</si>
  <si>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</si>
  <si>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</si>
  <si>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</si>
  <si>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</si>
  <si>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</si>
  <si>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</si>
  <si>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</si>
  <si>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</si>
  <si>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</si>
  <si>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</si>
  <si>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</si>
  <si>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</si>
  <si>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</si>
  <si>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</si>
  <si>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</si>
  <si>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</si>
  <si>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</si>
  <si>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</si>
  <si>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</si>
  <si>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</si>
  <si>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</si>
  <si>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</si>
  <si>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</si>
  <si>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</si>
  <si>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</si>
  <si>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</si>
  <si>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</si>
  <si>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</si>
  <si>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</si>
  <si>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</si>
  <si>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</si>
  <si>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</si>
  <si>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</si>
  <si>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</si>
  <si>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</si>
  <si>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</si>
  <si>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</si>
  <si>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</si>
  <si>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</si>
  <si>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</si>
  <si>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</si>
  <si>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</si>
  <si>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</si>
  <si>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</si>
  <si>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</si>
  <si>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</si>
  <si>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</si>
  <si>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</si>
  <si>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</si>
  <si>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</si>
  <si>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</si>
  <si>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</si>
  <si>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</si>
  <si>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</si>
  <si>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</si>
  <si>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</si>
  <si>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</si>
  <si>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</si>
  <si>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</si>
  <si>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</si>
  <si>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</si>
  <si>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</si>
  <si>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</si>
  <si>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</si>
  <si>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</si>
  <si>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</si>
  <si>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</si>
  <si>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</si>
  <si>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</si>
  <si>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</si>
  <si>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</si>
  <si>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</si>
  <si>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</si>
  <si>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</si>
  <si>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</si>
  <si>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</si>
  <si>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</si>
  <si>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</si>
  <si>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</si>
  <si>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</si>
  <si>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</si>
  <si>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</si>
  <si>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</si>
  <si>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</si>
  <si>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</si>
  <si>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</si>
  <si>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</si>
  <si>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</si>
  <si>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</si>
  <si>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</si>
  <si>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</si>
  <si>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</si>
  <si>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</si>
  <si>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</si>
  <si>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</si>
  <si>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</si>
  <si>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</si>
  <si>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</si>
  <si>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</si>
  <si>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</si>
  <si>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</si>
  <si>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</si>
  <si>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</si>
  <si>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</si>
  <si>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</si>
  <si>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</si>
  <si>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</si>
  <si>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</si>
  <si>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</si>
  <si>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</si>
  <si>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</si>
  <si>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</si>
  <si>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</si>
  <si>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</si>
  <si>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</si>
  <si>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</si>
  <si>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</si>
  <si>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</si>
  <si>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</si>
  <si>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</si>
  <si>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</si>
  <si>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</si>
  <si>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</si>
  <si>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</si>
  <si>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</si>
  <si>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</si>
  <si>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</si>
  <si>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</si>
  <si>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</si>
  <si>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</si>
  <si>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</si>
  <si>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</si>
  <si>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</si>
  <si>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</si>
  <si>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</si>
  <si>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</si>
  <si>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</si>
  <si>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</si>
  <si>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</si>
  <si>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</si>
  <si>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</si>
  <si>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</si>
  <si>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</si>
  <si>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</si>
  <si>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</si>
  <si>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</si>
  <si>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</si>
  <si>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</si>
  <si>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</si>
  <si>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</si>
  <si>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</si>
  <si>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</si>
  <si>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</si>
  <si>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</si>
  <si>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</si>
  <si>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</si>
  <si>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</si>
  <si>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</si>
  <si>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</si>
  <si>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</si>
  <si>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</si>
  <si>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</si>
  <si>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</si>
  <si>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</si>
  <si>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</si>
  <si>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</si>
  <si>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</si>
  <si>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</si>
  <si>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</si>
  <si>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</si>
  <si>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</si>
  <si>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</si>
  <si>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</si>
  <si>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</si>
  <si>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</si>
  <si>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</si>
  <si>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</si>
  <si>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</si>
  <si>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</si>
  <si>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</si>
  <si>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</si>
  <si>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</si>
  <si>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</si>
  <si>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</si>
  <si>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</si>
  <si>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</si>
  <si>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</si>
  <si>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</si>
  <si>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</si>
  <si>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</si>
  <si>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</si>
  <si>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</si>
  <si>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</si>
  <si>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</si>
  <si>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</si>
  <si>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</si>
  <si>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</si>
  <si>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</si>
  <si>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</si>
  <si>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</si>
  <si>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</si>
  <si>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</si>
  <si>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</si>
  <si>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</si>
  <si>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</si>
  <si>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</si>
  <si>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</si>
  <si>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</si>
  <si>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</si>
  <si>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</si>
  <si>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</si>
  <si>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</si>
  <si>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</si>
  <si>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</si>
  <si>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</si>
  <si>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</si>
  <si>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</si>
  <si>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</si>
  <si>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</si>
  <si>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</si>
  <si>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</si>
  <si>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</si>
  <si>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</si>
  <si>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</si>
  <si>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</si>
  <si>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</si>
  <si>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</si>
  <si>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</si>
  <si>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</si>
  <si>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</si>
  <si>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</si>
  <si>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</si>
  <si>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</si>
  <si>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</si>
  <si>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</si>
  <si>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</si>
  <si>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</si>
  <si>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</si>
  <si>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</si>
  <si>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</si>
  <si>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</si>
  <si>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</si>
  <si>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</si>
  <si>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</si>
  <si>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</si>
  <si>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</si>
  <si>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</si>
  <si>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</si>
  <si>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</si>
  <si>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</si>
  <si>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</si>
  <si>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</si>
  <si>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</si>
  <si>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</si>
  <si>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</si>
  <si>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</si>
  <si>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</si>
  <si>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</si>
  <si>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</si>
  <si>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</si>
  <si>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</si>
  <si>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</si>
  <si>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</si>
  <si>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</si>
  <si>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</si>
  <si>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</si>
  <si>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</si>
  <si>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</si>
  <si>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</si>
  <si>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</si>
  <si>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</si>
  <si>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</si>
  <si>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</si>
  <si>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</si>
  <si>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</si>
  <si>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</si>
  <si>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</si>
  <si>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</si>
  <si>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</si>
  <si>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</si>
  <si>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</si>
  <si>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</si>
  <si>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</si>
  <si>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</si>
  <si>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</si>
  <si>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</si>
  <si>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</si>
  <si>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</si>
  <si>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</si>
  <si>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</si>
  <si>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</si>
  <si>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</si>
  <si>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</si>
  <si>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</si>
  <si>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</si>
  <si>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</si>
  <si>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</si>
  <si>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</si>
  <si>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</si>
  <si>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</si>
  <si>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</si>
  <si>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</si>
  <si>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</si>
  <si>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</si>
  <si>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</si>
  <si>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</si>
  <si>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</si>
  <si>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</si>
  <si>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</si>
  <si>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</si>
  <si>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</si>
  <si>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</si>
  <si>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</si>
  <si>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</si>
  <si>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</si>
  <si>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</si>
  <si>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</si>
  <si>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</si>
  <si>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</si>
  <si>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</si>
  <si>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</si>
  <si>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</si>
  <si>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</si>
  <si>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</si>
  <si>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</si>
  <si>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</si>
  <si>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</si>
  <si>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</si>
  <si>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</si>
  <si>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</si>
  <si>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</si>
  <si>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</si>
  <si>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</si>
  <si>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</si>
  <si>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</si>
  <si>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</si>
  <si>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</si>
  <si>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</si>
  <si>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</si>
  <si>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</si>
  <si>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</si>
  <si>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</si>
  <si>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</si>
  <si>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</si>
  <si>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</si>
  <si>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</si>
  <si>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</si>
  <si>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</si>
  <si>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</si>
  <si>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</si>
  <si>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</si>
  <si>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</si>
  <si>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</si>
  <si>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</si>
  <si>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</si>
  <si>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</si>
  <si>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</si>
  <si>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</si>
  <si>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</si>
  <si>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</si>
  <si>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</si>
  <si>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</si>
  <si>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</si>
  <si>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</si>
  <si>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</si>
  <si>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</si>
  <si>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</si>
  <si>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</si>
  <si>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</si>
  <si>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</si>
  <si>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</si>
  <si>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</si>
  <si>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</si>
  <si>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</si>
  <si>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</si>
  <si>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</si>
  <si>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</si>
  <si>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</si>
  <si>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</si>
  <si>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</si>
  <si>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</si>
  <si>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</si>
  <si>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</si>
  <si>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</si>
  <si>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</si>
  <si>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</si>
  <si>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</si>
  <si>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</si>
  <si>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</si>
  <si>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</si>
  <si>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</si>
  <si>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</si>
  <si>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</si>
  <si>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</si>
  <si>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</si>
  <si>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</si>
  <si>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</si>
  <si>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</si>
  <si>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</si>
  <si>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</si>
  <si>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</si>
  <si>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</si>
  <si>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</si>
  <si>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</si>
  <si>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</si>
  <si>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</si>
  <si>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</si>
  <si>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</si>
  <si>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</si>
  <si>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</si>
  <si>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</si>
  <si>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</si>
  <si>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</si>
  <si>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</si>
  <si>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</si>
  <si>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</si>
  <si>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</si>
  <si>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</si>
  <si>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</si>
  <si>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</si>
  <si>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</si>
  <si>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</si>
  <si>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</si>
  <si>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</si>
  <si>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</si>
  <si>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</si>
  <si>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</si>
  <si>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</si>
  <si>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</si>
  <si>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</si>
  <si>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</si>
  <si>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</si>
  <si>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</si>
  <si>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</si>
  <si>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</si>
  <si>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</si>
  <si>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</si>
  <si>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</si>
  <si>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</si>
  <si>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</si>
  <si>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</si>
  <si>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</si>
  <si>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</si>
  <si>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</si>
  <si>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</si>
  <si>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</si>
  <si>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</si>
  <si>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</si>
  <si>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</si>
  <si>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</si>
  <si>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</si>
  <si>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</si>
  <si>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</si>
  <si>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</si>
  <si>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</si>
  <si>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</si>
  <si>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</si>
  <si>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</si>
  <si>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</si>
  <si>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</si>
  <si>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</si>
  <si>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</si>
  <si>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</si>
  <si>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</si>
  <si>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</si>
  <si>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</si>
  <si>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</si>
  <si>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</si>
  <si>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</si>
  <si>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</si>
  <si>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</si>
  <si>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</si>
  <si>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</si>
  <si>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</si>
  <si>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</si>
  <si>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</si>
  <si>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</si>
  <si>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</si>
  <si>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</si>
  <si>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</si>
  <si>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</si>
  <si>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</si>
  <si>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</si>
  <si>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</si>
  <si>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</si>
  <si>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</si>
  <si>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</si>
  <si>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</si>
  <si>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</si>
  <si>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</si>
  <si>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</si>
  <si>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</si>
  <si>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</si>
  <si>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</si>
  <si>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</si>
  <si>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</si>
  <si>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</si>
  <si>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</si>
  <si>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</si>
  <si>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</si>
  <si>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</si>
  <si>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</si>
  <si>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</si>
  <si>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</si>
  <si>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</si>
  <si>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</si>
  <si>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</si>
  <si>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</si>
  <si>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</si>
  <si>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</si>
  <si>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</si>
  <si>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</si>
  <si>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</si>
  <si>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</si>
  <si>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</si>
  <si>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</si>
  <si>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</si>
  <si>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</si>
  <si>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</si>
  <si>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</si>
  <si>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</si>
  <si>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</si>
  <si>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</si>
  <si>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</si>
  <si>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</si>
  <si>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</si>
  <si>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</si>
  <si>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</si>
  <si>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</si>
  <si>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</si>
  <si>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</si>
  <si>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</si>
  <si>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</si>
  <si>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</si>
  <si>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</si>
  <si>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</si>
  <si>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</si>
  <si>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</si>
  <si>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</si>
  <si>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</si>
  <si>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</si>
  <si>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</si>
  <si>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</si>
  <si>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</si>
  <si>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</si>
  <si>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</si>
  <si>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</si>
  <si>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</si>
  <si>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</si>
  <si>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</si>
  <si>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</si>
  <si>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</si>
  <si>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</si>
  <si>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</si>
  <si>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</si>
  <si>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</si>
  <si>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</si>
  <si>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</si>
  <si>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</si>
  <si>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</si>
  <si>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</si>
  <si>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</si>
  <si>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</si>
  <si>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</si>
  <si>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</si>
  <si>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</si>
  <si>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</si>
  <si>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</si>
  <si>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</si>
  <si>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</si>
  <si>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</si>
  <si>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</si>
  <si>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</si>
  <si>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</si>
  <si>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</si>
  <si>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</si>
  <si>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</si>
  <si>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</si>
  <si>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</si>
  <si>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</si>
  <si>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</si>
  <si>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</si>
  <si>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</si>
  <si>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</si>
  <si>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</si>
  <si>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</si>
  <si>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</si>
  <si>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</si>
  <si>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</si>
  <si>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</si>
  <si>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</si>
  <si>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</si>
  <si>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</si>
  <si>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</si>
  <si>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</si>
  <si>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</si>
  <si>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</si>
  <si>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</si>
  <si>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</si>
  <si>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</si>
  <si>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</si>
  <si>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</si>
  <si>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</si>
  <si>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</si>
  <si>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</si>
  <si>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</si>
  <si>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</si>
  <si>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</si>
  <si>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</si>
  <si>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</si>
  <si>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</si>
  <si>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</si>
  <si>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</si>
  <si>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</si>
  <si>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</si>
  <si>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</si>
  <si>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</si>
  <si>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</si>
  <si>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</si>
  <si>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</si>
  <si>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</si>
  <si>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</si>
  <si>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</si>
  <si>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</si>
  <si>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</si>
  <si>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</si>
  <si>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</si>
  <si>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</si>
  <si>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</si>
  <si>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</si>
  <si>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</si>
  <si>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</si>
  <si>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</si>
  <si>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</si>
  <si>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</si>
  <si>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</si>
  <si>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</si>
  <si>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</si>
  <si>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</si>
  <si>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</si>
  <si>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</si>
  <si>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</si>
  <si>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</si>
  <si>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</si>
  <si>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</si>
  <si>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</si>
  <si>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</si>
  <si>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</si>
  <si>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</si>
  <si>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</si>
  <si>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</si>
  <si>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</si>
  <si>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</si>
  <si>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</si>
  <si>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</si>
  <si>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</si>
  <si>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</si>
  <si>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</si>
  <si>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</si>
  <si>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</si>
  <si>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</si>
  <si>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</si>
  <si>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</si>
  <si>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</si>
  <si>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</si>
  <si>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</si>
  <si>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</si>
  <si>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</si>
  <si>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</si>
  <si>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</si>
  <si>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</si>
  <si>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</si>
  <si>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</si>
  <si>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</si>
  <si>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</si>
  <si>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</si>
  <si>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</si>
  <si>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</si>
  <si>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</si>
  <si>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</si>
  <si>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</si>
  <si>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</si>
  <si>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</si>
  <si>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</si>
  <si>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</si>
  <si>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</si>
  <si>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</si>
  <si>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</si>
  <si>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</si>
  <si>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</si>
  <si>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</si>
  <si>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</si>
  <si>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</si>
  <si>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</si>
  <si>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</si>
  <si>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</si>
  <si>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</si>
  <si>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</si>
  <si>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</si>
  <si>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</si>
  <si>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</si>
  <si>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</si>
  <si>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</si>
  <si>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</si>
  <si>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</si>
  <si>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</si>
  <si>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</si>
  <si>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</si>
  <si>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</si>
  <si>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</si>
  <si>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</si>
  <si>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</si>
  <si>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</si>
  <si>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</si>
  <si>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</si>
  <si>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</si>
  <si>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</si>
  <si>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</si>
  <si>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</si>
  <si>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</si>
  <si>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</si>
  <si>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</si>
  <si>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</si>
  <si>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</si>
  <si>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</si>
  <si>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</si>
  <si>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</si>
  <si>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</si>
  <si>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</si>
  <si>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</si>
  <si>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</si>
  <si>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</si>
  <si>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</si>
  <si>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</si>
  <si>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</si>
  <si>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</si>
  <si>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</si>
  <si>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</si>
  <si>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</si>
  <si>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</si>
  <si>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</si>
  <si>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</si>
  <si>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</si>
  <si>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</si>
  <si>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</si>
  <si>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</si>
  <si>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</si>
  <si>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</si>
  <si>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</si>
  <si>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</si>
  <si>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</si>
  <si>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</si>
  <si>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</si>
  <si>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</si>
  <si>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</si>
  <si>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</si>
  <si>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</si>
  <si>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</si>
  <si>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</si>
  <si>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</si>
  <si>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</si>
  <si>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</si>
  <si>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</si>
  <si>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</si>
  <si>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</si>
  <si>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</si>
  <si>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</si>
  <si>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</si>
  <si>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</si>
  <si>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</si>
  <si>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</si>
  <si>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</si>
  <si>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</si>
  <si>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</si>
  <si>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</si>
  <si>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</si>
  <si>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</si>
  <si>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</si>
  <si>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</si>
  <si>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</si>
  <si>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</si>
  <si>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</si>
  <si>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</si>
  <si>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</si>
  <si>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</si>
  <si>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</si>
  <si>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</si>
  <si>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</si>
  <si>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</si>
  <si>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</si>
  <si>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</si>
  <si>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住宅</t>
    <phoneticPr fontId="7" type="noConversion"/>
  </si>
  <si>
    <t>工程进度</t>
  </si>
  <si>
    <t>利息：取LPR加浮动点数</t>
  </si>
  <si>
    <t>成本法</t>
  </si>
  <si>
    <t>假设开发法</t>
  </si>
  <si>
    <t>已包含在土地取得成本中</t>
  </si>
  <si>
    <t>总价</t>
  </si>
  <si>
    <t>成本比率</t>
  </si>
  <si>
    <t>地下</t>
  </si>
  <si>
    <t>仓储</t>
    <phoneticPr fontId="7" type="noConversion"/>
  </si>
  <si>
    <t>车位</t>
  </si>
  <si>
    <t>车位</t>
    <phoneticPr fontId="7" type="noConversion"/>
  </si>
  <si>
    <t>正常</t>
  </si>
  <si>
    <t>一般</t>
  </si>
  <si>
    <t>一般</t>
    <phoneticPr fontId="40" type="noConversion"/>
  </si>
  <si>
    <t>七通</t>
  </si>
  <si>
    <t>七通</t>
    <phoneticPr fontId="24" type="noConversion"/>
  </si>
  <si>
    <t>序号</t>
    <phoneticPr fontId="134" type="noConversion"/>
  </si>
  <si>
    <t>地块名称</t>
  </si>
  <si>
    <t>地块编号</t>
  </si>
  <si>
    <t>用地性质</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</si>
  <si>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</si>
  <si>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</si>
  <si>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</si>
  <si>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</si>
  <si>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</si>
  <si>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</si>
  <si>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</si>
  <si>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</si>
  <si>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</si>
  <si>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</si>
  <si>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</si>
  <si>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</si>
  <si>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北京市朝阳区平房乡棚户区改造和环境整治项目(一期)PF-45地块R2二类居住用地</t>
  </si>
  <si>
    <t>京土储挂(朝)〔2022〕065号</t>
  </si>
  <si>
    <t>住宅用地</t>
  </si>
  <si>
    <t xml:space="preserve"> R2二类居住用地  </t>
  </si>
  <si>
    <t>2022-11-28</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</si>
  <si>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</si>
  <si>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</si>
  <si>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</si>
  <si>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保利(北京)房地产开发有限公司、北京建工地产有限责任公司  </t>
  </si>
  <si>
    <t>京土储挂(朝)[2022]001号</t>
  </si>
  <si>
    <t>综合用地(含住宅)</t>
  </si>
  <si>
    <t>2022-02-16</t>
  </si>
  <si>
    <t xml:space="preserve"> 长春创诚房地产开发有限公司  </t>
  </si>
  <si>
    <t>北京市朝阳区东坝车辆基地综合利用项目1101-A002-1,1101-A003-1地块R2二类居住用地(配建“保障性租赁住房”)</t>
  </si>
  <si>
    <t>京土整储挂(朝)[2021]090号</t>
  </si>
  <si>
    <t>2021-12-24</t>
  </si>
  <si>
    <t xml:space="preserve"> 北京市基础设施投资有限公司、北京京投置地房地产有限公司  </t>
  </si>
  <si>
    <t>北京市朝阳区东坝车辆基地综合利用项目1101-A002-3地块R2二类居住用地</t>
  </si>
  <si>
    <t>京土整储挂(朝)[2021]092号</t>
  </si>
  <si>
    <t>北京市朝阳区东坝车辆基地综合利用项目1101-A002-2、1101-A003-2地块R2二类居住用地</t>
  </si>
  <si>
    <t>京土整储挂(朝)[2021]091号</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</si>
  <si>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</si>
  <si>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</si>
  <si>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</si>
  <si>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</si>
  <si>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</si>
  <si>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</si>
  <si>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京土整储挂(朝)[2021]007号</t>
  </si>
  <si>
    <t xml:space="preserve"> 北京润置商业运营管理有限公司、保利(北京)房地产开发有限公司、北京金泰辉华科技有限公司  </t>
  </si>
  <si>
    <t>京土整储挂(朝)[2021]010号</t>
  </si>
  <si>
    <t xml:space="preserve"> ≤2.8  </t>
  </si>
  <si>
    <t xml:space="preserve"> 中冶置业集团有限公司、宁波雨航企业管理合伙企业(有限合伙)  </t>
  </si>
  <si>
    <t>京土整储挂(朝)[2021]008号</t>
  </si>
  <si>
    <t xml:space="preserve"> 招商局地产(北京)有限公司、北京城建投资发展股份有限公司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</si>
  <si>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</si>
  <si>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</si>
  <si>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</si>
  <si>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</si>
  <si>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北京市朝阳区东坝乡东风村1104-613地块R2二类居住用地、1104-614地块A33基础教育用地</t>
  </si>
  <si>
    <t>京土整储挂(朝)[2020]015号</t>
  </si>
  <si>
    <t xml:space="preserve"> r2≤2.8,a33≤0.8  </t>
  </si>
  <si>
    <t xml:space="preserve"> R2二类居住用地、A33基础教育用地  </t>
  </si>
  <si>
    <t>2020-05-15</t>
  </si>
  <si>
    <t xml:space="preserve"> 北京盛智房地产有限公司、北京鑫远嘉业科技有限公司、北京首都开发股份有限公司联合体  </t>
  </si>
  <si>
    <t>配建</t>
    <phoneticPr fontId="134" type="noConversion"/>
  </si>
  <si>
    <t>限价</t>
    <phoneticPr fontId="134" type="noConversion"/>
  </si>
  <si>
    <t>北京市朝阳区小红门乡剩余土地一级开发项目11号地(XHM-15)R2二类居住用地</t>
  </si>
  <si>
    <t>京土储挂(朝)[2022]073号</t>
  </si>
  <si>
    <t>2023-02-07</t>
  </si>
  <si>
    <t xml:space="preserve"> 山东中建房地产开发有限公司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</si>
  <si>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</si>
  <si>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</si>
  <si>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</si>
  <si>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</si>
  <si>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</si>
  <si>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2022-05-31</t>
  </si>
  <si>
    <t xml:space="preserve"> 中建智地置业有限公司  </t>
  </si>
  <si>
    <t>北京市朝阳区十八里店朝阳港一期土地一级开发项目1303-685、694地块R2二类居住用地</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</si>
  <si>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</si>
  <si>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</si>
  <si>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</si>
  <si>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</si>
  <si>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</si>
  <si>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</si>
  <si>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</si>
  <si>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R2二类居住用地、A334托幼用地  </t>
  </si>
  <si>
    <t xml:space="preserve"> 北京首都开发股份有限公司  </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</si>
  <si>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</si>
  <si>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</si>
  <si>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</si>
  <si>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</si>
  <si>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</si>
  <si>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 xml:space="preserve"> F2公建混合住宅用地  </t>
  </si>
  <si>
    <t xml:space="preserve"> 中国葛洲坝集团房地产开发有限公司  </t>
  </si>
  <si>
    <t>北京市朝阳区管庄乡棚户区改造和环境整治项目(一期)GZGJC-03地块R2二类居住用地</t>
  </si>
  <si>
    <t>京土整储挂(朝)[2021]095号</t>
  </si>
  <si>
    <t xml:space="preserve"> 京能置业股份有限公司、北京龙湖中佰置业有限公司  </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</si>
  <si>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</si>
  <si>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</si>
  <si>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</si>
  <si>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</si>
  <si>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</si>
  <si>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</si>
  <si>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</si>
  <si>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</si>
  <si>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</si>
  <si>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</si>
  <si>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</si>
  <si>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</si>
  <si>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</si>
  <si>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</si>
  <si>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</si>
  <si>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</si>
  <si>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</si>
  <si>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</si>
  <si>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北京市朝阳区王四营乡土地一级开发项目一期1304-L02、L05地块R2二类居住用地、A334托幼用地</t>
  </si>
  <si>
    <t>京土整储挂(朝)[2021]005号</t>
  </si>
  <si>
    <t xml:space="preserve"> r2≤2.5;a334≤0.8  </t>
  </si>
  <si>
    <t xml:space="preserve"> 北京顺义新城建设开发有限公司  </t>
  </si>
  <si>
    <t>北京市朝阳区金盏乡小店村3005-02地块R2二类居住用地</t>
  </si>
  <si>
    <t>京土整储挂(朝)[2021]002号</t>
  </si>
  <si>
    <t xml:space="preserve"> 北京卓华房地产开发有限公司  </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</si>
  <si>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</si>
  <si>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</si>
  <si>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</si>
  <si>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</si>
  <si>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</si>
  <si>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</si>
  <si>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t>现房</t>
    <phoneticPr fontId="134" type="noConversion"/>
  </si>
  <si>
    <t>现房销售1万，最终摇号</t>
    <phoneticPr fontId="134" type="noConversion"/>
  </si>
  <si>
    <t>无</t>
    <phoneticPr fontId="134" type="noConversion"/>
  </si>
  <si>
    <t>幼儿园</t>
    <phoneticPr fontId="134" type="noConversion"/>
  </si>
  <si>
    <t>2万平</t>
    <phoneticPr fontId="134" type="noConversion"/>
  </si>
  <si>
    <t>现房4万1</t>
    <phoneticPr fontId="134" type="noConversion"/>
  </si>
  <si>
    <t>五通</t>
  </si>
  <si>
    <t>五通</t>
    <phoneticPr fontId="134" type="noConversion"/>
  </si>
  <si>
    <t>4400平米保障房、另有幼儿园</t>
    <phoneticPr fontId="134" type="noConversion"/>
  </si>
  <si>
    <t>北京市朝阳区崔各庄乡黑桥村、南皋村棚户区改造项目30-L01-01地块R2二类居住用地(配建“公共租赁住房”)</t>
    <phoneticPr fontId="134" type="noConversion"/>
  </si>
  <si>
    <t>绿城·晓风印月</t>
    <phoneticPr fontId="134" type="noConversion"/>
  </si>
  <si>
    <t>北京市朝阳区崔各庄乡黑桥村、南皋村棚户区改造土地开发项目30-L03-01地块R2二类居住用地等(配建“保障性租赁住房”)</t>
    <phoneticPr fontId="134" type="noConversion"/>
  </si>
  <si>
    <t>和光悦府</t>
    <phoneticPr fontId="134" type="noConversion"/>
  </si>
  <si>
    <t>龙樾合玺</t>
    <phoneticPr fontId="134" type="noConversion"/>
  </si>
  <si>
    <t>中冶德贤御府</t>
    <phoneticPr fontId="134" type="noConversion"/>
  </si>
  <si>
    <t>华樾国际</t>
    <phoneticPr fontId="134" type="noConversion"/>
  </si>
  <si>
    <t>华樾国际领尚</t>
    <phoneticPr fontId="134" type="noConversion"/>
  </si>
  <si>
    <t>4%自持</t>
    <phoneticPr fontId="134" type="noConversion"/>
  </si>
  <si>
    <t>住宅</t>
    <phoneticPr fontId="134" type="noConversion"/>
  </si>
  <si>
    <t>住宅、教育</t>
  </si>
  <si>
    <t>住宅、教育</t>
    <phoneticPr fontId="134" type="noConversion"/>
  </si>
  <si>
    <t>限制现房</t>
    <phoneticPr fontId="134" type="noConversion"/>
  </si>
  <si>
    <t>自持</t>
    <phoneticPr fontId="134" type="noConversion"/>
  </si>
  <si>
    <t>无</t>
    <phoneticPr fontId="134" type="noConversion"/>
  </si>
  <si>
    <t>部分</t>
    <phoneticPr fontId="134" type="noConversion"/>
  </si>
  <si>
    <t>全部</t>
    <phoneticPr fontId="134" type="noConversion"/>
  </si>
  <si>
    <t>有</t>
    <phoneticPr fontId="134" type="noConversion"/>
  </si>
  <si>
    <t>公租房占比</t>
    <phoneticPr fontId="134" type="noConversion"/>
  </si>
  <si>
    <t>五级</t>
    <phoneticPr fontId="134" type="noConversion"/>
  </si>
  <si>
    <t>六级</t>
    <phoneticPr fontId="134" type="noConversion"/>
  </si>
  <si>
    <t>较好</t>
  </si>
  <si>
    <t>较差</t>
  </si>
  <si>
    <t>较差</t>
    <phoneticPr fontId="40" type="noConversion"/>
  </si>
  <si>
    <t>规则</t>
    <phoneticPr fontId="134" type="noConversion"/>
  </si>
  <si>
    <t>较规则</t>
  </si>
  <si>
    <t>较规则</t>
    <phoneticPr fontId="134" type="noConversion"/>
  </si>
  <si>
    <t>较不规则</t>
    <phoneticPr fontId="134" type="noConversion"/>
  </si>
  <si>
    <t>不规则</t>
    <phoneticPr fontId="134" type="noConversion"/>
  </si>
  <si>
    <t>七通</t>
    <phoneticPr fontId="134" type="noConversion"/>
  </si>
  <si>
    <t>六通</t>
    <phoneticPr fontId="134" type="noConversion"/>
  </si>
  <si>
    <t>五通</t>
    <phoneticPr fontId="134" type="noConversion"/>
  </si>
  <si>
    <t>配建</t>
    <phoneticPr fontId="30" type="noConversion"/>
  </si>
  <si>
    <t>北京市朝阳区崔各庄乡黑桥村、南皋村棚户区改造项目30-L04地块R2二类居住用地(配建“公共租赁住房”)</t>
    <phoneticPr fontId="134" type="noConversion"/>
  </si>
  <si>
    <t>京投发展·北熙区</t>
    <phoneticPr fontId="134" type="noConversion"/>
  </si>
  <si>
    <t>二次机构基本完成</t>
    <phoneticPr fontId="3" type="noConversion"/>
  </si>
  <si>
    <t>郑燚</t>
  </si>
  <si>
    <t>吴薇</t>
  </si>
  <si>
    <t>主干道</t>
    <phoneticPr fontId="134" type="noConversion"/>
  </si>
  <si>
    <t>次干道</t>
    <phoneticPr fontId="134" type="noConversion"/>
  </si>
  <si>
    <t>支路</t>
    <phoneticPr fontId="134" type="noConversion"/>
  </si>
  <si>
    <t>快速路</t>
    <phoneticPr fontId="134" type="noConversion"/>
  </si>
  <si>
    <t>规则</t>
  </si>
  <si>
    <t>较不规则</t>
  </si>
  <si>
    <t>项目模式</t>
  </si>
  <si>
    <t>售价</t>
  </si>
  <si>
    <t>住宅</t>
    <phoneticPr fontId="24" type="noConversion"/>
  </si>
  <si>
    <r>
      <t>60-70</t>
    </r>
    <r>
      <rPr>
        <sz val="11"/>
        <color indexed="8"/>
        <rFont val="宋体"/>
        <family val="3"/>
        <charset val="134"/>
      </rPr>
      <t>（含）</t>
    </r>
    <phoneticPr fontId="24" type="noConversion"/>
  </si>
  <si>
    <t>小高层</t>
    <phoneticPr fontId="24" type="noConversion"/>
  </si>
  <si>
    <t>小高层、高层</t>
  </si>
  <si>
    <t>小高层、高层</t>
    <phoneticPr fontId="24" type="noConversion"/>
  </si>
  <si>
    <t>高层</t>
    <phoneticPr fontId="24" type="noConversion"/>
  </si>
  <si>
    <t>钢混</t>
  </si>
  <si>
    <t>钢混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</si>
  <si>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</si>
  <si>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</si>
  <si>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</si>
  <si>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</si>
  <si>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</si>
  <si>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</si>
  <si>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</si>
  <si>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</si>
  <si>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简单装修</t>
    <phoneticPr fontId="24" type="noConversion"/>
  </si>
  <si>
    <t>毛坯</t>
  </si>
  <si>
    <t>毛坯</t>
    <phoneticPr fontId="24" type="noConversion"/>
  </si>
  <si>
    <t>专业物业</t>
  </si>
  <si>
    <t>专业物业</t>
    <phoneticPr fontId="24" type="noConversion"/>
  </si>
  <si>
    <t>普通物业</t>
  </si>
  <si>
    <t>普通物业</t>
    <phoneticPr fontId="24" type="noConversion"/>
  </si>
  <si>
    <t>七通</t>
    <phoneticPr fontId="24" type="noConversion"/>
  </si>
  <si>
    <t>六通</t>
    <phoneticPr fontId="24" type="noConversion"/>
  </si>
  <si>
    <t>五通</t>
    <phoneticPr fontId="24" type="noConversion"/>
  </si>
  <si>
    <t>四通</t>
    <phoneticPr fontId="24" type="noConversion"/>
  </si>
  <si>
    <t>项目位置</t>
    <phoneticPr fontId="3" type="noConversion"/>
  </si>
  <si>
    <t>改善型</t>
    <phoneticPr fontId="24" type="noConversion"/>
  </si>
  <si>
    <t>刚需</t>
    <phoneticPr fontId="24" type="noConversion"/>
  </si>
  <si>
    <t>1:1.3</t>
    <phoneticPr fontId="31" type="noConversion"/>
  </si>
  <si>
    <t>车库</t>
    <phoneticPr fontId="31" type="noConversion"/>
  </si>
  <si>
    <t>平面</t>
  </si>
  <si>
    <t>平面</t>
    <phoneticPr fontId="31" type="noConversion"/>
  </si>
  <si>
    <t>专业物业</t>
    <phoneticPr fontId="31" type="noConversion"/>
  </si>
  <si>
    <t>1:0.9</t>
    <phoneticPr fontId="31" type="noConversion"/>
  </si>
  <si>
    <t>1:1.2</t>
    <phoneticPr fontId="31" type="noConversion"/>
  </si>
  <si>
    <t>1:1.1</t>
    <phoneticPr fontId="31" type="noConversion"/>
  </si>
  <si>
    <t>1:0.8</t>
    <phoneticPr fontId="31" type="noConversion"/>
  </si>
  <si>
    <t>1:1</t>
    <phoneticPr fontId="31" type="noConversion"/>
  </si>
  <si>
    <t>元/车位</t>
  </si>
  <si>
    <t>和光悦府</t>
  </si>
  <si>
    <t>华樾国际领尚</t>
  </si>
  <si>
    <r>
      <t>40-50</t>
    </r>
    <r>
      <rPr>
        <sz val="11"/>
        <color indexed="8"/>
        <rFont val="宋体"/>
        <family val="3"/>
        <charset val="134"/>
      </rPr>
      <t>（含）</t>
    </r>
    <phoneticPr fontId="31" type="noConversion"/>
  </si>
  <si>
    <t>仓储</t>
    <phoneticPr fontId="31" type="noConversion"/>
  </si>
  <si>
    <t>有</t>
    <phoneticPr fontId="31" type="noConversion"/>
  </si>
  <si>
    <t>无</t>
    <phoneticPr fontId="31" type="noConversion"/>
  </si>
  <si>
    <t>普通装修</t>
    <phoneticPr fontId="31" type="noConversion"/>
  </si>
  <si>
    <t>专业</t>
  </si>
  <si>
    <t>专业</t>
    <phoneticPr fontId="31" type="noConversion"/>
  </si>
  <si>
    <t>华樾国际</t>
  </si>
  <si>
    <t>华樾国际</t>
    <phoneticPr fontId="3" type="noConversion"/>
  </si>
  <si>
    <t>建发·望京养云</t>
    <phoneticPr fontId="3" type="noConversion"/>
  </si>
  <si>
    <t>建发·望京养云</t>
    <phoneticPr fontId="134" type="noConversion"/>
  </si>
  <si>
    <t>在建</t>
  </si>
  <si>
    <t>项目局部</t>
  </si>
  <si>
    <t>房号</t>
  </si>
  <si>
    <t>建筑面积</t>
  </si>
  <si>
    <t>1-1-101</t>
  </si>
  <si>
    <t>1-1-102</t>
  </si>
  <si>
    <t>1-1-202</t>
  </si>
  <si>
    <t>1-1-302</t>
  </si>
  <si>
    <t>1-1-402</t>
  </si>
  <si>
    <t>1-1-502</t>
  </si>
  <si>
    <t>1-1-602</t>
  </si>
  <si>
    <t>1-1-701</t>
  </si>
  <si>
    <t>1-1-702</t>
  </si>
  <si>
    <t>1-1-802</t>
  </si>
  <si>
    <t>1-1-902</t>
  </si>
  <si>
    <t>1-1-1002</t>
  </si>
  <si>
    <t>1-1-1102</t>
  </si>
  <si>
    <t>1-1-1202</t>
  </si>
  <si>
    <t>1-2-101</t>
  </si>
  <si>
    <t>1-2-102</t>
  </si>
  <si>
    <t>1-2-201</t>
  </si>
  <si>
    <t>1-2-202</t>
  </si>
  <si>
    <t>1-2-301</t>
  </si>
  <si>
    <t>1-2-401</t>
  </si>
  <si>
    <t>1-2-402</t>
  </si>
  <si>
    <t>1-2-501</t>
  </si>
  <si>
    <t>1-2-502</t>
  </si>
  <si>
    <t>1-2-601</t>
  </si>
  <si>
    <t>1-2-602</t>
  </si>
  <si>
    <t>1-2-701</t>
  </si>
  <si>
    <t>1-2-801</t>
  </si>
  <si>
    <t>1-2-802</t>
  </si>
  <si>
    <t>1-2-901</t>
  </si>
  <si>
    <t>1-2-902</t>
  </si>
  <si>
    <t>1-2-1001</t>
  </si>
  <si>
    <t>1-2-1002</t>
  </si>
  <si>
    <t>1-2-1101</t>
  </si>
  <si>
    <t>1-2-1102</t>
  </si>
  <si>
    <t>1-2-1201</t>
  </si>
  <si>
    <t>1-2-1202</t>
  </si>
  <si>
    <t>2-1-101</t>
  </si>
  <si>
    <t>2-1-102</t>
  </si>
  <si>
    <t>2-1-201</t>
  </si>
  <si>
    <t>2-1-202</t>
  </si>
  <si>
    <t>2-1-302</t>
  </si>
  <si>
    <t>2-1-402</t>
  </si>
  <si>
    <t>2-1-1202</t>
  </si>
  <si>
    <t>2-2-101</t>
  </si>
  <si>
    <t>2-2-102</t>
  </si>
  <si>
    <t>2-2-201</t>
  </si>
  <si>
    <t>2-2-202</t>
  </si>
  <si>
    <t>2-2-301</t>
  </si>
  <si>
    <t>2-2-302</t>
  </si>
  <si>
    <t>2-2-401</t>
  </si>
  <si>
    <t>2-2-501</t>
  </si>
  <si>
    <t>2-2-702</t>
  </si>
  <si>
    <t>2-2-802</t>
  </si>
  <si>
    <t>2-2-1102</t>
  </si>
  <si>
    <t>2-2-1201</t>
  </si>
  <si>
    <t>2-2-1202</t>
  </si>
  <si>
    <t>3-1-101</t>
  </si>
  <si>
    <t>3-1-102</t>
  </si>
  <si>
    <t>3-1-202</t>
  </si>
  <si>
    <t>3-1-501</t>
  </si>
  <si>
    <t>3-2-101</t>
  </si>
  <si>
    <t>3-2-102</t>
  </si>
  <si>
    <t>3-2-602</t>
  </si>
  <si>
    <t>3-2-1002</t>
  </si>
  <si>
    <t>3-3-101</t>
  </si>
  <si>
    <t>3-3-102</t>
  </si>
  <si>
    <t>3-3-201</t>
  </si>
  <si>
    <t>4-101</t>
  </si>
  <si>
    <t>4-102</t>
  </si>
  <si>
    <t>4-103</t>
  </si>
  <si>
    <t>4-104</t>
  </si>
  <si>
    <t>4-201</t>
  </si>
  <si>
    <t>4-204</t>
  </si>
  <si>
    <t>4-301</t>
  </si>
  <si>
    <t>4-304</t>
  </si>
  <si>
    <t>4-401</t>
  </si>
  <si>
    <t>4-403</t>
  </si>
  <si>
    <t>4-404</t>
  </si>
  <si>
    <t>4-501</t>
  </si>
  <si>
    <t>4-504</t>
  </si>
  <si>
    <t>4-601</t>
  </si>
  <si>
    <t>4-701</t>
  </si>
  <si>
    <t>4-801</t>
  </si>
  <si>
    <t>4-804</t>
  </si>
  <si>
    <t>4-901</t>
  </si>
  <si>
    <t>4-904</t>
  </si>
  <si>
    <t>4-1001</t>
  </si>
  <si>
    <t>4-1101</t>
  </si>
  <si>
    <t>4-1104</t>
  </si>
  <si>
    <t>4-1201</t>
  </si>
  <si>
    <t>4-1204</t>
  </si>
  <si>
    <t>4-1301</t>
  </si>
  <si>
    <t>4-1304</t>
  </si>
  <si>
    <t>4-1401</t>
  </si>
  <si>
    <t>4-1402</t>
  </si>
  <si>
    <t>4-1403</t>
  </si>
  <si>
    <t>4-1404</t>
  </si>
  <si>
    <t>4-1501</t>
  </si>
  <si>
    <t>4-1504</t>
  </si>
  <si>
    <t>4-1601</t>
  </si>
  <si>
    <t>4-1604</t>
  </si>
  <si>
    <t>4-1701</t>
  </si>
  <si>
    <t>4-1704</t>
  </si>
  <si>
    <t>4-1801</t>
  </si>
  <si>
    <t>4-1804</t>
  </si>
  <si>
    <t>4-1901</t>
  </si>
  <si>
    <t>4-2001</t>
  </si>
  <si>
    <t>4-2003</t>
  </si>
  <si>
    <t>4-2004</t>
  </si>
  <si>
    <t>4-2101</t>
  </si>
  <si>
    <t>4-2102</t>
  </si>
  <si>
    <t>4-2104</t>
  </si>
  <si>
    <t>4-2201</t>
  </si>
  <si>
    <t>4-2202</t>
  </si>
  <si>
    <t>4-2203</t>
  </si>
  <si>
    <t>4-2204</t>
  </si>
  <si>
    <t>5-1-101</t>
  </si>
  <si>
    <t>5-1-102</t>
  </si>
  <si>
    <t>5-1-201</t>
  </si>
  <si>
    <t>5-1-202</t>
  </si>
  <si>
    <t>5-1-301</t>
  </si>
  <si>
    <t>5-1-401</t>
  </si>
  <si>
    <t>5-1-702</t>
  </si>
  <si>
    <t>5-1-801</t>
  </si>
  <si>
    <t>5-1-802</t>
  </si>
  <si>
    <t>5-1-1001</t>
  </si>
  <si>
    <t>5-1-1002</t>
  </si>
  <si>
    <t>5-2-101</t>
  </si>
  <si>
    <t>5-2-102</t>
  </si>
  <si>
    <t>5-2-201</t>
  </si>
  <si>
    <t>5-2-801</t>
  </si>
  <si>
    <t>5-2-1101</t>
  </si>
  <si>
    <t>5-3-101</t>
  </si>
  <si>
    <t>5-3-102</t>
  </si>
  <si>
    <t>5-3-202</t>
  </si>
  <si>
    <t>5-3-302</t>
  </si>
  <si>
    <t>5-3-701</t>
  </si>
  <si>
    <t>5-3-1002</t>
  </si>
  <si>
    <t>5-3-1101</t>
  </si>
  <si>
    <t>6-101</t>
  </si>
  <si>
    <t>6-102</t>
  </si>
  <si>
    <t>6-201</t>
  </si>
  <si>
    <t>6-202</t>
  </si>
  <si>
    <t>6-301</t>
  </si>
  <si>
    <t>6-302</t>
  </si>
  <si>
    <t>6-401</t>
  </si>
  <si>
    <t>6-402</t>
  </si>
  <si>
    <t>6-501</t>
  </si>
  <si>
    <t>6-502</t>
  </si>
  <si>
    <t>6-601</t>
  </si>
  <si>
    <t>6-602</t>
  </si>
  <si>
    <t>6-701</t>
  </si>
  <si>
    <t>6-702</t>
  </si>
  <si>
    <t>6-801</t>
  </si>
  <si>
    <t>6-802</t>
  </si>
  <si>
    <t>6-901</t>
  </si>
  <si>
    <t>6-902</t>
  </si>
  <si>
    <t>6-1001</t>
  </si>
  <si>
    <t>6-1002</t>
  </si>
  <si>
    <t>6-1101</t>
  </si>
  <si>
    <t>6-1102</t>
  </si>
  <si>
    <t>6-1201</t>
  </si>
  <si>
    <t>6-1202</t>
  </si>
  <si>
    <t>6-1301</t>
  </si>
  <si>
    <t>6-1302</t>
  </si>
  <si>
    <t>6-1401</t>
  </si>
  <si>
    <t>6-1402</t>
  </si>
  <si>
    <t>6-1501</t>
  </si>
  <si>
    <t>6-1502</t>
  </si>
  <si>
    <t>6-1601</t>
  </si>
  <si>
    <t>6-1602</t>
  </si>
  <si>
    <t>6-1701</t>
  </si>
  <si>
    <t>6-1702</t>
  </si>
  <si>
    <t>6-1801</t>
  </si>
  <si>
    <t>6-1802</t>
  </si>
  <si>
    <t>6-1901</t>
  </si>
  <si>
    <t>6-1902</t>
  </si>
  <si>
    <t>6-2001</t>
  </si>
  <si>
    <t>6-2002</t>
  </si>
  <si>
    <t>6-2101</t>
  </si>
  <si>
    <t>6-2102</t>
  </si>
  <si>
    <t>6-2201</t>
  </si>
  <si>
    <t>6-2202</t>
  </si>
  <si>
    <t>6-2301</t>
  </si>
  <si>
    <t>6-2302</t>
  </si>
  <si>
    <t>6-2401</t>
  </si>
  <si>
    <t>6-2402</t>
  </si>
  <si>
    <t>6-2501</t>
  </si>
  <si>
    <t>6-2502</t>
  </si>
  <si>
    <t>6-2601</t>
  </si>
  <si>
    <t>6-2602</t>
  </si>
  <si>
    <t>表总价</t>
  </si>
  <si>
    <t>1-（-101)</t>
  </si>
  <si>
    <t>1-（-102)</t>
  </si>
  <si>
    <t>1-（-103)</t>
  </si>
  <si>
    <t>1-（-104)</t>
  </si>
  <si>
    <t>1-（-105)</t>
  </si>
  <si>
    <t>1-（-106)</t>
  </si>
  <si>
    <t>2-（-101)</t>
  </si>
  <si>
    <t>2-（-102)</t>
  </si>
  <si>
    <t>2-（-103)</t>
  </si>
  <si>
    <t>2-（-104)</t>
  </si>
  <si>
    <t>2-（-105)</t>
  </si>
  <si>
    <t>2-（-106)</t>
  </si>
  <si>
    <t>3-（-101)</t>
  </si>
  <si>
    <t>3-（-102)</t>
  </si>
  <si>
    <t>3-（-103)</t>
  </si>
  <si>
    <t>3-（-104)</t>
  </si>
  <si>
    <t>3-（-105)</t>
  </si>
  <si>
    <t>3-（-106)</t>
  </si>
  <si>
    <t>3-（-107)</t>
  </si>
  <si>
    <t>3-（-108)</t>
  </si>
  <si>
    <t>3-（-109)</t>
  </si>
  <si>
    <t>3-（-110)</t>
  </si>
  <si>
    <t>3-（-111)</t>
  </si>
  <si>
    <t>3-（-112)</t>
  </si>
  <si>
    <t>4-（-101)</t>
  </si>
  <si>
    <t>6-（-101)</t>
  </si>
  <si>
    <t>6-（-102)</t>
  </si>
  <si>
    <t>仓储</t>
    <phoneticPr fontId="134" type="noConversion"/>
  </si>
  <si>
    <t>产权车位</t>
  </si>
  <si>
    <t>套数</t>
  </si>
  <si>
    <t>面积</t>
  </si>
  <si>
    <t>无</t>
  </si>
  <si>
    <t xml:space="preserve"> R2二类居住用地、A62社区养老设施用地、A334基础教育用地、U12供电用地  </t>
    <phoneticPr fontId="134" type="noConversion"/>
  </si>
  <si>
    <t>无</t>
    <phoneticPr fontId="134" type="noConversion"/>
  </si>
  <si>
    <t>北京市朝阳区东坝北东南一期土地储备项目1104-612西侧地块R2二类居住用地</t>
    <phoneticPr fontId="134" type="noConversion"/>
  </si>
  <si>
    <t>已全部缴纳</t>
  </si>
  <si>
    <t>房屋面积测算技术报告书</t>
  </si>
  <si>
    <t>抵押范围</t>
  </si>
  <si>
    <t>具体抵押范围</t>
  </si>
  <si>
    <t>抵押范围分摊的土地面积</t>
  </si>
  <si>
    <t>1#住宅楼</t>
  </si>
  <si>
    <t>1单元 101</t>
  </si>
  <si>
    <t>1单元 102</t>
  </si>
  <si>
    <t>1单元 202</t>
  </si>
  <si>
    <t>1单元 302</t>
  </si>
  <si>
    <t>1单元 402</t>
  </si>
  <si>
    <t>1单元 502</t>
  </si>
  <si>
    <t>1单元 602</t>
  </si>
  <si>
    <t>1单元 701</t>
  </si>
  <si>
    <t>1单元 702</t>
  </si>
  <si>
    <t>1单元 802</t>
  </si>
  <si>
    <t>1单元 902</t>
  </si>
  <si>
    <t>1单元 1002</t>
  </si>
  <si>
    <t>1单元 1102</t>
  </si>
  <si>
    <t>1单元 1202</t>
  </si>
  <si>
    <t>2单元 101</t>
  </si>
  <si>
    <t>2单元 102</t>
  </si>
  <si>
    <t>2单元 201</t>
  </si>
  <si>
    <t>2单元 202</t>
  </si>
  <si>
    <t>2单元 301</t>
  </si>
  <si>
    <t>2单元 401</t>
  </si>
  <si>
    <t>2单元 402</t>
  </si>
  <si>
    <t>2单元 501</t>
  </si>
  <si>
    <t>2单元 502</t>
  </si>
  <si>
    <t>2单元 601</t>
  </si>
  <si>
    <t>2单元 602</t>
  </si>
  <si>
    <t>2单元 701</t>
  </si>
  <si>
    <t>2单元 801</t>
  </si>
  <si>
    <t>2单元 802</t>
  </si>
  <si>
    <t>2单元 901</t>
  </si>
  <si>
    <t>2单元 902</t>
  </si>
  <si>
    <t>2单元 1001</t>
  </si>
  <si>
    <t>2单元 1002</t>
  </si>
  <si>
    <t>2单元 1101</t>
  </si>
  <si>
    <t>2单元 1102</t>
  </si>
  <si>
    <t>2单元 1201</t>
  </si>
  <si>
    <t>2单元 1202</t>
  </si>
  <si>
    <t>2#住宅楼</t>
  </si>
  <si>
    <t>1单元 201</t>
  </si>
  <si>
    <t>2单元 302</t>
  </si>
  <si>
    <t>2单元 702</t>
  </si>
  <si>
    <t>3#住宅楼</t>
  </si>
  <si>
    <t>1单元 501</t>
  </si>
  <si>
    <t>3单元 101</t>
  </si>
  <si>
    <t>3单元 102</t>
  </si>
  <si>
    <t>3单元 201</t>
  </si>
  <si>
    <t>4#住宅楼</t>
  </si>
  <si>
    <t>5#住宅楼</t>
  </si>
  <si>
    <t>1单元 301</t>
  </si>
  <si>
    <t>1单元 401</t>
  </si>
  <si>
    <t>1单元 801</t>
  </si>
  <si>
    <t>1单元 1001</t>
  </si>
  <si>
    <t>3单元 202</t>
  </si>
  <si>
    <t>3单元 302</t>
  </si>
  <si>
    <t>3单元 701</t>
  </si>
  <si>
    <t>3单元 1002</t>
  </si>
  <si>
    <t>3单元 1101</t>
  </si>
  <si>
    <t>6#住宅楼</t>
  </si>
  <si>
    <t>地下车库</t>
  </si>
  <si>
    <t>-2001至-2133</t>
  </si>
  <si>
    <t>-1001至-1263</t>
  </si>
  <si>
    <t>合计</t>
  </si>
  <si>
    <t>规划用途</t>
    <phoneticPr fontId="134" type="noConversion"/>
  </si>
  <si>
    <t>地下仓储</t>
    <phoneticPr fontId="134" type="noConversion"/>
  </si>
  <si>
    <t>地下车库</t>
    <phoneticPr fontId="134" type="noConversion"/>
  </si>
  <si>
    <t>抵押范围规划建筑面积</t>
    <phoneticPr fontId="134" type="noConversion"/>
  </si>
  <si>
    <t>1#小计</t>
    <phoneticPr fontId="134" type="noConversion"/>
  </si>
  <si>
    <t>2#小计</t>
    <phoneticPr fontId="134" type="noConversion"/>
  </si>
  <si>
    <t>3#小计</t>
    <phoneticPr fontId="134" type="noConversion"/>
  </si>
  <si>
    <t>4#小计</t>
    <phoneticPr fontId="134" type="noConversion"/>
  </si>
  <si>
    <t>5#小计</t>
    <phoneticPr fontId="134" type="noConversion"/>
  </si>
  <si>
    <t>6#小计</t>
    <phoneticPr fontId="134" type="noConversion"/>
  </si>
  <si>
    <t>地下车库小计</t>
    <phoneticPr fontId="134" type="noConversion"/>
  </si>
  <si>
    <t>——</t>
    <phoneticPr fontId="134" type="noConversion"/>
  </si>
  <si>
    <t>1#</t>
  </si>
  <si>
    <t>2#</t>
  </si>
  <si>
    <t>3#</t>
  </si>
  <si>
    <t>4#</t>
  </si>
  <si>
    <t>5#</t>
  </si>
  <si>
    <t>6#</t>
  </si>
  <si>
    <t>总楼层</t>
    <phoneticPr fontId="134" type="noConversion"/>
  </si>
  <si>
    <r>
      <rPr>
        <sz val="10.5"/>
        <color rgb="FF000000"/>
        <rFont val="Arial Unicode MS"/>
        <family val="2"/>
        <charset val="134"/>
      </rPr>
      <t>项目</t>
    </r>
  </si>
  <si>
    <r>
      <rPr>
        <sz val="10.5"/>
        <color rgb="FF000000"/>
        <rFont val="Arial Unicode MS"/>
        <family val="2"/>
        <charset val="134"/>
      </rPr>
      <t>住宅</t>
    </r>
  </si>
  <si>
    <r>
      <rPr>
        <sz val="10.5"/>
        <color rgb="FF000000"/>
        <rFont val="Arial Unicode MS"/>
        <family val="2"/>
        <charset val="134"/>
      </rPr>
      <t>公租房及管理用房</t>
    </r>
    <phoneticPr fontId="134" type="noConversion"/>
  </si>
  <si>
    <r>
      <rPr>
        <sz val="10.5"/>
        <color rgb="FF000000"/>
        <rFont val="Arial Unicode MS"/>
        <family val="2"/>
        <charset val="134"/>
      </rPr>
      <t>养老设施</t>
    </r>
  </si>
  <si>
    <r>
      <rPr>
        <sz val="10.5"/>
        <color rgb="FF000000"/>
        <rFont val="Arial Unicode MS"/>
        <family val="2"/>
        <charset val="134"/>
      </rPr>
      <t>设备及其他</t>
    </r>
    <phoneticPr fontId="134" type="noConversion"/>
  </si>
  <si>
    <r>
      <rPr>
        <sz val="10.5"/>
        <color rgb="FF000000"/>
        <rFont val="Arial Unicode MS"/>
        <family val="2"/>
        <charset val="134"/>
      </rPr>
      <t>丙二类库房</t>
    </r>
  </si>
  <si>
    <r>
      <rPr>
        <sz val="10.5"/>
        <color rgb="FF000000"/>
        <rFont val="Arial Unicode MS"/>
        <family val="2"/>
        <charset val="134"/>
      </rPr>
      <t>地下车库</t>
    </r>
    <phoneticPr fontId="134" type="noConversion"/>
  </si>
  <si>
    <r>
      <t>7#</t>
    </r>
    <r>
      <rPr>
        <sz val="10.5"/>
        <color rgb="FF000000"/>
        <rFont val="Arial Unicode MS"/>
        <family val="2"/>
        <charset val="134"/>
      </rPr>
      <t>、</t>
    </r>
    <r>
      <rPr>
        <sz val="10.5"/>
        <color rgb="FF000000"/>
        <rFont val="Arial"/>
        <family val="2"/>
      </rPr>
      <t>8#</t>
    </r>
    <phoneticPr fontId="134" type="noConversion"/>
  </si>
  <si>
    <r>
      <rPr>
        <sz val="10.5"/>
        <color rgb="FF000000"/>
        <rFont val="Arial Unicode MS"/>
        <family val="2"/>
        <charset val="134"/>
      </rPr>
      <t>总计</t>
    </r>
  </si>
  <si>
    <t>住宅户数</t>
    <phoneticPr fontId="134" type="noConversion"/>
  </si>
  <si>
    <r>
      <t>12</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</si>
  <si>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10</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</si>
  <si>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22</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</si>
  <si>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r>
      <t>11</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</si>
  <si>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26</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</si>
  <si>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24</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</si>
  <si>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</si>
  <si>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t>地上规划建筑面积</t>
    <phoneticPr fontId="134" type="noConversion"/>
  </si>
  <si>
    <t>地下地上规划建筑面积</t>
    <phoneticPr fontId="134" type="noConversion"/>
  </si>
  <si>
    <t>城镇住宅用地</t>
  </si>
  <si>
    <t>估价对象容积率</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</si>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</sst>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theme="0"/>
      <name val="宋体"/>
      <family val="3"/>
      <charset val="134"/>
    </font>
    <font>
      <sz val="10"/>
      <name val="宋体"/>
      <family val="3"/>
      <charset val="134"/>
      <scheme val="minor"/>
    </font>
    <font>
      <sz val="10.5"/>
      <color rgb="FF000000"/>
      <name val="宋体"/>
      <family val="3"/>
      <charset val="134"/>
    </font>
    <font>
      <sz val="10.5"/>
      <color rgb="FF000000"/>
      <name val="Arial"/>
      <family val="2"/>
    </font>
    <font>
      <sz val="10.5"/>
      <color rgb="FF00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4" tint="-0.499984740745262"/>
        <bgColor indexed="64"/>
      </patternFill>
    </fill>
    <fill>
      <patternFill patternType="solid">
        <fgColor theme="0" tint="-0.149967955565050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indexed="64"/>
      </left>
      <right/>
      <top/>
      <bottom style="medium">
        <color rgb="FF000000"/>
      </bottom>
      <diagonal/>
    </border>
    <border>
      <left style="medium">
        <color indexed="64"/>
      </left>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0" fillId="0" borderId="0" xfId="0" applyAlignment="1">
      <alignment horizontal="center" vertical="center" wrapText="1"/>
    </xf>
    <xf numFmtId="0" fontId="0" fillId="9" borderId="0" xfId="0" applyFill="1" applyAlignment="1">
      <alignment horizontal="center" vertical="center" wrapText="1"/>
    </xf>
    <xf numFmtId="0" fontId="0" fillId="0" borderId="0" xfId="0" applyAlignment="1">
      <alignment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14" fontId="0" fillId="9" borderId="0" xfId="0" applyNumberFormat="1" applyFill="1" applyAlignment="1">
      <alignment horizontal="center" vertical="center" wrapText="1"/>
    </xf>
    <xf numFmtId="10" fontId="0" fillId="9" borderId="0" xfId="0" applyNumberFormat="1" applyFill="1" applyAlignment="1">
      <alignment horizontal="center" vertical="center"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10" fontId="0" fillId="5" borderId="0" xfId="0" applyNumberForma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0" fontId="0" fillId="22" borderId="0" xfId="0" applyNumberFormat="1" applyFill="1" applyAlignment="1">
      <alignment horizontal="center" vertical="center" wrapText="1"/>
    </xf>
    <xf numFmtId="0" fontId="0" fillId="22" borderId="0" xfId="0" applyFill="1" applyAlignment="1">
      <alignment wrapText="1"/>
    </xf>
    <xf numFmtId="0" fontId="95" fillId="0" borderId="0" xfId="0" applyFont="1" applyAlignment="1">
      <alignment wrapText="1"/>
    </xf>
    <xf numFmtId="0" fontId="0" fillId="9" borderId="0" xfId="0" applyFill="1" applyAlignment="1">
      <alignment wrapText="1"/>
    </xf>
    <xf numFmtId="0" fontId="0" fillId="5" borderId="0" xfId="0" applyFill="1" applyAlignment="1">
      <alignment wrapText="1"/>
    </xf>
    <xf numFmtId="0" fontId="95" fillId="22" borderId="0" xfId="0" applyFont="1" applyFill="1" applyAlignment="1">
      <alignment horizontal="center" vertical="center" wrapText="1"/>
    </xf>
    <xf numFmtId="0" fontId="95" fillId="5" borderId="0" xfId="0" applyFont="1" applyFill="1" applyAlignment="1">
      <alignment horizontal="center" vertical="center" wrapText="1"/>
    </xf>
    <xf numFmtId="0" fontId="95" fillId="9" borderId="0" xfId="0" applyFont="1" applyFill="1" applyAlignment="1">
      <alignment wrapText="1"/>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23" borderId="0" xfId="0" applyFill="1" applyAlignment="1">
      <alignment horizontal="center" vertical="center" wrapText="1"/>
    </xf>
    <xf numFmtId="14" fontId="0" fillId="23" borderId="0" xfId="0" applyNumberFormat="1" applyFill="1" applyAlignment="1">
      <alignment horizontal="center" vertical="center" wrapText="1"/>
    </xf>
    <xf numFmtId="10" fontId="0" fillId="23" borderId="0" xfId="0" applyNumberFormat="1" applyFill="1" applyAlignment="1">
      <alignment horizontal="center" vertical="center" wrapText="1"/>
    </xf>
    <xf numFmtId="0" fontId="0" fillId="23" borderId="0" xfId="0" applyFill="1" applyAlignment="1">
      <alignment wrapText="1"/>
    </xf>
    <xf numFmtId="0" fontId="95" fillId="23" borderId="0" xfId="0" applyFont="1" applyFill="1" applyAlignment="1">
      <alignment horizontal="center" vertical="center" wrapText="1"/>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23" borderId="41" xfId="0" applyFont="1" applyFill="1" applyBorder="1" applyAlignment="1" applyProtection="1">
      <alignment horizontal="center" vertical="center" wrapText="1"/>
      <protection locked="0"/>
    </xf>
    <xf numFmtId="176" fontId="44" fillId="22" borderId="24" xfId="1" applyNumberFormat="1" applyFont="1" applyFill="1" applyBorder="1" applyAlignment="1" applyProtection="1">
      <alignment horizontal="center" vertical="center"/>
      <protection locked="0"/>
    </xf>
    <xf numFmtId="10" fontId="95" fillId="0" borderId="0" xfId="0" applyNumberFormat="1" applyFont="1" applyAlignment="1">
      <alignment horizontal="center" vertical="center" wrapText="1"/>
    </xf>
    <xf numFmtId="10" fontId="95" fillId="22" borderId="0" xfId="0" applyNumberFormat="1" applyFont="1" applyFill="1" applyAlignment="1">
      <alignment horizontal="center" vertical="center" wrapText="1"/>
    </xf>
    <xf numFmtId="10" fontId="0" fillId="0" borderId="0" xfId="0" applyNumberFormat="1" applyAlignment="1">
      <alignment wrapText="1"/>
    </xf>
    <xf numFmtId="0" fontId="95" fillId="5" borderId="0" xfId="0" applyFont="1" applyFill="1" applyAlignment="1">
      <alignment wrapText="1"/>
    </xf>
    <xf numFmtId="0" fontId="77" fillId="12" borderId="0" xfId="0" applyFont="1" applyFill="1" applyProtection="1">
      <alignment vertical="center"/>
      <protection locked="0"/>
    </xf>
    <xf numFmtId="181" fontId="99"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49" fontId="51" fillId="12" borderId="0" xfId="0" applyNumberFormat="1" applyFont="1" applyFill="1" applyAlignment="1" applyProtection="1">
      <alignment horizontal="center" vertical="center"/>
      <protection locked="0"/>
    </xf>
    <xf numFmtId="194" fontId="269" fillId="24" borderId="176" xfId="0" applyNumberFormat="1" applyFont="1" applyFill="1" applyBorder="1" applyAlignment="1" applyProtection="1">
      <alignment horizontal="center" vertical="center" wrapText="1"/>
      <protection locked="0"/>
    </xf>
    <xf numFmtId="0" fontId="94" fillId="0" borderId="1" xfId="0" applyFont="1" applyBorder="1" applyAlignment="1">
      <alignment horizontal="center" vertical="center" wrapText="1"/>
    </xf>
    <xf numFmtId="0" fontId="0" fillId="25" borderId="2" xfId="0" applyFill="1" applyBorder="1" applyAlignment="1" applyProtection="1">
      <alignment horizontal="center" vertical="center"/>
      <protection hidden="1"/>
    </xf>
    <xf numFmtId="0" fontId="0" fillId="0" borderId="0" xfId="0" applyAlignment="1">
      <alignment horizontal="center" vertical="center"/>
    </xf>
    <xf numFmtId="9" fontId="44" fillId="5" borderId="37" xfId="0" applyNumberFormat="1" applyFont="1" applyFill="1" applyBorder="1" applyAlignment="1" applyProtection="1">
      <alignment horizontal="center" vertical="center" wrapText="1"/>
      <protection locked="0"/>
    </xf>
    <xf numFmtId="0" fontId="95" fillId="9" borderId="0" xfId="0" applyFont="1" applyFill="1" applyAlignment="1">
      <alignment horizontal="center" vertical="center" wrapText="1"/>
    </xf>
    <xf numFmtId="179" fontId="47" fillId="0" borderId="1" xfId="0" applyNumberFormat="1" applyFont="1" applyBorder="1" applyAlignment="1" applyProtection="1">
      <alignment horizontal="center" vertical="center" wrapText="1"/>
      <protection locked="0"/>
    </xf>
    <xf numFmtId="0" fontId="107" fillId="0" borderId="0" xfId="0" applyFont="1">
      <alignment vertical="center"/>
    </xf>
    <xf numFmtId="0" fontId="270" fillId="0" borderId="0" xfId="0" applyFont="1">
      <alignment vertical="center"/>
    </xf>
    <xf numFmtId="0" fontId="178" fillId="0" borderId="63" xfId="0" applyFont="1" applyBorder="1" applyAlignment="1">
      <alignment horizontal="center" vertical="center" wrapText="1"/>
    </xf>
    <xf numFmtId="0" fontId="178" fillId="0" borderId="42" xfId="0" applyFont="1" applyBorder="1" applyAlignment="1">
      <alignment horizontal="center" vertical="center" wrapText="1"/>
    </xf>
    <xf numFmtId="0" fontId="19" fillId="0" borderId="1" xfId="0" applyFont="1" applyBorder="1" applyAlignment="1">
      <alignment horizontal="left" vertical="center" wrapText="1"/>
    </xf>
    <xf numFmtId="0" fontId="122" fillId="0" borderId="1" xfId="0" applyFont="1" applyBorder="1" applyAlignment="1">
      <alignment horizontal="left" vertical="center" wrapText="1"/>
    </xf>
    <xf numFmtId="0" fontId="19" fillId="0" borderId="1" xfId="0" applyFont="1" applyBorder="1" applyAlignment="1">
      <alignment horizontal="left" vertical="center"/>
    </xf>
    <xf numFmtId="0" fontId="107" fillId="0" borderId="1" xfId="0" applyFont="1" applyBorder="1" applyAlignment="1">
      <alignment horizontal="left" vertical="center"/>
    </xf>
    <xf numFmtId="0" fontId="272" fillId="0" borderId="1" xfId="0" applyFont="1" applyBorder="1" applyAlignment="1">
      <alignment horizontal="left" vertical="center" wrapText="1"/>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63" fillId="0" borderId="178" xfId="0" applyFont="1" applyBorder="1" applyAlignment="1">
      <alignment horizontal="center" vertical="center"/>
    </xf>
    <xf numFmtId="0" fontId="163" fillId="0" borderId="18" xfId="0" applyFont="1" applyBorder="1" applyAlignment="1">
      <alignment horizontal="center" vertical="center"/>
    </xf>
    <xf numFmtId="0" fontId="163" fillId="0" borderId="177" xfId="0" applyFont="1" applyBorder="1" applyAlignment="1">
      <alignment horizontal="center" vertical="center"/>
    </xf>
    <xf numFmtId="0" fontId="163" fillId="0" borderId="16" xfId="0" applyFont="1" applyBorder="1" applyAlignment="1">
      <alignment horizontal="center" vertical="center"/>
    </xf>
    <xf numFmtId="0" fontId="163" fillId="0" borderId="42" xfId="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2" fillId="0" borderId="5" xfId="0" applyFont="1" applyBorder="1" applyAlignment="1">
      <alignment horizontal="center" vertical="center" wrapText="1"/>
    </xf>
    <xf numFmtId="0" fontId="272" fillId="0" borderId="54" xfId="0" applyFont="1" applyBorder="1" applyAlignment="1">
      <alignment horizontal="center" vertical="center" wrapText="1"/>
    </xf>
    <xf numFmtId="0" fontId="272" fillId="0" borderId="3" xfId="0" applyFont="1" applyBorder="1" applyAlignment="1">
      <alignment horizontal="center" vertical="center" wrapText="1"/>
    </xf>
    <xf numFmtId="0" fontId="272" fillId="0" borderId="1" xfId="0" applyFont="1" applyBorder="1" applyAlignment="1">
      <alignment horizontal="left" vertical="center" wrapText="1"/>
    </xf>
    <xf numFmtId="0" fontId="273" fillId="0" borderId="1" xfId="0" applyFont="1" applyBorder="1" applyAlignment="1">
      <alignment horizontal="left" vertical="center" wrapText="1"/>
    </xf>
    <xf numFmtId="0" fontId="95" fillId="0" borderId="1" xfId="0" applyFont="1" applyBorder="1" applyAlignment="1">
      <alignment horizontal="left" vertical="center" wrapText="1"/>
    </xf>
    <xf numFmtId="0" fontId="271" fillId="0" borderId="1" xfId="0" applyFont="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9" fontId="166" fillId="0" borderId="23" xfId="0" applyNumberFormat="1"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5</xdr:col>
      <xdr:colOff>289983</xdr:colOff>
      <xdr:row>61</xdr:row>
      <xdr:rowOff>138316</xdr:rowOff>
    </xdr:to>
    <xdr:pic>
      <xdr:nvPicPr>
        <xdr:cNvPr id="3" name="图片 2">
          <a:extLst>
            <a:ext uri="{FF2B5EF4-FFF2-40B4-BE49-F238E27FC236}">
              <a16:creationId xmlns:a16="http://schemas.microsoft.com/office/drawing/2014/main" xmlns="" id="{50D42A88-F54D-B18D-BAAE-9873DD076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1000"/>
          <a:ext cx="7772400" cy="5218316"/>
        </a:xfrm>
        <a:prstGeom prst="rect">
          <a:avLst/>
        </a:prstGeom>
      </xdr:spPr>
    </xdr:pic>
    <xdr:clientData/>
  </xdr:twoCellAnchor>
  <xdr:twoCellAnchor editAs="oneCell">
    <xdr:from>
      <xdr:col>0</xdr:col>
      <xdr:colOff>0</xdr:colOff>
      <xdr:row>62</xdr:row>
      <xdr:rowOff>0</xdr:rowOff>
    </xdr:from>
    <xdr:to>
      <xdr:col>5</xdr:col>
      <xdr:colOff>289983</xdr:colOff>
      <xdr:row>83</xdr:row>
      <xdr:rowOff>89138</xdr:rowOff>
    </xdr:to>
    <xdr:pic>
      <xdr:nvPicPr>
        <xdr:cNvPr id="5" name="图片 4">
          <a:extLst>
            <a:ext uri="{FF2B5EF4-FFF2-40B4-BE49-F238E27FC236}">
              <a16:creationId xmlns:a16="http://schemas.microsoft.com/office/drawing/2014/main" xmlns="" id="{C8D9AA99-7C8D-8DD2-E7D7-227B379F37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70333"/>
          <a:ext cx="7772400" cy="3645138"/>
        </a:xfrm>
        <a:prstGeom prst="rect">
          <a:avLst/>
        </a:prstGeom>
      </xdr:spPr>
    </xdr:pic>
    <xdr:clientData/>
  </xdr:twoCellAnchor>
  <xdr:twoCellAnchor editAs="oneCell">
    <xdr:from>
      <xdr:col>0</xdr:col>
      <xdr:colOff>0</xdr:colOff>
      <xdr:row>85</xdr:row>
      <xdr:rowOff>0</xdr:rowOff>
    </xdr:from>
    <xdr:to>
      <xdr:col>5</xdr:col>
      <xdr:colOff>289983</xdr:colOff>
      <xdr:row>116</xdr:row>
      <xdr:rowOff>117158</xdr:rowOff>
    </xdr:to>
    <xdr:pic>
      <xdr:nvPicPr>
        <xdr:cNvPr id="7" name="图片 6">
          <a:extLst>
            <a:ext uri="{FF2B5EF4-FFF2-40B4-BE49-F238E27FC236}">
              <a16:creationId xmlns:a16="http://schemas.microsoft.com/office/drawing/2014/main" xmlns="" id="{6B7CCB1E-616C-C1E4-C1FD-084549B604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65000"/>
          <a:ext cx="7772400" cy="5366492"/>
        </a:xfrm>
        <a:prstGeom prst="rect">
          <a:avLst/>
        </a:prstGeom>
      </xdr:spPr>
    </xdr:pic>
    <xdr:clientData/>
  </xdr:twoCellAnchor>
  <xdr:twoCellAnchor editAs="oneCell">
    <xdr:from>
      <xdr:col>0</xdr:col>
      <xdr:colOff>0</xdr:colOff>
      <xdr:row>117</xdr:row>
      <xdr:rowOff>0</xdr:rowOff>
    </xdr:from>
    <xdr:to>
      <xdr:col>5</xdr:col>
      <xdr:colOff>289983</xdr:colOff>
      <xdr:row>139</xdr:row>
      <xdr:rowOff>24447</xdr:rowOff>
    </xdr:to>
    <xdr:pic>
      <xdr:nvPicPr>
        <xdr:cNvPr id="9" name="图片 8">
          <a:extLst>
            <a:ext uri="{FF2B5EF4-FFF2-40B4-BE49-F238E27FC236}">
              <a16:creationId xmlns:a16="http://schemas.microsoft.com/office/drawing/2014/main" xmlns="" id="{EC852402-3170-076D-D841-DEE6CEAE43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483667"/>
          <a:ext cx="7772400" cy="3749780"/>
        </a:xfrm>
        <a:prstGeom prst="rect">
          <a:avLst/>
        </a:prstGeom>
      </xdr:spPr>
    </xdr:pic>
    <xdr:clientData/>
  </xdr:twoCellAnchor>
  <xdr:twoCellAnchor editAs="oneCell">
    <xdr:from>
      <xdr:col>0</xdr:col>
      <xdr:colOff>0</xdr:colOff>
      <xdr:row>141</xdr:row>
      <xdr:rowOff>0</xdr:rowOff>
    </xdr:from>
    <xdr:to>
      <xdr:col>5</xdr:col>
      <xdr:colOff>289983</xdr:colOff>
      <xdr:row>170</xdr:row>
      <xdr:rowOff>107569</xdr:rowOff>
    </xdr:to>
    <xdr:pic>
      <xdr:nvPicPr>
        <xdr:cNvPr id="11" name="图片 10">
          <a:extLst>
            <a:ext uri="{FF2B5EF4-FFF2-40B4-BE49-F238E27FC236}">
              <a16:creationId xmlns:a16="http://schemas.microsoft.com/office/drawing/2014/main" xmlns="" id="{A4905F76-E70B-C635-CD8F-221EAEE08C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547667"/>
          <a:ext cx="7772400" cy="5018236"/>
        </a:xfrm>
        <a:prstGeom prst="rect">
          <a:avLst/>
        </a:prstGeom>
      </xdr:spPr>
    </xdr:pic>
    <xdr:clientData/>
  </xdr:twoCellAnchor>
  <xdr:twoCellAnchor editAs="oneCell">
    <xdr:from>
      <xdr:col>0</xdr:col>
      <xdr:colOff>0</xdr:colOff>
      <xdr:row>171</xdr:row>
      <xdr:rowOff>0</xdr:rowOff>
    </xdr:from>
    <xdr:to>
      <xdr:col>5</xdr:col>
      <xdr:colOff>289983</xdr:colOff>
      <xdr:row>192</xdr:row>
      <xdr:rowOff>16626</xdr:rowOff>
    </xdr:to>
    <xdr:pic>
      <xdr:nvPicPr>
        <xdr:cNvPr id="13" name="图片 12">
          <a:extLst>
            <a:ext uri="{FF2B5EF4-FFF2-40B4-BE49-F238E27FC236}">
              <a16:creationId xmlns:a16="http://schemas.microsoft.com/office/drawing/2014/main" xmlns="" id="{F3C765F5-0BAB-2DF2-1990-72364E0B87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627667"/>
          <a:ext cx="7772400" cy="3572626"/>
        </a:xfrm>
        <a:prstGeom prst="rect">
          <a:avLst/>
        </a:prstGeom>
      </xdr:spPr>
    </xdr:pic>
    <xdr:clientData/>
  </xdr:twoCellAnchor>
  <xdr:twoCellAnchor editAs="oneCell">
    <xdr:from>
      <xdr:col>6</xdr:col>
      <xdr:colOff>0</xdr:colOff>
      <xdr:row>31</xdr:row>
      <xdr:rowOff>0</xdr:rowOff>
    </xdr:from>
    <xdr:to>
      <xdr:col>15</xdr:col>
      <xdr:colOff>67733</xdr:colOff>
      <xdr:row>58</xdr:row>
      <xdr:rowOff>51237</xdr:rowOff>
    </xdr:to>
    <xdr:pic>
      <xdr:nvPicPr>
        <xdr:cNvPr id="15" name="图片 14">
          <a:extLst>
            <a:ext uri="{FF2B5EF4-FFF2-40B4-BE49-F238E27FC236}">
              <a16:creationId xmlns:a16="http://schemas.microsoft.com/office/drawing/2014/main" xmlns="" id="{DCADB7EA-CF54-0894-ADDE-E0F8F15E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112250" y="3090333"/>
          <a:ext cx="7772400" cy="4623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11</xdr:col>
      <xdr:colOff>228600</xdr:colOff>
      <xdr:row>21</xdr:row>
      <xdr:rowOff>82794</xdr:rowOff>
    </xdr:to>
    <xdr:pic>
      <xdr:nvPicPr>
        <xdr:cNvPr id="3" name="图片 2">
          <a:extLst>
            <a:ext uri="{FF2B5EF4-FFF2-40B4-BE49-F238E27FC236}">
              <a16:creationId xmlns:a16="http://schemas.microsoft.com/office/drawing/2014/main" xmlns="" id="{64586732-2110-3600-5550-665296005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5275"/>
          <a:ext cx="7772400" cy="3387969"/>
        </a:xfrm>
        <a:prstGeom prst="rect">
          <a:avLst/>
        </a:prstGeom>
      </xdr:spPr>
    </xdr:pic>
    <xdr:clientData/>
  </xdr:twoCellAnchor>
  <xdr:twoCellAnchor editAs="oneCell">
    <xdr:from>
      <xdr:col>0</xdr:col>
      <xdr:colOff>19050</xdr:colOff>
      <xdr:row>24</xdr:row>
      <xdr:rowOff>85725</xdr:rowOff>
    </xdr:from>
    <xdr:to>
      <xdr:col>11</xdr:col>
      <xdr:colOff>247650</xdr:colOff>
      <xdr:row>43</xdr:row>
      <xdr:rowOff>161367</xdr:rowOff>
    </xdr:to>
    <xdr:pic>
      <xdr:nvPicPr>
        <xdr:cNvPr id="5" name="图片 4">
          <a:extLst>
            <a:ext uri="{FF2B5EF4-FFF2-40B4-BE49-F238E27FC236}">
              <a16:creationId xmlns:a16="http://schemas.microsoft.com/office/drawing/2014/main" xmlns="" id="{6B944926-D411-106B-2E5B-B244819AD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4200525"/>
          <a:ext cx="7772400" cy="3333192"/>
        </a:xfrm>
        <a:prstGeom prst="rect">
          <a:avLst/>
        </a:prstGeom>
      </xdr:spPr>
    </xdr:pic>
    <xdr:clientData/>
  </xdr:twoCellAnchor>
  <xdr:twoCellAnchor editAs="oneCell">
    <xdr:from>
      <xdr:col>0</xdr:col>
      <xdr:colOff>0</xdr:colOff>
      <xdr:row>46</xdr:row>
      <xdr:rowOff>0</xdr:rowOff>
    </xdr:from>
    <xdr:to>
      <xdr:col>11</xdr:col>
      <xdr:colOff>228600</xdr:colOff>
      <xdr:row>65</xdr:row>
      <xdr:rowOff>67427</xdr:rowOff>
    </xdr:to>
    <xdr:pic>
      <xdr:nvPicPr>
        <xdr:cNvPr id="7" name="图片 6">
          <a:extLst>
            <a:ext uri="{FF2B5EF4-FFF2-40B4-BE49-F238E27FC236}">
              <a16:creationId xmlns:a16="http://schemas.microsoft.com/office/drawing/2014/main" xmlns="" id="{B62837C1-90E6-7AC4-0656-62A7FD9084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86700"/>
          <a:ext cx="7772400" cy="3324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13</xdr:row>
      <xdr:rowOff>139920</xdr:rowOff>
    </xdr:to>
    <xdr:pic>
      <xdr:nvPicPr>
        <xdr:cNvPr id="3" name="图片 2">
          <a:extLst>
            <a:ext uri="{FF2B5EF4-FFF2-40B4-BE49-F238E27FC236}">
              <a16:creationId xmlns:a16="http://schemas.microsoft.com/office/drawing/2014/main" xmlns="" id="{DC6B06F9-5651-A6AC-A390-2B5B8AAE6C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197320"/>
        </a:xfrm>
        <a:prstGeom prst="rect">
          <a:avLst/>
        </a:prstGeom>
      </xdr:spPr>
    </xdr:pic>
    <xdr:clientData/>
  </xdr:twoCellAnchor>
  <xdr:twoCellAnchor editAs="oneCell">
    <xdr:from>
      <xdr:col>0</xdr:col>
      <xdr:colOff>0</xdr:colOff>
      <xdr:row>16</xdr:row>
      <xdr:rowOff>0</xdr:rowOff>
    </xdr:from>
    <xdr:to>
      <xdr:col>11</xdr:col>
      <xdr:colOff>228600</xdr:colOff>
      <xdr:row>25</xdr:row>
      <xdr:rowOff>136903</xdr:rowOff>
    </xdr:to>
    <xdr:pic>
      <xdr:nvPicPr>
        <xdr:cNvPr id="5" name="图片 4">
          <a:extLst>
            <a:ext uri="{FF2B5EF4-FFF2-40B4-BE49-F238E27FC236}">
              <a16:creationId xmlns:a16="http://schemas.microsoft.com/office/drawing/2014/main" xmlns="" id="{6A3EC868-2B5F-C5A5-87C4-6841BE89B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43200"/>
          <a:ext cx="7772400" cy="1679953"/>
        </a:xfrm>
        <a:prstGeom prst="rect">
          <a:avLst/>
        </a:prstGeom>
      </xdr:spPr>
    </xdr:pic>
    <xdr:clientData/>
  </xdr:twoCellAnchor>
  <xdr:twoCellAnchor editAs="oneCell">
    <xdr:from>
      <xdr:col>0</xdr:col>
      <xdr:colOff>0</xdr:colOff>
      <xdr:row>28</xdr:row>
      <xdr:rowOff>0</xdr:rowOff>
    </xdr:from>
    <xdr:to>
      <xdr:col>11</xdr:col>
      <xdr:colOff>228600</xdr:colOff>
      <xdr:row>40</xdr:row>
      <xdr:rowOff>8043</xdr:rowOff>
    </xdr:to>
    <xdr:pic>
      <xdr:nvPicPr>
        <xdr:cNvPr id="7" name="图片 6">
          <a:extLst>
            <a:ext uri="{FF2B5EF4-FFF2-40B4-BE49-F238E27FC236}">
              <a16:creationId xmlns:a16="http://schemas.microsoft.com/office/drawing/2014/main" xmlns="" id="{12AB8B00-AE74-03AC-6FD0-E2DF0D36A7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0"/>
          <a:ext cx="7772400" cy="20654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15</xdr:row>
      <xdr:rowOff>79499</xdr:rowOff>
    </xdr:to>
    <xdr:pic>
      <xdr:nvPicPr>
        <xdr:cNvPr id="3" name="图片 2">
          <a:extLst>
            <a:ext uri="{FF2B5EF4-FFF2-40B4-BE49-F238E27FC236}">
              <a16:creationId xmlns:a16="http://schemas.microsoft.com/office/drawing/2014/main" xmlns="" id="{21758158-08CE-0C4B-4C82-9C41B8427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479799"/>
        </a:xfrm>
        <a:prstGeom prst="rect">
          <a:avLst/>
        </a:prstGeom>
      </xdr:spPr>
    </xdr:pic>
    <xdr:clientData/>
  </xdr:twoCellAnchor>
  <xdr:twoCellAnchor editAs="oneCell">
    <xdr:from>
      <xdr:col>0</xdr:col>
      <xdr:colOff>0</xdr:colOff>
      <xdr:row>18</xdr:row>
      <xdr:rowOff>0</xdr:rowOff>
    </xdr:from>
    <xdr:to>
      <xdr:col>11</xdr:col>
      <xdr:colOff>228600</xdr:colOff>
      <xdr:row>35</xdr:row>
      <xdr:rowOff>160455</xdr:rowOff>
    </xdr:to>
    <xdr:pic>
      <xdr:nvPicPr>
        <xdr:cNvPr id="5" name="图片 4">
          <a:extLst>
            <a:ext uri="{FF2B5EF4-FFF2-40B4-BE49-F238E27FC236}">
              <a16:creationId xmlns:a16="http://schemas.microsoft.com/office/drawing/2014/main" xmlns="" id="{9B78D81B-9342-9815-F204-332E03C66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86100"/>
          <a:ext cx="7772400" cy="3075105"/>
        </a:xfrm>
        <a:prstGeom prst="rect">
          <a:avLst/>
        </a:prstGeom>
      </xdr:spPr>
    </xdr:pic>
    <xdr:clientData/>
  </xdr:twoCellAnchor>
  <xdr:twoCellAnchor editAs="oneCell">
    <xdr:from>
      <xdr:col>0</xdr:col>
      <xdr:colOff>0</xdr:colOff>
      <xdr:row>38</xdr:row>
      <xdr:rowOff>0</xdr:rowOff>
    </xdr:from>
    <xdr:to>
      <xdr:col>11</xdr:col>
      <xdr:colOff>228600</xdr:colOff>
      <xdr:row>57</xdr:row>
      <xdr:rowOff>77516</xdr:rowOff>
    </xdr:to>
    <xdr:pic>
      <xdr:nvPicPr>
        <xdr:cNvPr id="7" name="图片 6">
          <a:extLst>
            <a:ext uri="{FF2B5EF4-FFF2-40B4-BE49-F238E27FC236}">
              <a16:creationId xmlns:a16="http://schemas.microsoft.com/office/drawing/2014/main" xmlns="" id="{501D7FBB-61B1-0F92-FAE2-AE5C7E5B66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0"/>
          <a:ext cx="7772400" cy="3335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07" customWidth="1"/>
    <col min="2" max="2" width="81" style="1123" customWidth="1"/>
    <col min="3" max="16384" width="9" style="1116"/>
  </cols>
  <sheetData>
    <row r="1" spans="1:2" s="1110" customFormat="1" ht="16.2" thickBot="1">
      <c r="A1" s="1109" t="s">
        <v>521</v>
      </c>
      <c r="B1" s="1108" t="s">
        <v>600</v>
      </c>
    </row>
    <row r="2" spans="1:2" s="1113" customFormat="1" ht="16.2" thickTop="1">
      <c r="A2" s="1111" t="s">
        <v>522</v>
      </c>
      <c r="B2" s="1112" t="str">
        <f>'预评函-封皮'!B37:I37</f>
        <v>北京市出让国有建设用地使用权及在建建筑物房地产抵押价值预评估</v>
      </c>
    </row>
    <row r="3" spans="1:2">
      <c r="A3" s="1114" t="s">
        <v>523</v>
      </c>
      <c r="B3" s="1115">
        <f>'预评函-封皮'!B40</f>
        <v>0</v>
      </c>
    </row>
    <row r="4" spans="1:2">
      <c r="A4" s="1114" t="s">
        <v>524</v>
      </c>
      <c r="B4" s="1115" t="str">
        <f ca="1">'预评函-封皮'!B46</f>
        <v>郑燚（注册号：1120070131)、吴薇（注册号：1419970001)</v>
      </c>
    </row>
    <row r="5" spans="1:2" s="1110" customFormat="1" ht="16.2" thickBot="1">
      <c r="A5" s="1117" t="s">
        <v>525</v>
      </c>
      <c r="B5" s="1118" t="str">
        <f>'预评函-封皮'!B49</f>
        <v>康正预评字号</v>
      </c>
    </row>
    <row r="6" spans="1:2" s="1113" customFormat="1" ht="16.2" thickTop="1">
      <c r="A6" s="1111" t="s">
        <v>526</v>
      </c>
      <c r="B6" s="1112" t="str">
        <f>'预评函-1'!A4</f>
        <v>受贵公司委托，我公司对北京市出让国有建设用地使用权及在建建筑物房地产抵押价值进行了预评估。</v>
      </c>
    </row>
    <row r="7" spans="1:2">
      <c r="A7" s="1114" t="s">
        <v>566</v>
      </c>
      <c r="B7" s="1115" t="str">
        <f>'预评函-1'!A7</f>
        <v>估价对象为北京市出让国有建设用地使用权及在建建筑物房地产，为所有。根据，估价对象（分摊）出让国有建设用地使用权面积为8682.75平方米，建筑面积为35822.61平方米。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估价对象为北京市出让国有建设用地使用权及在建建筑物房地产,属开发建设的，该项目尚在开发建设中。根据，估价对象（分摊）出让国有建设用地使用权面积为8682.75平方米，规划建筑面积为35822.61平方米。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2023年4月13日（评估专业人员实地查勘之日）</v>
      </c>
    </row>
    <row r="13" spans="1:2">
      <c r="A13" s="1114" t="s">
        <v>529</v>
      </c>
      <c r="B13" s="1115"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6.2" thickBot="1">
      <c r="A18" s="1117" t="s">
        <v>534</v>
      </c>
      <c r="B18" s="1118" t="str">
        <f>'预评函-1'!A24</f>
        <v>本次评估采用的主估价方法为成本法和假设开发法。</v>
      </c>
    </row>
    <row r="19" spans="1:2" s="1113" customFormat="1" ht="16.2"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175495</v>
      </c>
    </row>
    <row r="21" spans="1:2">
      <c r="A21" s="1114" t="s">
        <v>537</v>
      </c>
      <c r="B21" s="1115">
        <f ca="1">'预评函-2'!D7</f>
        <v>48990</v>
      </c>
    </row>
    <row r="22" spans="1:2">
      <c r="A22" s="1114" t="s">
        <v>538</v>
      </c>
      <c r="B22" s="1115" t="str">
        <f ca="1">'预评函-2'!D6</f>
        <v>壹拾柒亿伍仟肆佰玖拾伍万元整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175495</v>
      </c>
    </row>
    <row r="31" spans="1:2">
      <c r="A31" s="1114" t="s">
        <v>576</v>
      </c>
      <c r="B31" s="1115">
        <f ca="1">'预评函-2'!D15</f>
        <v>48990</v>
      </c>
    </row>
    <row r="32" spans="1:2">
      <c r="A32" s="1114" t="s">
        <v>543</v>
      </c>
      <c r="B32" s="1115" t="str">
        <f ca="1">'预评函-2'!D14</f>
        <v>壹拾柒亿伍仟肆佰玖拾伍万元整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北京市出让国有建设用地使用权及在建建筑物房地产</v>
      </c>
    </row>
    <row r="42" spans="1:2" ht="31.2">
      <c r="A42" s="1114" t="s">
        <v>590</v>
      </c>
      <c r="B42" s="1115" t="str">
        <f>'预评函-3'!B2</f>
        <v>建筑面积</v>
      </c>
    </row>
    <row r="43" spans="1:2">
      <c r="A43" s="1114" t="s">
        <v>591</v>
      </c>
      <c r="B43" s="1115">
        <f>'预评函-3'!B4</f>
        <v>35822.61</v>
      </c>
    </row>
    <row r="44" spans="1:2" ht="31.2">
      <c r="A44" s="1114" t="s">
        <v>575</v>
      </c>
      <c r="B44" s="1115" t="str">
        <f>'预评函-3'!C2</f>
        <v>(分摊)土地面积</v>
      </c>
    </row>
    <row r="45" spans="1:2">
      <c r="A45" s="1114" t="s">
        <v>547</v>
      </c>
      <c r="B45" s="1115">
        <f>'预评函-3'!C4</f>
        <v>8682.75</v>
      </c>
    </row>
    <row r="46" spans="1:2">
      <c r="A46" s="1114" t="s">
        <v>573</v>
      </c>
      <c r="B46" s="1115" t="str">
        <f>'预评函-3'!D2</f>
        <v>出让国有建设用地使用权价值</v>
      </c>
    </row>
    <row r="47" spans="1:2">
      <c r="A47" s="1114" t="s">
        <v>548</v>
      </c>
      <c r="B47" s="1115">
        <f ca="1">'预评函-3'!D4</f>
        <v>154436</v>
      </c>
    </row>
    <row r="48" spans="1:2">
      <c r="A48" s="1114" t="s">
        <v>549</v>
      </c>
      <c r="B48" s="1115">
        <f ca="1">'预评函-3'!E4</f>
        <v>43111</v>
      </c>
    </row>
    <row r="49" spans="1:2">
      <c r="A49" s="1114" t="s">
        <v>550</v>
      </c>
      <c r="B49" s="1115" t="str">
        <f ca="1">'预评函-3'!D5</f>
        <v>壹拾伍亿肆仟肆佰叁拾陆万元整</v>
      </c>
    </row>
    <row r="50" spans="1:2">
      <c r="A50" s="1114" t="s">
        <v>574</v>
      </c>
      <c r="B50" s="1115" t="str">
        <f>'预评函-3'!F2</f>
        <v>在建建筑物价值</v>
      </c>
    </row>
    <row r="51" spans="1:2">
      <c r="A51" s="1114" t="s">
        <v>551</v>
      </c>
      <c r="B51" s="1115">
        <f ca="1">'预评函-3'!F4</f>
        <v>21059</v>
      </c>
    </row>
    <row r="52" spans="1:2">
      <c r="A52" s="1114" t="s">
        <v>552</v>
      </c>
      <c r="B52" s="1115">
        <f ca="1">'预评函-3'!G4</f>
        <v>5879</v>
      </c>
    </row>
    <row r="53" spans="1:2">
      <c r="A53" s="1114" t="s">
        <v>580</v>
      </c>
      <c r="B53" s="1115" t="str">
        <f ca="1">'预评函-3'!F5</f>
        <v>贰亿壹仟零伍拾玖万元整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6.2" thickBot="1">
      <c r="A57" s="1117" t="s">
        <v>599</v>
      </c>
      <c r="B57" s="1118" t="str">
        <f>'预评函-3'!A6</f>
        <v>估价师知悉的法定优先受偿款</v>
      </c>
    </row>
    <row r="58" spans="1:2" s="1113" customFormat="1" ht="16.2"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6.2" thickBot="1">
      <c r="A69" s="1117" t="s">
        <v>561</v>
      </c>
      <c r="B69" s="1119">
        <f>'预评函-4'!C31</f>
        <v>42551</v>
      </c>
    </row>
    <row r="70" spans="1:2" ht="16.2" thickTop="1">
      <c r="A70" s="1120" t="s">
        <v>562</v>
      </c>
      <c r="B70" s="1121" t="str">
        <f>'预评函-4'!A4</f>
        <v>郑燚</v>
      </c>
    </row>
    <row r="71" spans="1:2">
      <c r="A71" s="1114" t="s">
        <v>563</v>
      </c>
      <c r="B71" s="1115">
        <f ca="1">'预评函-4'!B4</f>
        <v>1120070131</v>
      </c>
    </row>
    <row r="72" spans="1:2">
      <c r="A72" s="1114" t="s">
        <v>564</v>
      </c>
      <c r="B72" s="1122" t="str">
        <f>'预评函-4'!A5</f>
        <v>吴薇</v>
      </c>
    </row>
    <row r="73" spans="1:2" s="1110" customFormat="1" ht="16.2" thickBot="1">
      <c r="A73" s="1117" t="s">
        <v>565</v>
      </c>
      <c r="B73" s="1118">
        <f ca="1">'预评函-4'!B5</f>
        <v>1419970001</v>
      </c>
    </row>
    <row r="74" spans="1:2" ht="16.2"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2573</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2574</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2286</v>
      </c>
      <c r="C17" s="1437"/>
    </row>
    <row r="18" spans="1:3">
      <c r="A18" s="1436" t="s">
        <v>1046</v>
      </c>
      <c r="B18" s="1436" t="s">
        <v>2429</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4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2" t="s">
        <v>385</v>
      </c>
      <c r="C54" s="1440" t="s">
        <v>583</v>
      </c>
    </row>
    <row r="55" spans="1:4">
      <c r="A55" s="3249"/>
      <c r="B55" s="1442" t="s">
        <v>386</v>
      </c>
      <c r="C55" s="1440" t="s">
        <v>584</v>
      </c>
    </row>
    <row r="56" spans="1:4">
      <c r="A56" s="3249"/>
      <c r="B56" s="1442" t="s">
        <v>387</v>
      </c>
      <c r="C56" s="1440" t="s">
        <v>588</v>
      </c>
    </row>
    <row r="57" spans="1:4">
      <c r="A57" s="324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2496</v>
      </c>
      <c r="B1" s="2749"/>
      <c r="C1" s="2749"/>
      <c r="D1" s="2749"/>
      <c r="E1" s="2749"/>
      <c r="F1" s="2750"/>
      <c r="I1" s="3128" t="s">
        <v>2589</v>
      </c>
      <c r="J1" s="2775"/>
      <c r="K1" s="2775"/>
      <c r="L1" s="2775"/>
      <c r="M1" s="2775"/>
      <c r="N1" s="2961"/>
      <c r="O1" s="2961"/>
      <c r="P1" s="2961"/>
      <c r="Q1" s="2961"/>
      <c r="R1" s="2961"/>
    </row>
    <row r="2" spans="1:18">
      <c r="A2" s="2752"/>
      <c r="B2" s="2753"/>
      <c r="C2" s="2753"/>
      <c r="D2" s="2753"/>
      <c r="E2" s="2753"/>
      <c r="F2" s="2754"/>
      <c r="I2" s="3250" t="s">
        <v>2576</v>
      </c>
      <c r="J2" s="3250"/>
      <c r="K2" s="3250"/>
      <c r="L2" s="3250"/>
      <c r="M2" s="3250"/>
      <c r="N2" s="3250"/>
      <c r="O2" s="3250"/>
      <c r="P2" s="3250"/>
      <c r="Q2" s="3250"/>
      <c r="R2" s="3250"/>
    </row>
    <row r="3" spans="1:18">
      <c r="A3" s="2755" t="s">
        <v>2497</v>
      </c>
      <c r="B3" s="2756">
        <f>项目基本情况!D3</f>
        <v>45029</v>
      </c>
      <c r="C3" s="2758"/>
      <c r="D3" s="2758"/>
      <c r="E3" s="2758"/>
      <c r="F3" s="2754"/>
      <c r="I3" s="2770"/>
      <c r="J3" s="2770" t="s">
        <v>2580</v>
      </c>
      <c r="K3" s="2770" t="s">
        <v>2581</v>
      </c>
      <c r="L3" s="2770" t="s">
        <v>2582</v>
      </c>
      <c r="M3" s="2770" t="s">
        <v>2583</v>
      </c>
      <c r="N3" s="3129" t="s">
        <v>2584</v>
      </c>
      <c r="O3" s="3129" t="s">
        <v>2585</v>
      </c>
      <c r="P3" s="3129" t="s">
        <v>2586</v>
      </c>
      <c r="Q3" s="3129" t="s">
        <v>2587</v>
      </c>
      <c r="R3" s="3129"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3.68</v>
      </c>
      <c r="D5" s="2760">
        <f>IF(ISERROR(ROUND(POWER(1+E5,A5-C5)*(POWER(1+E5,C5)-1)/(POWER(1+E5,A5)-1),3)),0,ROUND(POWER(1+E5,A5-C5)*(POWER(1+E5,C5)-1)/(POWER(1+E5,A5)-1),4))</f>
        <v>0.16980000000000001</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13.69</v>
      </c>
      <c r="D6" s="2760">
        <f>IF(ISERROR(ROUND(POWER(1+E6,A6-C6)*(POWER(1+E6,C6)-1)/(POWER(1+E6,A6)-1),3)),0,ROUND(POWER(1+E6,A6-C6)*(POWER(1+E6,C6)-1)/(POWER(1+E6,A6)-1),4))</f>
        <v>0.48349999999999999</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33.700000000000003</v>
      </c>
      <c r="D7" s="2760">
        <f>IF(ISERROR(ROUND(POWER(1+E7,A7-C7)*(POWER(1+E7,C7)-1)/(POWER(1+E7,A7)-1),3)),0,ROUND(POWER(1+E7,A7-C7)*(POWER(1+E7,C7)-1)/(POWER(1+E7,A7)-1),4))</f>
        <v>0.78369999999999995</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5" thickBot="1">
      <c r="A18" s="2765" t="s">
        <v>2512</v>
      </c>
      <c r="B18" s="2766">
        <f>ROUND(B17*F11/F12,2)</f>
        <v>5541.87</v>
      </c>
      <c r="C18" s="2766">
        <f>ROUND(F11/F12,4)</f>
        <v>1.1521999999999999</v>
      </c>
      <c r="D18" s="2767"/>
      <c r="E18" s="2767"/>
      <c r="F18" s="2768"/>
    </row>
    <row r="19" spans="1:13" ht="15" thickBot="1"/>
    <row r="20" spans="1:13" s="2801" customFormat="1" ht="1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4" t="s">
        <v>2168</v>
      </c>
      <c r="B1" s="325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2"/>
      <c r="D1" s="3252"/>
      <c r="E1" s="3252"/>
      <c r="F1" s="3252"/>
      <c r="G1" s="3252"/>
      <c r="H1" s="3252"/>
      <c r="I1" s="3253"/>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3"/>
      <c r="U1" s="1613"/>
      <c r="V1" s="1613"/>
      <c r="W1" s="1613"/>
      <c r="X1" s="1613"/>
      <c r="Y1" s="1613"/>
      <c r="Z1" s="1613"/>
      <c r="AA1" s="1613"/>
      <c r="AB1" s="1613"/>
    </row>
    <row r="2" spans="1:30">
      <c r="A2" s="2175" t="s">
        <v>2169</v>
      </c>
      <c r="B2" s="120"/>
      <c r="D2" s="2440"/>
      <c r="E2" s="2433"/>
      <c r="F2" s="2433"/>
      <c r="G2" s="2434"/>
      <c r="H2" s="2434"/>
      <c r="I2" s="2434"/>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北京市出让国有建设用地使用权及在建建筑物房地产</v>
      </c>
      <c r="T2" s="1613"/>
      <c r="U2" s="1613"/>
      <c r="V2" s="1613"/>
      <c r="W2" s="1613"/>
      <c r="X2" s="1613"/>
      <c r="Y2" s="1613"/>
      <c r="Z2" s="1613"/>
      <c r="AA2" s="1613"/>
      <c r="AB2" s="1613"/>
    </row>
    <row r="3" spans="1:30">
      <c r="A3" s="292" t="s">
        <v>2170</v>
      </c>
      <c r="B3" s="2178">
        <v>45029</v>
      </c>
      <c r="C3" s="2179" t="s">
        <v>2171</v>
      </c>
      <c r="D3" s="2178">
        <f>B3</f>
        <v>45029</v>
      </c>
      <c r="E3" s="2434"/>
      <c r="F3" s="2434"/>
      <c r="G3" s="2434"/>
      <c r="H3" s="2434"/>
      <c r="I3" s="2434"/>
      <c r="J3" s="2238"/>
      <c r="K3" s="2176"/>
      <c r="L3" s="2177"/>
      <c r="M3" s="2177"/>
      <c r="N3" s="2175"/>
      <c r="O3" s="1461"/>
      <c r="P3" s="2175"/>
      <c r="Q3" s="2175"/>
      <c r="R3" s="2175"/>
      <c r="S3" s="1556"/>
      <c r="T3" s="1613"/>
      <c r="U3" s="1613"/>
      <c r="V3" s="1613"/>
      <c r="W3" s="1613"/>
      <c r="X3" s="1613"/>
      <c r="Y3" s="1613"/>
      <c r="Z3" s="1613"/>
      <c r="AA3" s="1613"/>
      <c r="AB3" s="1613"/>
    </row>
    <row r="4" spans="1:30" ht="13.8" thickBot="1">
      <c r="A4" s="1022" t="s">
        <v>2172</v>
      </c>
      <c r="B4" s="2180" t="s">
        <v>3560</v>
      </c>
      <c r="C4" s="2181">
        <f ca="1">SUMIF(注册房地产估价师,B4,估价师及机构信息!B3:B24)</f>
        <v>1120070131</v>
      </c>
      <c r="D4" s="2180" t="s">
        <v>3561</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61"/>
      <c r="P4" s="2175"/>
      <c r="Q4" s="2175"/>
      <c r="R4" s="2175"/>
      <c r="S4" s="1556"/>
      <c r="T4" s="1613"/>
      <c r="U4" s="1613"/>
      <c r="V4" s="1613"/>
      <c r="W4" s="1613"/>
      <c r="X4" s="1613"/>
      <c r="Y4" s="1613"/>
      <c r="Z4" s="1613"/>
      <c r="AA4" s="1613"/>
      <c r="AB4" s="1613"/>
    </row>
    <row r="5" spans="1:30" ht="13.8"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2174</v>
      </c>
      <c r="B6" s="2188"/>
      <c r="C6" s="2189"/>
      <c r="D6" s="2190"/>
      <c r="E6" s="2433"/>
      <c r="F6" s="2434"/>
      <c r="G6" s="2434"/>
      <c r="H6" s="2434"/>
      <c r="I6" s="2434"/>
      <c r="J6" s="2238"/>
      <c r="K6" s="2393" t="str">
        <f>IF(COUNTIF(B6,"*上海银行*"),"上海银行","")</f>
        <v/>
      </c>
      <c r="L6" s="2391"/>
      <c r="M6" s="2391"/>
      <c r="N6" s="2238"/>
      <c r="O6" s="1665"/>
      <c r="P6" s="2238"/>
      <c r="Q6" s="2238"/>
      <c r="R6" s="2238"/>
    </row>
    <row r="7" spans="1:30">
      <c r="A7" s="2187" t="s">
        <v>2175</v>
      </c>
      <c r="B7" s="2191"/>
      <c r="C7" s="2189"/>
      <c r="D7" s="2190"/>
      <c r="E7" s="2433"/>
      <c r="F7" s="2434"/>
      <c r="G7" s="2434"/>
      <c r="H7" s="2434"/>
      <c r="I7" s="2434"/>
      <c r="J7" s="2238"/>
      <c r="K7" s="2394"/>
      <c r="L7" s="2391"/>
      <c r="M7" s="2391"/>
      <c r="N7" s="2238"/>
      <c r="O7" s="1665"/>
      <c r="P7" s="2238"/>
      <c r="Q7" s="2238"/>
      <c r="R7" s="2238"/>
    </row>
    <row r="8" spans="1:30">
      <c r="A8" s="2192" t="s">
        <v>2176</v>
      </c>
      <c r="B8" s="2193" t="s">
        <v>3367</v>
      </c>
      <c r="C8" s="2194"/>
      <c r="D8" s="3254" t="s">
        <v>2177</v>
      </c>
      <c r="E8" s="2195" t="s">
        <v>3368</v>
      </c>
      <c r="F8" s="2196"/>
      <c r="G8" s="2434"/>
      <c r="H8" s="2434"/>
      <c r="I8" s="2434"/>
      <c r="J8" s="2238"/>
      <c r="K8" s="2392"/>
      <c r="L8" s="2391"/>
      <c r="M8" s="2391"/>
      <c r="N8" s="2238"/>
      <c r="O8" s="1665"/>
      <c r="P8" s="2238"/>
      <c r="Q8" s="2238"/>
      <c r="R8" s="2238"/>
    </row>
    <row r="9" spans="1:30" ht="13.8" thickBot="1">
      <c r="A9" s="2197" t="s">
        <v>2178</v>
      </c>
      <c r="B9" s="2198" t="s">
        <v>3368</v>
      </c>
      <c r="C9" s="2199"/>
      <c r="D9" s="3255"/>
      <c r="E9" s="2198" t="s">
        <v>43</v>
      </c>
      <c r="F9" s="2200"/>
      <c r="G9" s="2435"/>
      <c r="H9" s="2435"/>
      <c r="I9" s="2435"/>
      <c r="J9" s="2238"/>
      <c r="K9" s="2394"/>
      <c r="L9" s="2391"/>
      <c r="M9" s="2391"/>
      <c r="N9" s="2238"/>
      <c r="O9" s="1665"/>
      <c r="P9" s="2238"/>
      <c r="Q9" s="2238"/>
      <c r="R9" s="2238"/>
    </row>
    <row r="10" spans="1:30" ht="13.8" thickTop="1">
      <c r="A10" s="2201" t="s">
        <v>2179</v>
      </c>
      <c r="B10" s="2202" t="s">
        <v>3369</v>
      </c>
      <c r="C10" s="2203"/>
      <c r="D10" s="2186"/>
      <c r="E10" s="2204" t="s">
        <v>2180</v>
      </c>
      <c r="F10" s="2436"/>
      <c r="G10" s="2437"/>
      <c r="H10" s="2438"/>
      <c r="I10" s="2439"/>
      <c r="J10" s="2238"/>
      <c r="K10" s="2394"/>
      <c r="L10" s="2391"/>
      <c r="M10" s="2391"/>
      <c r="N10" s="2238"/>
      <c r="O10" s="1665"/>
      <c r="P10" s="2238"/>
      <c r="Q10" s="2238"/>
      <c r="R10" s="2238"/>
    </row>
    <row r="11" spans="1:30">
      <c r="A11" s="2205" t="s">
        <v>2181</v>
      </c>
      <c r="B11" s="2206" t="s">
        <v>3370</v>
      </c>
      <c r="C11" s="2207"/>
      <c r="D11" s="2208"/>
      <c r="E11" s="2175"/>
      <c r="F11" s="2175"/>
      <c r="G11" s="2175"/>
      <c r="H11" s="2175"/>
      <c r="I11" s="2175"/>
      <c r="J11" s="2794"/>
      <c r="K11" s="2391"/>
      <c r="L11" s="2391"/>
      <c r="M11" s="2391"/>
      <c r="N11" s="2238"/>
      <c r="O11" s="1665"/>
      <c r="P11" s="2238"/>
      <c r="Q11" s="2238"/>
      <c r="R11" s="2238"/>
    </row>
    <row r="12" spans="1:30">
      <c r="A12" s="2209" t="s">
        <v>2182</v>
      </c>
      <c r="B12" s="313" t="s">
        <v>2183</v>
      </c>
      <c r="C12" s="2210" t="s">
        <v>2184</v>
      </c>
      <c r="D12" s="2210" t="s">
        <v>2185</v>
      </c>
      <c r="E12" s="2210" t="s">
        <v>2186</v>
      </c>
      <c r="F12" s="2210" t="s">
        <v>2187</v>
      </c>
      <c r="G12" s="2210" t="s">
        <v>2188</v>
      </c>
      <c r="H12" s="2210" t="s">
        <v>2189</v>
      </c>
      <c r="I12" s="2793" t="s">
        <v>2572</v>
      </c>
      <c r="J12" s="2795"/>
      <c r="K12" s="2391"/>
      <c r="L12" s="2391"/>
      <c r="M12" s="2238"/>
      <c r="N12" s="1665"/>
      <c r="O12" s="2238"/>
      <c r="P12" s="2238"/>
      <c r="Q12" s="2238"/>
      <c r="AD12" s="1613"/>
    </row>
    <row r="13" spans="1:30">
      <c r="A13" s="3115" t="s">
        <v>3334</v>
      </c>
      <c r="B13" s="2211" t="s">
        <v>2190</v>
      </c>
      <c r="C13" s="798">
        <v>69899</v>
      </c>
      <c r="D13" s="798"/>
      <c r="E13" s="798"/>
      <c r="F13" s="798">
        <v>62594</v>
      </c>
      <c r="G13" s="798">
        <f>F13</f>
        <v>62594</v>
      </c>
      <c r="H13" s="798"/>
      <c r="I13" s="798"/>
      <c r="J13" s="2795"/>
      <c r="K13" s="2391"/>
      <c r="L13" s="2391"/>
      <c r="M13" s="2238"/>
      <c r="N13" s="1665"/>
      <c r="O13" s="2238"/>
      <c r="P13" s="2238"/>
      <c r="Q13" s="2238"/>
      <c r="AD13" s="1613"/>
    </row>
    <row r="14" spans="1:30">
      <c r="A14" s="1013"/>
      <c r="B14" s="2211" t="s">
        <v>2191</v>
      </c>
      <c r="C14" s="2212">
        <v>70</v>
      </c>
      <c r="D14" s="2212"/>
      <c r="E14" s="2212"/>
      <c r="F14" s="2212">
        <v>50</v>
      </c>
      <c r="G14" s="2212">
        <v>50</v>
      </c>
      <c r="H14" s="2212"/>
      <c r="I14" s="2212"/>
      <c r="J14" s="2796"/>
      <c r="K14" s="2391"/>
      <c r="L14" s="2391"/>
      <c r="M14" s="2238"/>
      <c r="N14" s="1665"/>
      <c r="O14" s="2238"/>
      <c r="P14" s="2238"/>
      <c r="Q14" s="2238"/>
      <c r="AD14" s="1613"/>
    </row>
    <row r="15" spans="1:30">
      <c r="A15" s="310"/>
      <c r="B15" s="2213" t="s">
        <v>2192</v>
      </c>
      <c r="C15" s="2214">
        <f>IF(A13="出让",IF(C13="","",ROUNDDOWN(MIN((C13-$D$3)/365,C14),2)),C14)</f>
        <v>68.13</v>
      </c>
      <c r="D15" s="2214" t="str">
        <f>IF(A13="出让",IF(D13="","",ROUNDDOWN(MIN((D13-$D$3)/365,D14),2)),D14)</f>
        <v/>
      </c>
      <c r="E15" s="2214" t="str">
        <f>IF(A13="出让",IF(E13="","",ROUNDDOWN(MIN((E13-$D$3)/365,E14),2)),E14)</f>
        <v/>
      </c>
      <c r="F15" s="2214">
        <f>IF(A13="出让",IF(F13="","",ROUNDDOWN(MIN((F13-$D$3)/365,F14),2)),F14)</f>
        <v>48.12</v>
      </c>
      <c r="G15" s="2214">
        <f>IF(A13="出让",IF(G13="","",ROUNDDOWN(MIN((G13-$D$3)/365,G14),2)),G14)</f>
        <v>48.12</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4" t="s">
        <v>2193</v>
      </c>
      <c r="B16" s="3261"/>
      <c r="C16" s="3262"/>
      <c r="D16" s="3263"/>
      <c r="E16" s="2215" t="s">
        <v>2194</v>
      </c>
      <c r="F16" s="3264"/>
      <c r="G16" s="3265"/>
      <c r="H16" s="3265"/>
      <c r="I16" s="3266"/>
      <c r="J16" s="2238"/>
      <c r="K16" s="2395"/>
      <c r="L16" s="1665"/>
      <c r="M16" s="1665"/>
      <c r="N16" s="2238"/>
      <c r="O16" s="1665"/>
      <c r="P16" s="2238"/>
      <c r="Q16" s="2238"/>
      <c r="R16" s="2238"/>
    </row>
    <row r="17" spans="1:28">
      <c r="A17" s="303" t="s">
        <v>2195</v>
      </c>
      <c r="B17" s="292" t="s">
        <v>2196</v>
      </c>
      <c r="C17" s="8">
        <f>'数据-汇总表'!E3</f>
        <v>35822.61</v>
      </c>
      <c r="D17" s="1251" t="s">
        <v>2197</v>
      </c>
      <c r="E17" s="3267"/>
      <c r="F17" s="3268"/>
      <c r="G17" s="3268"/>
      <c r="H17" s="3268"/>
      <c r="I17" s="3269"/>
      <c r="J17" s="2238"/>
      <c r="K17" s="2396"/>
      <c r="L17" s="1665"/>
      <c r="M17" s="1665"/>
      <c r="N17" s="2238"/>
      <c r="O17" s="1665"/>
      <c r="P17" s="2238"/>
      <c r="Q17" s="2238"/>
      <c r="R17" s="2238"/>
      <c r="S17" s="2238"/>
      <c r="T17" s="2238"/>
      <c r="U17" s="2238"/>
      <c r="V17" s="2238"/>
    </row>
    <row r="18" spans="1:28" ht="24.6" thickBot="1">
      <c r="A18" s="2216" t="s">
        <v>2198</v>
      </c>
      <c r="B18" s="1022" t="s">
        <v>2199</v>
      </c>
      <c r="C18" s="2217">
        <f>'数据-汇总表'!D3</f>
        <v>8682.75</v>
      </c>
      <c r="D18" s="1024" t="s">
        <v>2200</v>
      </c>
      <c r="E18" s="3270"/>
      <c r="F18" s="3271"/>
      <c r="G18" s="3271"/>
      <c r="H18" s="3271"/>
      <c r="I18" s="3272"/>
      <c r="J18" s="2238"/>
      <c r="K18" s="2396"/>
      <c r="L18" s="1665"/>
      <c r="M18" s="1665"/>
      <c r="N18" s="2238"/>
      <c r="O18" s="1665"/>
      <c r="P18" s="2238"/>
      <c r="Q18" s="2238"/>
      <c r="R18" s="2238"/>
      <c r="S18" s="2238"/>
      <c r="T18" s="2238"/>
      <c r="U18" s="2238"/>
      <c r="V18" s="2238"/>
    </row>
    <row r="19" spans="1:28" ht="37.200000000000003" thickTop="1" thickBot="1">
      <c r="A19" s="317" t="s">
        <v>1055</v>
      </c>
      <c r="B19" s="297" t="s">
        <v>2201</v>
      </c>
      <c r="C19" s="1450"/>
      <c r="D19" s="1451" t="s">
        <v>2202</v>
      </c>
      <c r="E19" s="1452"/>
      <c r="F19" s="1453" t="str">
        <f>IF(AND(C19="是",E19="否"),"是否提供他项权证或相关说明","")</f>
        <v/>
      </c>
      <c r="G19" s="1454"/>
      <c r="H19" s="2434"/>
      <c r="I19" s="2434"/>
      <c r="J19" s="2238"/>
      <c r="K19" s="2394"/>
      <c r="L19" s="2391"/>
      <c r="M19" s="2391"/>
      <c r="N19" s="2238"/>
      <c r="O19" s="1665"/>
      <c r="P19" s="2238"/>
      <c r="Q19" s="2238"/>
      <c r="R19" s="2238"/>
      <c r="S19" s="2238"/>
      <c r="T19" s="2238"/>
      <c r="U19" s="2238"/>
      <c r="V19" s="2238"/>
    </row>
    <row r="20" spans="1:28">
      <c r="A20" s="2409" t="s">
        <v>2203</v>
      </c>
      <c r="B20" s="3257" t="s">
        <v>2204</v>
      </c>
      <c r="C20" s="3258"/>
      <c r="D20" s="3259" t="s">
        <v>2205</v>
      </c>
      <c r="E20" s="3260"/>
      <c r="F20" s="2422" t="s">
        <v>1056</v>
      </c>
      <c r="G20" s="2434"/>
      <c r="H20" s="2434"/>
      <c r="I20" s="2434"/>
      <c r="J20" s="2238"/>
      <c r="K20" s="3256" t="s">
        <v>2206</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6" thickBot="1">
      <c r="A21" s="2409"/>
      <c r="B21" s="2410" t="s">
        <v>2207</v>
      </c>
      <c r="C21" s="2288" t="s">
        <v>1057</v>
      </c>
      <c r="D21" s="1455"/>
      <c r="E21" s="2411" t="s">
        <v>1057</v>
      </c>
      <c r="F21" s="2423"/>
      <c r="G21" s="2434"/>
      <c r="H21" s="2434"/>
      <c r="I21" s="2434"/>
      <c r="J21" s="2238"/>
      <c r="K21" s="3256"/>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36.6" thickBot="1">
      <c r="A22" s="2409"/>
      <c r="B22" s="2412" t="s">
        <v>2208</v>
      </c>
      <c r="C22" s="2288" t="s">
        <v>1058</v>
      </c>
      <c r="D22" s="2434"/>
      <c r="E22" s="2434"/>
      <c r="F22" s="2434"/>
      <c r="G22" s="2434"/>
      <c r="H22" s="2434"/>
      <c r="I22" s="2434"/>
      <c r="J22" s="2238"/>
      <c r="K22" s="3256"/>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3" t="s">
        <v>2209</v>
      </c>
      <c r="B23" s="2285" t="s">
        <v>2210</v>
      </c>
      <c r="C23" s="2414"/>
      <c r="D23" s="2415" t="s">
        <v>2210</v>
      </c>
      <c r="E23" s="2416"/>
      <c r="F23" s="2434"/>
      <c r="G23" s="2434"/>
      <c r="H23" s="2434"/>
      <c r="I23" s="2434"/>
      <c r="J23" s="2238"/>
      <c r="K23" s="2393"/>
      <c r="L23" s="119"/>
      <c r="M23" s="2391"/>
      <c r="N23" s="2238"/>
      <c r="O23" s="1665"/>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5"/>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5"/>
      <c r="P25" s="2238"/>
      <c r="Q25" s="2238"/>
      <c r="R25" s="2238"/>
      <c r="S25" s="2238"/>
      <c r="T25" s="2238"/>
      <c r="U25" s="2238"/>
      <c r="V25" s="2238"/>
    </row>
    <row r="26" spans="1:28" ht="13.8" thickBot="1">
      <c r="A26" s="2418"/>
      <c r="B26" s="2419" t="s">
        <v>1061</v>
      </c>
      <c r="C26" s="2420"/>
      <c r="D26" s="2418" t="s">
        <v>1061</v>
      </c>
      <c r="E26" s="2421"/>
      <c r="F26" s="2435"/>
      <c r="G26" s="2435"/>
      <c r="H26" s="2435"/>
      <c r="I26" s="2435"/>
      <c r="J26" s="2238"/>
      <c r="K26" s="2394"/>
      <c r="L26" s="2391"/>
      <c r="M26" s="2391"/>
      <c r="N26" s="2238"/>
      <c r="O26" s="1665"/>
      <c r="P26" s="2238"/>
      <c r="Q26" s="2238"/>
      <c r="R26" s="2238"/>
      <c r="S26" s="2238"/>
      <c r="T26" s="2238"/>
      <c r="U26" s="2238"/>
      <c r="V26" s="2238"/>
    </row>
    <row r="27" spans="1:28" ht="13.8" thickTop="1">
      <c r="A27" s="3274" t="s">
        <v>2211</v>
      </c>
      <c r="B27" s="310" t="s">
        <v>2212</v>
      </c>
      <c r="C27" s="2218"/>
      <c r="D27" s="2219"/>
      <c r="E27" s="2434"/>
      <c r="F27" s="2434"/>
      <c r="G27" s="2434"/>
      <c r="H27" s="2434"/>
      <c r="I27" s="2434"/>
      <c r="J27" s="2238"/>
      <c r="K27" s="2395"/>
      <c r="L27" s="1665"/>
      <c r="M27" s="1665"/>
      <c r="N27" s="2238"/>
      <c r="O27" s="1665"/>
      <c r="P27" s="2238"/>
      <c r="Q27" s="2238"/>
      <c r="R27" s="2238"/>
      <c r="S27" s="2238"/>
      <c r="T27" s="2238"/>
      <c r="U27" s="2238"/>
      <c r="V27" s="2238"/>
    </row>
    <row r="28" spans="1:28">
      <c r="A28" s="3274"/>
      <c r="B28" s="292" t="s">
        <v>2213</v>
      </c>
      <c r="C28" s="2220"/>
      <c r="D28" s="2221"/>
      <c r="E28" s="2434"/>
      <c r="F28" s="2434"/>
      <c r="G28" s="2434"/>
      <c r="H28" s="2434"/>
      <c r="I28" s="2434"/>
      <c r="J28" s="2238"/>
      <c r="K28" s="2394"/>
      <c r="L28" s="2391"/>
      <c r="M28" s="2391"/>
      <c r="N28" s="2238"/>
      <c r="O28" s="1665"/>
      <c r="P28" s="2238"/>
      <c r="Q28" s="2238"/>
      <c r="R28" s="2238"/>
      <c r="S28" s="2238"/>
      <c r="T28" s="2238"/>
      <c r="U28" s="2238"/>
      <c r="V28" s="2238"/>
    </row>
    <row r="29" spans="1:28">
      <c r="A29" s="3274"/>
      <c r="B29" s="292" t="s">
        <v>2214</v>
      </c>
      <c r="C29" s="2222"/>
      <c r="D29" s="2223"/>
      <c r="E29" s="2434"/>
      <c r="F29" s="2434"/>
      <c r="G29" s="2434"/>
      <c r="H29" s="2434"/>
      <c r="I29" s="2434"/>
      <c r="J29" s="2238"/>
      <c r="K29" s="2394"/>
      <c r="L29" s="2391"/>
      <c r="M29" s="2391"/>
      <c r="N29" s="2238"/>
      <c r="O29" s="1665"/>
      <c r="P29" s="2238"/>
      <c r="Q29" s="2238"/>
      <c r="R29" s="2238"/>
      <c r="S29" s="2238"/>
      <c r="T29" s="2238"/>
      <c r="U29" s="2238"/>
      <c r="V29" s="2238"/>
    </row>
    <row r="30" spans="1:28">
      <c r="A30" s="3275"/>
      <c r="B30" s="292" t="s">
        <v>2215</v>
      </c>
      <c r="C30" s="3276"/>
      <c r="D30" s="3277"/>
      <c r="E30" s="2434"/>
      <c r="F30" s="2434"/>
      <c r="G30" s="2434"/>
      <c r="H30" s="2434"/>
      <c r="I30" s="2434"/>
      <c r="J30" s="2238"/>
      <c r="K30" s="2394"/>
      <c r="L30" s="2391"/>
      <c r="M30" s="2391"/>
      <c r="N30" s="2238"/>
      <c r="O30" s="1665"/>
      <c r="P30" s="2238"/>
      <c r="Q30" s="2238"/>
      <c r="R30" s="2238"/>
      <c r="S30" s="2238"/>
      <c r="T30" s="2238"/>
      <c r="U30" s="2238"/>
      <c r="V30" s="2238"/>
    </row>
    <row r="31" spans="1:28">
      <c r="A31" s="3278" t="s">
        <v>2216</v>
      </c>
      <c r="B31" s="2224"/>
      <c r="C31" s="11" t="str">
        <f>IF(B31="现房","成新及维护状况正常否",IF(B31="在建","工程状态是否正常",IF(B31="土地","是否闲置","-")))</f>
        <v>-</v>
      </c>
      <c r="D31" s="1276"/>
      <c r="E31" s="2225"/>
      <c r="F31" s="2434"/>
      <c r="G31" s="2434"/>
      <c r="H31" s="2434"/>
      <c r="I31" s="2434"/>
      <c r="J31" s="2238"/>
      <c r="K31" s="2393"/>
      <c r="L31" s="2391"/>
      <c r="M31" s="2391"/>
      <c r="N31" s="2238"/>
      <c r="O31" s="1665"/>
      <c r="P31" s="2238"/>
      <c r="Q31" s="2238"/>
      <c r="R31" s="2238"/>
      <c r="S31" s="2238"/>
      <c r="T31" s="2238"/>
      <c r="U31" s="2238"/>
      <c r="V31" s="2238"/>
    </row>
    <row r="32" spans="1:28">
      <c r="A32" s="3279"/>
      <c r="B32" s="2224"/>
      <c r="C32" s="11" t="str">
        <f>IF(B32="现房","成新及维护状况是否正常",IF(B32="在建","工程状态是否正常",IF(B32="土地","是否闲置","-")))</f>
        <v>-</v>
      </c>
      <c r="D32" s="1276"/>
      <c r="E32" s="2225"/>
      <c r="F32" s="2434"/>
      <c r="G32" s="2434"/>
      <c r="H32" s="2434"/>
      <c r="I32" s="2434"/>
      <c r="J32" s="2238"/>
      <c r="K32" s="2394"/>
      <c r="L32" s="2391"/>
      <c r="M32" s="2391"/>
      <c r="N32" s="2238"/>
      <c r="O32" s="1665"/>
      <c r="P32" s="2238"/>
      <c r="Q32" s="2238"/>
      <c r="R32" s="2238"/>
      <c r="S32" s="2238"/>
      <c r="T32" s="2238"/>
      <c r="U32" s="2238"/>
      <c r="V32" s="2238"/>
    </row>
    <row r="33" spans="1:30">
      <c r="A33" s="3279"/>
      <c r="B33" s="2227"/>
      <c r="C33" s="1473" t="str">
        <f>IF(B33="现房","成新及维护状况是否正常",IF(B33="在建","工程状态是否正常",IF(B33="土地","是否闲置","-")))</f>
        <v>-</v>
      </c>
      <c r="D33" s="1269"/>
      <c r="E33" s="2228"/>
      <c r="F33" s="2434"/>
      <c r="G33" s="2434"/>
      <c r="H33" s="2434"/>
      <c r="I33" s="2434"/>
      <c r="J33" s="2238"/>
      <c r="K33" s="2394"/>
      <c r="L33" s="2391"/>
      <c r="M33" s="2391"/>
      <c r="N33" s="2238"/>
      <c r="O33" s="1665"/>
      <c r="P33" s="2238"/>
      <c r="Q33" s="2238"/>
      <c r="R33" s="2238"/>
      <c r="S33" s="2238"/>
      <c r="T33" s="2238"/>
      <c r="U33" s="2238"/>
      <c r="V33" s="2238"/>
    </row>
    <row r="34" spans="1:30">
      <c r="A34" s="292" t="s">
        <v>2217</v>
      </c>
      <c r="B34" s="1863"/>
      <c r="C34" s="1863"/>
      <c r="D34" s="1863"/>
      <c r="E34" s="1863"/>
      <c r="F34" s="1863"/>
      <c r="G34" s="1863"/>
      <c r="H34" s="1863"/>
      <c r="I34" s="2434"/>
      <c r="J34" s="2238"/>
      <c r="K34" s="8">
        <f>COUNTIF(B34:H34,"——")</f>
        <v>0</v>
      </c>
      <c r="L34" s="313" t="s">
        <v>2218</v>
      </c>
      <c r="M34" s="313" t="s">
        <v>2219</v>
      </c>
      <c r="N34" s="313" t="s">
        <v>2220</v>
      </c>
      <c r="O34" s="313" t="s">
        <v>2221</v>
      </c>
      <c r="P34" s="313" t="s">
        <v>2222</v>
      </c>
      <c r="Q34" s="313" t="s">
        <v>2223</v>
      </c>
      <c r="R34" s="313" t="s">
        <v>2224</v>
      </c>
      <c r="S34" s="3273" t="s">
        <v>2225</v>
      </c>
      <c r="T34" s="313" t="str">
        <f>NUMBERSTRING(7-K34,1)&amp;"通"</f>
        <v>七通</v>
      </c>
      <c r="U34" s="2238"/>
      <c r="V34" s="2238"/>
    </row>
    <row r="35" spans="1:30">
      <c r="A35" s="2229"/>
      <c r="B35" s="3273" t="s">
        <v>2226</v>
      </c>
      <c r="C35" s="3273"/>
      <c r="D35" s="3273"/>
      <c r="E35" s="3273"/>
      <c r="F35" s="8">
        <f>C10</f>
        <v>0</v>
      </c>
      <c r="G35" s="2434"/>
      <c r="H35" s="2434"/>
      <c r="I35" s="2434"/>
      <c r="J35" s="2238"/>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73"/>
      <c r="T35" s="136" t="str">
        <f>IF(T34="一通",L35,IF(T34="二通",M35,IF(T34="三通",N35,IF(T34="四通",O35,IF(T34="五通",P35,IF(T34="六通",Q35,R35))))))</f>
        <v>、、、、、、</v>
      </c>
      <c r="U35" s="2238"/>
      <c r="V35" s="2238"/>
    </row>
    <row r="36" spans="1:30">
      <c r="A36" s="2176"/>
      <c r="B36" s="8" t="s">
        <v>2185</v>
      </c>
      <c r="C36" s="8" t="s">
        <v>2186</v>
      </c>
      <c r="D36" s="8" t="s">
        <v>2184</v>
      </c>
      <c r="E36" s="8" t="s">
        <v>2189</v>
      </c>
      <c r="F36" s="2793" t="s">
        <v>2575</v>
      </c>
      <c r="G36" s="2434"/>
      <c r="H36" s="2434"/>
      <c r="I36" s="2434"/>
      <c r="J36" s="2238"/>
      <c r="K36" s="2394"/>
      <c r="L36" s="2391"/>
      <c r="M36" s="2391"/>
      <c r="N36" s="2238"/>
      <c r="O36" s="1665"/>
      <c r="P36" s="2238"/>
      <c r="Q36" s="2238"/>
      <c r="R36" s="2238"/>
      <c r="S36" s="2238"/>
      <c r="T36" s="2238"/>
      <c r="U36" s="2238"/>
      <c r="V36" s="2238"/>
    </row>
    <row r="37" spans="1:30">
      <c r="A37" s="2407" t="s">
        <v>2227</v>
      </c>
      <c r="B37" s="2230"/>
      <c r="C37" s="2230"/>
      <c r="D37" s="2230" t="s">
        <v>29</v>
      </c>
      <c r="E37" s="2230"/>
      <c r="F37" s="2230"/>
      <c r="G37" s="2434"/>
      <c r="H37" s="2434"/>
      <c r="I37" s="2434"/>
      <c r="J37" s="2238"/>
      <c r="K37" s="2394"/>
      <c r="L37" s="2391"/>
      <c r="M37" s="2391"/>
      <c r="N37" s="2238"/>
      <c r="O37" s="1665"/>
      <c r="P37" s="2238"/>
      <c r="Q37" s="2238"/>
      <c r="R37" s="2238"/>
      <c r="S37" s="2238"/>
      <c r="T37" s="2238"/>
      <c r="U37" s="2238"/>
      <c r="V37" s="2238"/>
    </row>
    <row r="38" spans="1:30" ht="13.8" thickBot="1">
      <c r="A38" s="2408" t="s">
        <v>2228</v>
      </c>
      <c r="B38" s="2231"/>
      <c r="C38" s="2231"/>
      <c r="D38" s="2231" t="s">
        <v>239</v>
      </c>
      <c r="E38" s="2231"/>
      <c r="F38" s="2231"/>
      <c r="G38" s="2435"/>
      <c r="H38" s="2435"/>
      <c r="I38" s="2435"/>
      <c r="J38" s="2238"/>
      <c r="K38" s="2394"/>
      <c r="L38" s="2391"/>
      <c r="M38" s="2391"/>
      <c r="N38" s="2238"/>
      <c r="O38" s="1665"/>
      <c r="P38" s="2238"/>
      <c r="Q38" s="2238"/>
      <c r="R38" s="2238"/>
      <c r="S38" s="2238"/>
      <c r="T38" s="2238"/>
      <c r="U38" s="2238"/>
      <c r="V38" s="2238"/>
    </row>
    <row r="39" spans="1:30" s="2234" customFormat="1" ht="14.4" thickTop="1" thickBot="1">
      <c r="A39" s="2232" t="s">
        <v>2229</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1"/>
      <c r="J40" s="2238"/>
      <c r="K40" s="2393"/>
      <c r="L40" s="1665"/>
      <c r="M40" s="1665"/>
      <c r="N40" s="2238"/>
      <c r="O40" s="1665"/>
      <c r="P40" s="2238"/>
      <c r="Q40" s="2238"/>
      <c r="R40" s="2238"/>
      <c r="S40" s="2238"/>
      <c r="T40" s="2238"/>
      <c r="U40" s="2238"/>
      <c r="V40" s="2238"/>
    </row>
    <row r="41" spans="1:30">
      <c r="A41" s="2235" t="s">
        <v>2230</v>
      </c>
      <c r="B41" s="1622"/>
      <c r="C41" s="1276"/>
      <c r="D41" s="2175"/>
      <c r="E41" s="2175"/>
      <c r="F41" s="2175"/>
      <c r="G41" s="2175"/>
      <c r="H41" s="2175"/>
      <c r="I41" s="1461"/>
      <c r="J41" s="2238"/>
      <c r="K41" s="2394"/>
      <c r="L41" s="2391"/>
      <c r="M41" s="2391"/>
      <c r="N41" s="2238"/>
      <c r="O41" s="1665"/>
      <c r="P41" s="2238"/>
      <c r="Q41" s="2238"/>
      <c r="R41" s="2238"/>
      <c r="S41" s="2238"/>
      <c r="T41" s="2238"/>
      <c r="U41" s="2238"/>
      <c r="V41" s="2238"/>
    </row>
    <row r="42" spans="1:30" ht="25.2">
      <c r="A42" s="313" t="s">
        <v>2231</v>
      </c>
      <c r="B42" s="8" t="s">
        <v>2232</v>
      </c>
      <c r="C42" s="8" t="s">
        <v>2233</v>
      </c>
      <c r="D42" s="8" t="s">
        <v>2234</v>
      </c>
      <c r="E42" s="8" t="s">
        <v>2235</v>
      </c>
      <c r="F42" s="8" t="s">
        <v>2236</v>
      </c>
      <c r="G42" s="8" t="s">
        <v>2237</v>
      </c>
      <c r="H42" s="8" t="s">
        <v>2238</v>
      </c>
      <c r="I42" s="8" t="s">
        <v>2239</v>
      </c>
      <c r="J42" s="2403" t="s">
        <v>2240</v>
      </c>
      <c r="K42" s="2404" t="s">
        <v>2241</v>
      </c>
      <c r="L42" s="2404" t="s">
        <v>2242</v>
      </c>
      <c r="M42" s="2404" t="s">
        <v>2243</v>
      </c>
      <c r="N42" s="2397" t="s">
        <v>2244</v>
      </c>
      <c r="O42" s="2397" t="s">
        <v>2245</v>
      </c>
      <c r="P42" s="2397" t="s">
        <v>2246</v>
      </c>
      <c r="Q42" s="2398" t="s">
        <v>2247</v>
      </c>
      <c r="R42" s="2398" t="s">
        <v>2248</v>
      </c>
      <c r="S42" s="2238"/>
      <c r="T42" s="2238"/>
      <c r="U42" s="2238"/>
      <c r="V42" s="2238"/>
    </row>
    <row r="43" spans="1:30" s="1611" customFormat="1">
      <c r="A43" s="1457"/>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1" customFormat="1">
      <c r="A44" s="1457"/>
      <c r="B44" s="1457"/>
      <c r="C44" s="626"/>
      <c r="D44" s="626"/>
      <c r="E44" s="626"/>
      <c r="F44" s="626"/>
      <c r="G44" s="626"/>
      <c r="H44" s="626"/>
      <c r="I44" s="626"/>
      <c r="J44" s="2236"/>
      <c r="K44" s="2237"/>
      <c r="L44" s="2237"/>
      <c r="M44" s="626"/>
      <c r="N44" s="626"/>
      <c r="O44" s="626"/>
      <c r="P44" s="626"/>
      <c r="Q44" s="626"/>
      <c r="R44" s="626"/>
      <c r="S44" s="2238"/>
      <c r="T44" s="2238"/>
      <c r="U44" s="2238"/>
      <c r="V44" s="2238"/>
    </row>
    <row r="45" spans="1:30" s="1611" customFormat="1">
      <c r="A45" s="1457"/>
      <c r="B45" s="1457"/>
      <c r="C45" s="626"/>
      <c r="D45" s="626"/>
      <c r="E45" s="626"/>
      <c r="F45" s="626"/>
      <c r="G45" s="626"/>
      <c r="H45" s="626"/>
      <c r="I45" s="626"/>
      <c r="J45" s="2236"/>
      <c r="K45" s="2237"/>
      <c r="L45" s="2237"/>
      <c r="M45" s="626"/>
      <c r="N45" s="626"/>
      <c r="O45" s="626"/>
      <c r="P45" s="626"/>
      <c r="Q45" s="626"/>
      <c r="R45" s="626"/>
      <c r="S45" s="2238"/>
      <c r="T45" s="2238"/>
      <c r="U45" s="2238"/>
      <c r="V45" s="2238"/>
    </row>
    <row r="46" spans="1:30" s="1611" customFormat="1">
      <c r="A46" s="1457"/>
      <c r="B46" s="1457"/>
      <c r="C46" s="626"/>
      <c r="D46" s="626"/>
      <c r="E46" s="626"/>
      <c r="F46" s="626"/>
      <c r="G46" s="626"/>
      <c r="H46" s="626"/>
      <c r="I46" s="626"/>
      <c r="J46" s="2236"/>
      <c r="K46" s="2237"/>
      <c r="L46" s="2237"/>
      <c r="M46" s="626"/>
      <c r="N46" s="626"/>
      <c r="O46" s="626"/>
      <c r="P46" s="626"/>
      <c r="Q46" s="626"/>
      <c r="R46" s="626"/>
      <c r="S46" s="2238"/>
      <c r="T46" s="2238"/>
      <c r="U46" s="2238"/>
      <c r="V46" s="2238"/>
    </row>
    <row r="47" spans="1:30" s="1611" customFormat="1">
      <c r="A47" s="1457"/>
      <c r="B47" s="1457"/>
      <c r="C47" s="626"/>
      <c r="D47" s="626"/>
      <c r="E47" s="626"/>
      <c r="F47" s="626"/>
      <c r="G47" s="626"/>
      <c r="H47" s="626"/>
      <c r="I47" s="626"/>
      <c r="J47" s="2236"/>
      <c r="K47" s="2237"/>
      <c r="L47" s="2237"/>
      <c r="M47" s="626"/>
      <c r="N47" s="626"/>
      <c r="O47" s="626"/>
      <c r="P47" s="626"/>
      <c r="Q47" s="626"/>
      <c r="R47" s="626"/>
      <c r="S47" s="2238"/>
      <c r="T47" s="2238"/>
      <c r="U47" s="2238"/>
      <c r="V47" s="2238"/>
    </row>
    <row r="48" spans="1:30" s="1611" customFormat="1">
      <c r="A48" s="1457"/>
      <c r="B48" s="1457"/>
      <c r="C48" s="626"/>
      <c r="D48" s="626"/>
      <c r="E48" s="626"/>
      <c r="F48" s="626"/>
      <c r="G48" s="626"/>
      <c r="H48" s="626"/>
      <c r="I48" s="626"/>
      <c r="J48" s="2236"/>
      <c r="K48" s="2237"/>
      <c r="L48" s="2237"/>
      <c r="M48" s="626"/>
      <c r="N48" s="626"/>
      <c r="O48" s="626"/>
      <c r="P48" s="626"/>
      <c r="Q48" s="626"/>
      <c r="R48" s="626"/>
      <c r="S48" s="2238"/>
      <c r="T48" s="2238"/>
      <c r="U48" s="2238"/>
      <c r="V48" s="2238"/>
    </row>
    <row r="49" spans="1:22" s="1611" customFormat="1">
      <c r="A49" s="1457"/>
      <c r="B49" s="1457"/>
      <c r="C49" s="626"/>
      <c r="D49" s="626"/>
      <c r="E49" s="626"/>
      <c r="F49" s="626"/>
      <c r="G49" s="626"/>
      <c r="H49" s="626"/>
      <c r="I49" s="626"/>
      <c r="J49" s="2236"/>
      <c r="K49" s="2237"/>
      <c r="L49" s="2237"/>
      <c r="M49" s="626"/>
      <c r="N49" s="626"/>
      <c r="O49" s="626"/>
      <c r="P49" s="626"/>
      <c r="Q49" s="626"/>
      <c r="R49" s="626"/>
      <c r="S49" s="2238"/>
      <c r="T49" s="2238"/>
      <c r="U49" s="2238"/>
      <c r="V49" s="2238"/>
    </row>
    <row r="50" spans="1:22" s="1611" customFormat="1">
      <c r="A50" s="1457"/>
      <c r="B50" s="1457"/>
      <c r="C50" s="626"/>
      <c r="D50" s="626"/>
      <c r="E50" s="626"/>
      <c r="F50" s="626"/>
      <c r="G50" s="626"/>
      <c r="H50" s="626"/>
      <c r="I50" s="626"/>
      <c r="J50" s="2236"/>
      <c r="K50" s="2237"/>
      <c r="L50" s="2237"/>
      <c r="M50" s="626"/>
      <c r="N50" s="626"/>
      <c r="O50" s="626"/>
      <c r="P50" s="626"/>
      <c r="Q50" s="626"/>
      <c r="R50" s="626"/>
      <c r="S50" s="2238"/>
      <c r="T50" s="2238"/>
      <c r="U50" s="2238"/>
      <c r="V50" s="2238"/>
    </row>
    <row r="51" spans="1:22" s="1611" customFormat="1">
      <c r="A51" s="1457"/>
      <c r="B51" s="1457"/>
      <c r="C51" s="626"/>
      <c r="D51" s="626"/>
      <c r="E51" s="626"/>
      <c r="F51" s="626"/>
      <c r="G51" s="626"/>
      <c r="H51" s="626"/>
      <c r="I51" s="626"/>
      <c r="J51" s="2236"/>
      <c r="K51" s="2237"/>
      <c r="L51" s="2237"/>
      <c r="M51" s="626"/>
      <c r="N51" s="626"/>
      <c r="O51" s="626"/>
      <c r="P51" s="626"/>
      <c r="Q51" s="626"/>
      <c r="R51" s="626"/>
    </row>
    <row r="52" spans="1:22" s="1611" customFormat="1">
      <c r="A52" s="1457"/>
      <c r="B52" s="1457"/>
      <c r="C52" s="1457"/>
      <c r="D52" s="1457"/>
      <c r="E52" s="1457"/>
      <c r="F52" s="626"/>
      <c r="G52" s="1457"/>
      <c r="H52" s="1457"/>
      <c r="I52" s="1457"/>
      <c r="J52" s="2239"/>
      <c r="K52" s="2237"/>
      <c r="L52" s="2237"/>
      <c r="M52" s="2237"/>
      <c r="N52" s="1457"/>
      <c r="O52" s="1457"/>
      <c r="P52" s="1457"/>
      <c r="Q52" s="1457"/>
      <c r="R52" s="1457"/>
    </row>
    <row r="53" spans="1:22" s="1611" customFormat="1">
      <c r="A53" s="1457"/>
      <c r="B53" s="1457"/>
      <c r="C53" s="1457"/>
      <c r="D53" s="1457"/>
      <c r="E53" s="1457"/>
      <c r="F53" s="626"/>
      <c r="G53" s="1457"/>
      <c r="H53" s="1457"/>
      <c r="I53" s="1457"/>
      <c r="J53" s="2239"/>
      <c r="K53" s="2237"/>
      <c r="L53" s="2237"/>
      <c r="M53" s="2237"/>
      <c r="N53" s="1457"/>
      <c r="O53" s="1457"/>
      <c r="P53" s="1457"/>
      <c r="Q53" s="1457"/>
      <c r="R53" s="1457"/>
    </row>
    <row r="54" spans="1:22" s="1611" customFormat="1">
      <c r="A54" s="1457"/>
      <c r="B54" s="1457"/>
      <c r="C54" s="1457"/>
      <c r="D54" s="1457"/>
      <c r="E54" s="1457"/>
      <c r="F54" s="626"/>
      <c r="G54" s="1457"/>
      <c r="H54" s="1457"/>
      <c r="I54" s="1457"/>
      <c r="J54" s="2239"/>
      <c r="K54" s="2237"/>
      <c r="L54" s="2237"/>
      <c r="M54" s="2237"/>
      <c r="N54" s="1457"/>
      <c r="O54" s="1457"/>
      <c r="P54" s="1457"/>
      <c r="Q54" s="1457"/>
      <c r="R54" s="1457"/>
    </row>
    <row r="55" spans="1:22" s="1611" customFormat="1">
      <c r="A55" s="1457"/>
      <c r="B55" s="1457"/>
      <c r="C55" s="1457"/>
      <c r="D55" s="1457"/>
      <c r="E55" s="1457"/>
      <c r="F55" s="626"/>
      <c r="G55" s="1457"/>
      <c r="H55" s="1457"/>
      <c r="I55" s="1457"/>
      <c r="J55" s="2239"/>
      <c r="K55" s="2237"/>
      <c r="L55" s="2237"/>
      <c r="M55" s="2237"/>
      <c r="N55" s="1457"/>
      <c r="O55" s="1457"/>
      <c r="P55" s="1457"/>
      <c r="Q55" s="1457"/>
      <c r="R55" s="1457"/>
    </row>
    <row r="56" spans="1:22" s="1611" customFormat="1">
      <c r="A56" s="1457"/>
      <c r="B56" s="1457"/>
      <c r="C56" s="1457"/>
      <c r="D56" s="1457"/>
      <c r="E56" s="1457"/>
      <c r="F56" s="626"/>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customWidth="1"/>
    <col min="18" max="18" width="9.21875" style="1458" customWidth="1"/>
    <col min="19" max="19" width="10.88671875" style="1458" customWidth="1"/>
    <col min="20" max="21" width="10.77734375" style="1458" customWidth="1"/>
    <col min="22" max="22" width="10.88671875" style="1458" customWidth="1"/>
    <col min="23" max="27" width="10.77734375" style="1458" customWidth="1"/>
    <col min="28" max="28" width="10.88671875" style="1458"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1067</v>
      </c>
      <c r="AZ2" s="982"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3198">
        <f>分摊土地报告!E229</f>
        <v>8682.75</v>
      </c>
      <c r="B3" s="10">
        <f>IF(C3="否",G5-AT5,G5)</f>
        <v>35822.61</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1" t="s">
        <v>1071</v>
      </c>
      <c r="B5" s="1254"/>
      <c r="C5" s="1254"/>
      <c r="D5" s="1255"/>
      <c r="E5" s="12" t="s">
        <v>0</v>
      </c>
      <c r="F5" s="12">
        <f>SUM(F13:F587)</f>
        <v>0</v>
      </c>
      <c r="G5" s="12">
        <f>SUM(G13:G587)</f>
        <v>35822.61</v>
      </c>
      <c r="H5" s="12">
        <f t="shared" ref="H5:AT5" si="0">SUM(H13:H656)</f>
        <v>35822.61</v>
      </c>
      <c r="I5" s="12">
        <f t="shared" si="0"/>
        <v>22498.01</v>
      </c>
      <c r="J5" s="12">
        <f t="shared" si="0"/>
        <v>0</v>
      </c>
      <c r="K5" s="12">
        <f t="shared" si="0"/>
        <v>1909.58</v>
      </c>
      <c r="L5" s="12">
        <f t="shared" si="0"/>
        <v>0</v>
      </c>
      <c r="M5" s="12">
        <f t="shared" si="0"/>
        <v>11415.02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3"/>
      <c r="AV5" s="11" t="s">
        <v>1071</v>
      </c>
      <c r="AW5" s="1254"/>
      <c r="AX5" s="1254"/>
      <c r="AY5" s="13" t="s">
        <v>2</v>
      </c>
      <c r="AZ5" s="14">
        <f t="shared" ref="AZ5:BT5" si="1">SUM(AZ13:AZ656)</f>
        <v>35822.61</v>
      </c>
      <c r="BA5" s="14">
        <f t="shared" si="1"/>
        <v>35822.61</v>
      </c>
      <c r="BB5" s="14">
        <f t="shared" si="1"/>
        <v>22498.01</v>
      </c>
      <c r="BC5" s="14">
        <f t="shared" si="1"/>
        <v>1909.58</v>
      </c>
      <c r="BD5" s="14">
        <f t="shared" si="1"/>
        <v>11415.02</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2" customFormat="1" ht="13.2">
      <c r="A6" s="11" t="s">
        <v>1072</v>
      </c>
      <c r="B6" s="1469"/>
      <c r="C6" s="1469"/>
      <c r="D6" s="1470"/>
      <c r="E6" s="12">
        <f>H6+AC6+AT6</f>
        <v>8682.75</v>
      </c>
      <c r="F6" s="12" t="s">
        <v>0</v>
      </c>
      <c r="G6" s="12" t="s">
        <v>1</v>
      </c>
      <c r="H6" s="16">
        <f>SUMIF(I$12:AB$12,"总值",I6:AB6)</f>
        <v>8682.75</v>
      </c>
      <c r="I6" s="12">
        <f t="shared" ref="I6:AB6" si="2">ROUND($A$3*I5/$B$3,2)</f>
        <v>5453.11</v>
      </c>
      <c r="J6" s="12">
        <f t="shared" si="2"/>
        <v>0</v>
      </c>
      <c r="K6" s="12">
        <f t="shared" si="2"/>
        <v>462.85</v>
      </c>
      <c r="L6" s="12">
        <f t="shared" si="2"/>
        <v>0</v>
      </c>
      <c r="M6" s="12">
        <f t="shared" si="2"/>
        <v>2766.79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1"/>
      <c r="AV6" s="11" t="s">
        <v>1072</v>
      </c>
      <c r="AW6" s="1469"/>
      <c r="AX6" s="1469"/>
      <c r="AY6" s="17">
        <f>IF(AY3&gt;0,AY3,ROUND($A$3*AZ5/$B$3,2))</f>
        <v>8682.75</v>
      </c>
      <c r="AZ6" s="12" t="s">
        <v>2</v>
      </c>
      <c r="BA6" s="12">
        <f>ROUND($AY$6*BA5/$AZ$5,2)</f>
        <v>8682.75</v>
      </c>
      <c r="BB6" s="12">
        <f>ROUND($AY$6*BB5/$AZ$5,2)</f>
        <v>5453.11</v>
      </c>
      <c r="BC6" s="12">
        <f t="shared" ref="BC6:BH6" si="4">ROUND($AY$6*BC5/$AZ$5,2)</f>
        <v>462.85</v>
      </c>
      <c r="BD6" s="12">
        <f t="shared" si="4"/>
        <v>2766.79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3" customFormat="1" ht="25.2">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19" t="s">
        <v>1081</v>
      </c>
      <c r="AW7" s="1461" t="s">
        <v>1082</v>
      </c>
      <c r="AX7" s="19"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6" t="s">
        <v>1086</v>
      </c>
      <c r="AD8" s="1483"/>
      <c r="AE8" s="1475"/>
      <c r="AF8" s="1264"/>
      <c r="AG8" s="1264"/>
      <c r="AH8" s="1264"/>
      <c r="AI8" s="1264"/>
      <c r="AJ8" s="1264"/>
      <c r="AK8" s="1264"/>
      <c r="AL8" s="1264"/>
      <c r="AM8" s="1264"/>
      <c r="AN8" s="1264"/>
      <c r="AO8" s="1264"/>
      <c r="AP8" s="1264"/>
      <c r="AQ8" s="1264"/>
      <c r="AR8" s="1264"/>
      <c r="AS8" s="1264"/>
      <c r="AT8" s="1002" t="s">
        <v>1087</v>
      </c>
      <c r="AU8" s="1477" t="s">
        <v>1088</v>
      </c>
      <c r="AV8" s="1002"/>
      <c r="AW8" s="1462"/>
      <c r="AX8" s="1002"/>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2"/>
    </row>
    <row r="9" spans="1:72" s="1484" customFormat="1" ht="13.2">
      <c r="A9" s="1477"/>
      <c r="B9" s="1477"/>
      <c r="C9" s="1477"/>
      <c r="D9" s="1477"/>
      <c r="E9" s="1477"/>
      <c r="F9" s="1477"/>
      <c r="G9" s="1002"/>
      <c r="H9" s="1485" t="s">
        <v>1091</v>
      </c>
      <c r="I9" s="1486" t="s">
        <v>3372</v>
      </c>
      <c r="J9" s="756"/>
      <c r="K9" s="1486" t="s">
        <v>3382</v>
      </c>
      <c r="L9" s="756"/>
      <c r="M9" s="1486" t="s">
        <v>3382</v>
      </c>
      <c r="N9" s="756"/>
      <c r="O9" s="1486"/>
      <c r="P9" s="756"/>
      <c r="Q9" s="1486"/>
      <c r="R9" s="756"/>
      <c r="S9" s="1486"/>
      <c r="T9" s="756"/>
      <c r="U9" s="1486"/>
      <c r="V9" s="756"/>
      <c r="W9" s="1486"/>
      <c r="X9" s="1487"/>
      <c r="Y9" s="1486"/>
      <c r="Z9" s="756"/>
      <c r="AA9" s="1486"/>
      <c r="AB9" s="756"/>
      <c r="AC9" s="1478" t="s">
        <v>1091</v>
      </c>
      <c r="AD9" s="11" t="s">
        <v>1092</v>
      </c>
      <c r="AE9" s="1008"/>
      <c r="AF9" s="11" t="s">
        <v>1093</v>
      </c>
      <c r="AG9" s="1008"/>
      <c r="AH9" s="11" t="s">
        <v>1092</v>
      </c>
      <c r="AI9" s="1008"/>
      <c r="AJ9" s="11" t="s">
        <v>1093</v>
      </c>
      <c r="AK9" s="1008"/>
      <c r="AL9" s="11" t="s">
        <v>1092</v>
      </c>
      <c r="AM9" s="1008"/>
      <c r="AN9" s="11" t="s">
        <v>1093</v>
      </c>
      <c r="AO9" s="1008"/>
      <c r="AP9" s="11" t="s">
        <v>1092</v>
      </c>
      <c r="AQ9" s="1008"/>
      <c r="AR9" s="11" t="s">
        <v>1093</v>
      </c>
      <c r="AS9" s="1488"/>
      <c r="AT9" s="1477"/>
      <c r="AU9" s="1477" t="s">
        <v>1094</v>
      </c>
      <c r="AV9" s="1002"/>
      <c r="AW9" s="1462"/>
      <c r="AX9" s="1002"/>
      <c r="AY9" s="24"/>
      <c r="AZ9" s="24" t="s">
        <v>1084</v>
      </c>
      <c r="BA9" s="1489" t="s">
        <v>1095</v>
      </c>
      <c r="BB9" s="1490"/>
      <c r="BC9" s="1020"/>
      <c r="BD9" s="1020"/>
      <c r="BE9" s="1020"/>
      <c r="BF9" s="1020"/>
      <c r="BG9" s="1020"/>
      <c r="BH9" s="1020"/>
      <c r="BI9" s="1020"/>
      <c r="BJ9" s="1020"/>
      <c r="BK9" s="1491"/>
      <c r="BL9" s="11" t="s">
        <v>1096</v>
      </c>
      <c r="BM9" s="1264"/>
      <c r="BN9" s="1480"/>
      <c r="BO9" s="1264"/>
      <c r="BP9" s="1264"/>
      <c r="BQ9" s="1264"/>
      <c r="BR9" s="1264"/>
      <c r="BS9" s="1264"/>
      <c r="BT9" s="22"/>
    </row>
    <row r="10" spans="1:72" s="1484" customFormat="1" ht="13.2">
      <c r="A10" s="1477"/>
      <c r="B10" s="1477"/>
      <c r="C10" s="1477"/>
      <c r="D10" s="1477"/>
      <c r="E10" s="1477"/>
      <c r="F10" s="1477"/>
      <c r="G10" s="1002"/>
      <c r="H10" s="24"/>
      <c r="I10" s="1486" t="s">
        <v>3373</v>
      </c>
      <c r="J10" s="756"/>
      <c r="K10" s="1492" t="s">
        <v>3336</v>
      </c>
      <c r="L10" s="756"/>
      <c r="M10" s="1492" t="s">
        <v>3335</v>
      </c>
      <c r="N10" s="756"/>
      <c r="O10" s="1492"/>
      <c r="P10" s="756"/>
      <c r="Q10" s="1492"/>
      <c r="R10" s="756"/>
      <c r="S10" s="1492"/>
      <c r="T10" s="756"/>
      <c r="U10" s="1492"/>
      <c r="V10" s="756"/>
      <c r="W10" s="1492"/>
      <c r="X10" s="756"/>
      <c r="Y10" s="1492"/>
      <c r="Z10" s="756"/>
      <c r="AA10" s="1492"/>
      <c r="AB10" s="756"/>
      <c r="AC10" s="1002"/>
      <c r="AD10" s="11" t="s">
        <v>1097</v>
      </c>
      <c r="AE10" s="1493"/>
      <c r="AF10" s="11" t="s">
        <v>1097</v>
      </c>
      <c r="AG10" s="1493"/>
      <c r="AH10" s="11" t="s">
        <v>1098</v>
      </c>
      <c r="AI10" s="1493"/>
      <c r="AJ10" s="11" t="s">
        <v>1098</v>
      </c>
      <c r="AK10" s="1493"/>
      <c r="AL10" s="11" t="s">
        <v>1099</v>
      </c>
      <c r="AM10" s="1008"/>
      <c r="AN10" s="11" t="s">
        <v>1099</v>
      </c>
      <c r="AO10" s="1008"/>
      <c r="AP10" s="11" t="s">
        <v>1100</v>
      </c>
      <c r="AQ10" s="1008"/>
      <c r="AR10" s="11" t="s">
        <v>1100</v>
      </c>
      <c r="AS10" s="1008"/>
      <c r="AT10" s="1477"/>
      <c r="AU10" s="1477"/>
      <c r="AV10" s="1002"/>
      <c r="AW10" s="1462"/>
      <c r="AX10" s="1002"/>
      <c r="AY10" s="24"/>
      <c r="AZ10" s="24"/>
      <c r="BA10" s="1494" t="s">
        <v>1091</v>
      </c>
      <c r="BB10" s="1495"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3" t="str">
        <f>AD9</f>
        <v>地上</v>
      </c>
      <c r="BN10" s="25" t="str">
        <f>AF9</f>
        <v>地下</v>
      </c>
      <c r="BO10" s="1263" t="str">
        <f>AH9</f>
        <v>地上</v>
      </c>
      <c r="BP10" s="25" t="str">
        <f>AJ9</f>
        <v>地下</v>
      </c>
      <c r="BQ10" s="1263" t="str">
        <f>AL9</f>
        <v>地上</v>
      </c>
      <c r="BR10" s="25" t="str">
        <f>AN9</f>
        <v>地下</v>
      </c>
      <c r="BS10" s="1263" t="str">
        <f>AP9</f>
        <v>地上</v>
      </c>
      <c r="BT10" s="1496" t="str">
        <f>AR9</f>
        <v>地下</v>
      </c>
    </row>
    <row r="11" spans="1:72" s="1484" customFormat="1" ht="13.2">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2"/>
      <c r="AW11" s="1462"/>
      <c r="AX11" s="1002"/>
      <c r="AY11" s="24"/>
      <c r="AZ11" s="24"/>
      <c r="BA11" s="24"/>
      <c r="BB11" s="1482" t="str">
        <f>I10</f>
        <v>住宅</v>
      </c>
      <c r="BC11" s="1482" t="str">
        <f>K10</f>
        <v>仓储</v>
      </c>
      <c r="BD11" s="1482" t="str">
        <f>M10</f>
        <v>车库</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0" t="str">
        <f>AH10</f>
        <v>物业管理用房</v>
      </c>
      <c r="BP11" s="20" t="str">
        <f>AJ10</f>
        <v>物业管理用房</v>
      </c>
      <c r="BQ11" s="20" t="str">
        <f>AL10</f>
        <v>设备及其他</v>
      </c>
      <c r="BR11" s="20" t="str">
        <f>AN10</f>
        <v>设备及其他</v>
      </c>
      <c r="BS11" s="21" t="str">
        <f>AP10</f>
        <v>未注明</v>
      </c>
      <c r="BT11" s="1501" t="str">
        <f>AR10</f>
        <v>未注明</v>
      </c>
    </row>
    <row r="12" spans="1:72" s="1463" customFormat="1" ht="13.2">
      <c r="A12" s="1502"/>
      <c r="B12" s="1502"/>
      <c r="C12" s="1502"/>
      <c r="D12" s="1502"/>
      <c r="E12" s="1502"/>
      <c r="F12" s="1502"/>
      <c r="G12" s="26"/>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2" t="s">
        <v>1104</v>
      </c>
      <c r="AT12" s="1505"/>
      <c r="AU12" s="1502"/>
      <c r="AV12" s="27"/>
      <c r="AW12" s="1461"/>
      <c r="AX12" s="27"/>
      <c r="AY12" s="1506"/>
      <c r="AZ12" s="24"/>
      <c r="BA12" s="1494"/>
      <c r="BB12" s="20">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0" t="str">
        <f>AH11</f>
        <v>（住宅、计出让金）</v>
      </c>
      <c r="BP12" s="20" t="str">
        <f>AJ11</f>
        <v>（住宅、计出让金）</v>
      </c>
      <c r="BQ12" s="20">
        <f>AL11</f>
        <v>0</v>
      </c>
      <c r="BR12" s="20">
        <f>AN11</f>
        <v>0</v>
      </c>
      <c r="BS12" s="21">
        <f>AP11</f>
        <v>0</v>
      </c>
      <c r="BT12" s="1501">
        <f>AR11</f>
        <v>0</v>
      </c>
    </row>
    <row r="13" spans="1:72" s="1463" customFormat="1" ht="13.2">
      <c r="A13" s="626"/>
      <c r="B13" s="626"/>
      <c r="C13" s="626"/>
      <c r="D13" s="1508" t="s">
        <v>3371</v>
      </c>
      <c r="E13" s="12">
        <f>IF($C$3="是",ROUND($A$3*G13/$B$3,2),ROUND($A$3*(G13-AT13)/$B$3,2))</f>
        <v>8682.75</v>
      </c>
      <c r="F13" s="28"/>
      <c r="G13" s="29">
        <f>H13+AC13+AT13</f>
        <v>35822.61</v>
      </c>
      <c r="H13" s="16">
        <f>SUMIF(I$12:AB$12,"总值",I13:AB13)</f>
        <v>35822.61</v>
      </c>
      <c r="I13" s="1509">
        <v>22498.01</v>
      </c>
      <c r="J13" s="1509"/>
      <c r="K13" s="1509">
        <v>1909.58</v>
      </c>
      <c r="L13" s="1509"/>
      <c r="M13" s="1509">
        <v>11415.02</v>
      </c>
      <c r="N13" s="1509"/>
      <c r="O13" s="1509"/>
      <c r="P13" s="1509"/>
      <c r="Q13" s="1509"/>
      <c r="R13" s="1509"/>
      <c r="S13" s="1509"/>
      <c r="T13" s="1509"/>
      <c r="U13" s="1509"/>
      <c r="V13" s="1509"/>
      <c r="W13" s="1509"/>
      <c r="X13" s="1509"/>
      <c r="Y13" s="1509"/>
      <c r="Z13" s="1509"/>
      <c r="AA13" s="1509"/>
      <c r="AB13" s="1509"/>
      <c r="AC13" s="12">
        <f>SUMIF(AD$12:AS$12,"总值",AD13:AS13)</f>
        <v>0</v>
      </c>
      <c r="AD13" s="984"/>
      <c r="AE13" s="984"/>
      <c r="AF13" s="984"/>
      <c r="AG13" s="984"/>
      <c r="AH13" s="984"/>
      <c r="AI13" s="984"/>
      <c r="AJ13" s="984"/>
      <c r="AK13" s="984"/>
      <c r="AL13" s="984"/>
      <c r="AM13" s="984"/>
      <c r="AN13" s="984"/>
      <c r="AO13" s="984"/>
      <c r="AP13" s="984"/>
      <c r="AQ13" s="984"/>
      <c r="AR13" s="984"/>
      <c r="AS13" s="984"/>
      <c r="AT13" s="28"/>
      <c r="AU13" s="1510"/>
      <c r="AV13" s="8">
        <f t="shared" ref="AV13:AX17" si="6">A13</f>
        <v>0</v>
      </c>
      <c r="AW13" s="8">
        <f t="shared" si="6"/>
        <v>0</v>
      </c>
      <c r="AX13" s="8">
        <f t="shared" si="6"/>
        <v>0</v>
      </c>
      <c r="AY13" s="1255">
        <f>ROUND($AY$6*AZ13/$AZ$5,2)</f>
        <v>8682.75</v>
      </c>
      <c r="AZ13" s="12">
        <f>BA13+BL13</f>
        <v>35822.61</v>
      </c>
      <c r="BA13" s="12">
        <f>SUM(BB13:BK13)</f>
        <v>35822.61</v>
      </c>
      <c r="BB13" s="12">
        <f>IF($D13="是",I13-J13,0)</f>
        <v>22498.01</v>
      </c>
      <c r="BC13" s="12">
        <f>IF($D13="是",K13-L13,0)</f>
        <v>1909.58</v>
      </c>
      <c r="BD13" s="12">
        <f>IF($D13="是",M13-N13,0)</f>
        <v>11415.02</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3" customFormat="1" ht="13.2">
      <c r="A14" s="626"/>
      <c r="B14" s="626"/>
      <c r="C14" s="1457"/>
      <c r="D14" s="1508"/>
      <c r="E14" s="12">
        <f>IF($C$3="是",ROUND($A$3*G14/$B$3,2),ROUND($A$3*(G14-AT14)/$B$3,2))</f>
        <v>0</v>
      </c>
      <c r="F14" s="28"/>
      <c r="G14" s="29">
        <f>H14+AC14+AT14</f>
        <v>0</v>
      </c>
      <c r="H14" s="16">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2">
        <f>SUMIF(AD$12:AS$12,"总值",AD14:AS14)</f>
        <v>0</v>
      </c>
      <c r="AD14" s="984"/>
      <c r="AE14" s="984"/>
      <c r="AF14" s="984"/>
      <c r="AG14" s="984"/>
      <c r="AH14" s="984"/>
      <c r="AI14" s="984"/>
      <c r="AJ14" s="984"/>
      <c r="AK14" s="984"/>
      <c r="AL14" s="984"/>
      <c r="AM14" s="984"/>
      <c r="AN14" s="984"/>
      <c r="AO14" s="984"/>
      <c r="AP14" s="984"/>
      <c r="AQ14" s="984"/>
      <c r="AR14" s="984"/>
      <c r="AS14" s="984"/>
      <c r="AT14" s="28"/>
      <c r="AU14" s="1510"/>
      <c r="AV14" s="8">
        <f t="shared" si="6"/>
        <v>0</v>
      </c>
      <c r="AW14" s="8">
        <f t="shared" si="6"/>
        <v>0</v>
      </c>
      <c r="AX14" s="8">
        <f t="shared" si="6"/>
        <v>0</v>
      </c>
      <c r="AY14" s="125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3" customFormat="1" ht="13.2">
      <c r="A15" s="626"/>
      <c r="B15" s="626"/>
      <c r="C15" s="1457"/>
      <c r="D15" s="1508"/>
      <c r="E15" s="12">
        <f>IF($C$3="是",ROUND($A$3*G15/$B$3,2),ROUND($A$3*(G15-AT15)/$B$3,2))</f>
        <v>0</v>
      </c>
      <c r="F15" s="28"/>
      <c r="G15" s="29">
        <f>H15+AC15+AT15</f>
        <v>0</v>
      </c>
      <c r="H15" s="16">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2">
        <f>SUMIF(AD$12:AS$12,"总值",AD15:AS15)</f>
        <v>0</v>
      </c>
      <c r="AD15" s="984"/>
      <c r="AE15" s="984"/>
      <c r="AF15" s="984"/>
      <c r="AG15" s="984"/>
      <c r="AH15" s="984"/>
      <c r="AI15" s="984"/>
      <c r="AJ15" s="984"/>
      <c r="AK15" s="984"/>
      <c r="AL15" s="984"/>
      <c r="AM15" s="984"/>
      <c r="AN15" s="984"/>
      <c r="AO15" s="984"/>
      <c r="AP15" s="984"/>
      <c r="AQ15" s="984"/>
      <c r="AR15" s="984"/>
      <c r="AS15" s="984"/>
      <c r="AT15" s="28"/>
      <c r="AU15" s="1510"/>
      <c r="AV15" s="8">
        <f t="shared" si="6"/>
        <v>0</v>
      </c>
      <c r="AW15" s="8">
        <f t="shared" si="6"/>
        <v>0</v>
      </c>
      <c r="AX15" s="8">
        <f t="shared" si="6"/>
        <v>0</v>
      </c>
      <c r="AY15" s="125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3" customFormat="1" ht="13.2">
      <c r="A16" s="626"/>
      <c r="B16" s="626"/>
      <c r="C16" s="1457"/>
      <c r="D16" s="1508"/>
      <c r="E16" s="12">
        <f>IF($C$3="是",ROUND($A$3*G16/$B$3,2),ROUND($A$3*(G16-AT16)/$B$3,2))</f>
        <v>0</v>
      </c>
      <c r="F16" s="28"/>
      <c r="G16" s="29">
        <f>H16+AC16+AT16</f>
        <v>0</v>
      </c>
      <c r="H16" s="16">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2">
        <f>SUMIF(AD$12:AS$12,"总值",AD16:AS16)</f>
        <v>0</v>
      </c>
      <c r="AD16" s="984"/>
      <c r="AE16" s="984"/>
      <c r="AF16" s="984"/>
      <c r="AG16" s="984"/>
      <c r="AH16" s="984"/>
      <c r="AI16" s="984"/>
      <c r="AJ16" s="984"/>
      <c r="AK16" s="984"/>
      <c r="AL16" s="984"/>
      <c r="AM16" s="984"/>
      <c r="AN16" s="984"/>
      <c r="AO16" s="984"/>
      <c r="AP16" s="984"/>
      <c r="AQ16" s="984"/>
      <c r="AR16" s="984"/>
      <c r="AS16" s="984"/>
      <c r="AT16" s="28"/>
      <c r="AU16" s="1510"/>
      <c r="AV16" s="8">
        <f t="shared" si="6"/>
        <v>0</v>
      </c>
      <c r="AW16" s="8">
        <f t="shared" si="6"/>
        <v>0</v>
      </c>
      <c r="AX16" s="8">
        <f t="shared" si="6"/>
        <v>0</v>
      </c>
      <c r="AY16" s="125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3" customFormat="1" ht="13.2">
      <c r="A17" s="626"/>
      <c r="B17" s="626"/>
      <c r="C17" s="1457"/>
      <c r="D17" s="1508"/>
      <c r="E17" s="12">
        <f>IF($C$3="是",ROUND($A$3*G17/$B$3,2),ROUND($A$3*(G17-AT17)/$B$3,2))</f>
        <v>0</v>
      </c>
      <c r="F17" s="28"/>
      <c r="G17" s="29">
        <f>H17+AC17+AT17</f>
        <v>0</v>
      </c>
      <c r="H17" s="16">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2">
        <f>SUMIF(AD$12:AS$12,"总值",AD17:AS17)</f>
        <v>0</v>
      </c>
      <c r="AD17" s="984"/>
      <c r="AE17" s="984"/>
      <c r="AF17" s="984"/>
      <c r="AG17" s="984"/>
      <c r="AH17" s="984"/>
      <c r="AI17" s="984"/>
      <c r="AJ17" s="984"/>
      <c r="AK17" s="984"/>
      <c r="AL17" s="984"/>
      <c r="AM17" s="984"/>
      <c r="AN17" s="984"/>
      <c r="AO17" s="984"/>
      <c r="AP17" s="984"/>
      <c r="AQ17" s="984"/>
      <c r="AR17" s="984"/>
      <c r="AS17" s="984"/>
      <c r="AT17" s="28"/>
      <c r="AU17" s="1510"/>
      <c r="AV17" s="8">
        <f t="shared" si="6"/>
        <v>0</v>
      </c>
      <c r="AW17" s="8">
        <f t="shared" si="6"/>
        <v>0</v>
      </c>
      <c r="AX17" s="8">
        <f t="shared" si="6"/>
        <v>0</v>
      </c>
      <c r="AY17" s="125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2"/>
      <c r="AV18" s="528">
        <f t="shared" ref="AV18:AV112" si="11">A18</f>
        <v>0</v>
      </c>
      <c r="AW18" s="528">
        <f t="shared" ref="AW18:AW112" si="12">B18</f>
        <v>0</v>
      </c>
      <c r="AX18" s="528">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2"/>
      <c r="AV19" s="528">
        <f t="shared" si="11"/>
        <v>0</v>
      </c>
      <c r="AW19" s="528">
        <f t="shared" si="12"/>
        <v>0</v>
      </c>
      <c r="AX19" s="528">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2"/>
      <c r="AV20" s="528">
        <f t="shared" si="11"/>
        <v>0</v>
      </c>
      <c r="AW20" s="528">
        <f t="shared" si="12"/>
        <v>0</v>
      </c>
      <c r="AX20" s="528">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2"/>
      <c r="AV21" s="528">
        <f t="shared" si="11"/>
        <v>0</v>
      </c>
      <c r="AW21" s="528">
        <f t="shared" si="12"/>
        <v>0</v>
      </c>
      <c r="AX21" s="528">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2"/>
      <c r="AV22" s="528">
        <f t="shared" si="11"/>
        <v>0</v>
      </c>
      <c r="AW22" s="528">
        <f t="shared" si="12"/>
        <v>0</v>
      </c>
      <c r="AX22" s="528">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2"/>
      <c r="AV23" s="528">
        <f t="shared" si="11"/>
        <v>0</v>
      </c>
      <c r="AW23" s="528">
        <f t="shared" si="12"/>
        <v>0</v>
      </c>
      <c r="AX23" s="528">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2"/>
      <c r="AV24" s="528">
        <f t="shared" si="11"/>
        <v>0</v>
      </c>
      <c r="AW24" s="528">
        <f t="shared" si="12"/>
        <v>0</v>
      </c>
      <c r="AX24" s="528">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2"/>
      <c r="AV25" s="528">
        <f t="shared" si="11"/>
        <v>0</v>
      </c>
      <c r="AW25" s="528">
        <f t="shared" si="12"/>
        <v>0</v>
      </c>
      <c r="AX25" s="528">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2"/>
      <c r="AV26" s="528">
        <f t="shared" si="11"/>
        <v>0</v>
      </c>
      <c r="AW26" s="528">
        <f t="shared" si="12"/>
        <v>0</v>
      </c>
      <c r="AX26" s="528">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2"/>
      <c r="AV27" s="528">
        <f t="shared" si="11"/>
        <v>0</v>
      </c>
      <c r="AW27" s="528">
        <f t="shared" si="12"/>
        <v>0</v>
      </c>
      <c r="AX27" s="528">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2"/>
      <c r="AV28" s="528">
        <f t="shared" si="11"/>
        <v>0</v>
      </c>
      <c r="AW28" s="528">
        <f t="shared" si="12"/>
        <v>0</v>
      </c>
      <c r="AX28" s="528">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2"/>
      <c r="AV29" s="528">
        <f t="shared" si="11"/>
        <v>0</v>
      </c>
      <c r="AW29" s="528">
        <f t="shared" si="12"/>
        <v>0</v>
      </c>
      <c r="AX29" s="528">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2"/>
      <c r="AV30" s="528">
        <f t="shared" si="11"/>
        <v>0</v>
      </c>
      <c r="AW30" s="528">
        <f t="shared" si="12"/>
        <v>0</v>
      </c>
      <c r="AX30" s="528">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2"/>
      <c r="AV31" s="528">
        <f t="shared" si="11"/>
        <v>0</v>
      </c>
      <c r="AW31" s="528">
        <f t="shared" si="12"/>
        <v>0</v>
      </c>
      <c r="AX31" s="528">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2"/>
      <c r="AV32" s="528">
        <f t="shared" si="11"/>
        <v>0</v>
      </c>
      <c r="AW32" s="528">
        <f t="shared" si="12"/>
        <v>0</v>
      </c>
      <c r="AX32" s="528">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2"/>
      <c r="AV33" s="528">
        <f t="shared" si="11"/>
        <v>0</v>
      </c>
      <c r="AW33" s="528">
        <f t="shared" si="12"/>
        <v>0</v>
      </c>
      <c r="AX33" s="528">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2"/>
      <c r="AV34" s="528">
        <f t="shared" si="11"/>
        <v>0</v>
      </c>
      <c r="AW34" s="528">
        <f t="shared" si="12"/>
        <v>0</v>
      </c>
      <c r="AX34" s="528">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2"/>
      <c r="AV35" s="528">
        <f t="shared" si="11"/>
        <v>0</v>
      </c>
      <c r="AW35" s="528">
        <f t="shared" si="12"/>
        <v>0</v>
      </c>
      <c r="AX35" s="528">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2"/>
      <c r="AV36" s="528">
        <f t="shared" si="11"/>
        <v>0</v>
      </c>
      <c r="AW36" s="528">
        <f t="shared" si="12"/>
        <v>0</v>
      </c>
      <c r="AX36" s="528">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2"/>
      <c r="AV37" s="528">
        <f t="shared" si="11"/>
        <v>0</v>
      </c>
      <c r="AW37" s="528">
        <f t="shared" si="12"/>
        <v>0</v>
      </c>
      <c r="AX37" s="528">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2"/>
      <c r="AV38" s="528">
        <f t="shared" si="11"/>
        <v>0</v>
      </c>
      <c r="AW38" s="528">
        <f t="shared" si="12"/>
        <v>0</v>
      </c>
      <c r="AX38" s="528">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2"/>
      <c r="AV39" s="528">
        <f t="shared" si="11"/>
        <v>0</v>
      </c>
      <c r="AW39" s="528">
        <f t="shared" si="12"/>
        <v>0</v>
      </c>
      <c r="AX39" s="528">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2"/>
      <c r="AV40" s="528">
        <f t="shared" si="11"/>
        <v>0</v>
      </c>
      <c r="AW40" s="528">
        <f t="shared" si="12"/>
        <v>0</v>
      </c>
      <c r="AX40" s="528">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2"/>
      <c r="AV41" s="528">
        <f t="shared" si="11"/>
        <v>0</v>
      </c>
      <c r="AW41" s="528">
        <f t="shared" si="12"/>
        <v>0</v>
      </c>
      <c r="AX41" s="528">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2"/>
      <c r="AV42" s="528">
        <f t="shared" si="11"/>
        <v>0</v>
      </c>
      <c r="AW42" s="528">
        <f t="shared" si="12"/>
        <v>0</v>
      </c>
      <c r="AX42" s="528">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2"/>
      <c r="AV43" s="528">
        <f t="shared" si="11"/>
        <v>0</v>
      </c>
      <c r="AW43" s="528">
        <f t="shared" si="12"/>
        <v>0</v>
      </c>
      <c r="AX43" s="528">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2"/>
      <c r="AV44" s="528">
        <f t="shared" si="11"/>
        <v>0</v>
      </c>
      <c r="AW44" s="528">
        <f t="shared" si="12"/>
        <v>0</v>
      </c>
      <c r="AX44" s="528">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2"/>
      <c r="AV45" s="528">
        <f t="shared" si="11"/>
        <v>0</v>
      </c>
      <c r="AW45" s="528">
        <f t="shared" si="12"/>
        <v>0</v>
      </c>
      <c r="AX45" s="528">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2"/>
      <c r="AV46" s="528">
        <f t="shared" si="11"/>
        <v>0</v>
      </c>
      <c r="AW46" s="528">
        <f t="shared" si="12"/>
        <v>0</v>
      </c>
      <c r="AX46" s="528">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2"/>
      <c r="AV47" s="528">
        <f t="shared" si="11"/>
        <v>0</v>
      </c>
      <c r="AW47" s="528">
        <f t="shared" si="12"/>
        <v>0</v>
      </c>
      <c r="AX47" s="528">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2"/>
      <c r="AV48" s="528">
        <f t="shared" si="11"/>
        <v>0</v>
      </c>
      <c r="AW48" s="528">
        <f t="shared" si="12"/>
        <v>0</v>
      </c>
      <c r="AX48" s="528">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2"/>
      <c r="AV49" s="528">
        <f t="shared" si="11"/>
        <v>0</v>
      </c>
      <c r="AW49" s="528">
        <f t="shared" si="12"/>
        <v>0</v>
      </c>
      <c r="AX49" s="528">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2"/>
      <c r="AV50" s="528">
        <f t="shared" si="11"/>
        <v>0</v>
      </c>
      <c r="AW50" s="528">
        <f t="shared" si="12"/>
        <v>0</v>
      </c>
      <c r="AX50" s="528">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2"/>
      <c r="AV51" s="528">
        <f t="shared" si="11"/>
        <v>0</v>
      </c>
      <c r="AW51" s="528">
        <f t="shared" si="12"/>
        <v>0</v>
      </c>
      <c r="AX51" s="528">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2"/>
      <c r="AV52" s="528">
        <f t="shared" si="11"/>
        <v>0</v>
      </c>
      <c r="AW52" s="528">
        <f t="shared" si="12"/>
        <v>0</v>
      </c>
      <c r="AX52" s="528">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2"/>
      <c r="AV53" s="528">
        <f t="shared" si="11"/>
        <v>0</v>
      </c>
      <c r="AW53" s="528">
        <f t="shared" si="12"/>
        <v>0</v>
      </c>
      <c r="AX53" s="528">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2"/>
      <c r="AV54" s="528">
        <f t="shared" si="11"/>
        <v>0</v>
      </c>
      <c r="AW54" s="528">
        <f t="shared" si="12"/>
        <v>0</v>
      </c>
      <c r="AX54" s="528">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2"/>
      <c r="AV55" s="528">
        <f t="shared" si="11"/>
        <v>0</v>
      </c>
      <c r="AW55" s="528">
        <f t="shared" si="12"/>
        <v>0</v>
      </c>
      <c r="AX55" s="528">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2"/>
      <c r="AV56" s="528">
        <f t="shared" si="11"/>
        <v>0</v>
      </c>
      <c r="AW56" s="528">
        <f t="shared" si="12"/>
        <v>0</v>
      </c>
      <c r="AX56" s="528">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2"/>
      <c r="AV57" s="528">
        <f t="shared" si="11"/>
        <v>0</v>
      </c>
      <c r="AW57" s="528">
        <f t="shared" si="12"/>
        <v>0</v>
      </c>
      <c r="AX57" s="528">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2"/>
      <c r="AV58" s="528">
        <f t="shared" si="11"/>
        <v>0</v>
      </c>
      <c r="AW58" s="528">
        <f t="shared" si="12"/>
        <v>0</v>
      </c>
      <c r="AX58" s="528">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2"/>
      <c r="AV59" s="528">
        <f t="shared" si="11"/>
        <v>0</v>
      </c>
      <c r="AW59" s="528">
        <f t="shared" si="12"/>
        <v>0</v>
      </c>
      <c r="AX59" s="528">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2"/>
      <c r="AV60" s="528">
        <f t="shared" si="11"/>
        <v>0</v>
      </c>
      <c r="AW60" s="528">
        <f t="shared" si="12"/>
        <v>0</v>
      </c>
      <c r="AX60" s="528">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2"/>
      <c r="AV61" s="528">
        <f t="shared" si="11"/>
        <v>0</v>
      </c>
      <c r="AW61" s="528">
        <f t="shared" si="12"/>
        <v>0</v>
      </c>
      <c r="AX61" s="528">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2"/>
      <c r="AV62" s="528">
        <f t="shared" si="11"/>
        <v>0</v>
      </c>
      <c r="AW62" s="528">
        <f t="shared" si="12"/>
        <v>0</v>
      </c>
      <c r="AX62" s="528">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2"/>
      <c r="AV63" s="528">
        <f t="shared" si="11"/>
        <v>0</v>
      </c>
      <c r="AW63" s="528">
        <f t="shared" si="12"/>
        <v>0</v>
      </c>
      <c r="AX63" s="528">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2"/>
      <c r="AV64" s="528">
        <f t="shared" si="11"/>
        <v>0</v>
      </c>
      <c r="AW64" s="528">
        <f t="shared" si="12"/>
        <v>0</v>
      </c>
      <c r="AX64" s="528">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2"/>
      <c r="AV65" s="528">
        <f t="shared" si="11"/>
        <v>0</v>
      </c>
      <c r="AW65" s="528">
        <f t="shared" si="12"/>
        <v>0</v>
      </c>
      <c r="AX65" s="528">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2"/>
      <c r="AV66" s="528">
        <f t="shared" si="11"/>
        <v>0</v>
      </c>
      <c r="AW66" s="528">
        <f t="shared" si="12"/>
        <v>0</v>
      </c>
      <c r="AX66" s="528">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2"/>
      <c r="AV67" s="528">
        <f t="shared" si="11"/>
        <v>0</v>
      </c>
      <c r="AW67" s="528">
        <f t="shared" si="12"/>
        <v>0</v>
      </c>
      <c r="AX67" s="528">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2"/>
      <c r="AV68" s="528">
        <f t="shared" si="11"/>
        <v>0</v>
      </c>
      <c r="AW68" s="528">
        <f t="shared" si="12"/>
        <v>0</v>
      </c>
      <c r="AX68" s="528">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2"/>
      <c r="AV69" s="528">
        <f t="shared" si="11"/>
        <v>0</v>
      </c>
      <c r="AW69" s="528">
        <f t="shared" si="12"/>
        <v>0</v>
      </c>
      <c r="AX69" s="528">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2"/>
      <c r="AV70" s="528">
        <f t="shared" si="11"/>
        <v>0</v>
      </c>
      <c r="AW70" s="528">
        <f t="shared" si="12"/>
        <v>0</v>
      </c>
      <c r="AX70" s="528">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2"/>
      <c r="AV71" s="528">
        <f t="shared" si="11"/>
        <v>0</v>
      </c>
      <c r="AW71" s="528">
        <f t="shared" si="12"/>
        <v>0</v>
      </c>
      <c r="AX71" s="528">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2"/>
      <c r="AV72" s="528">
        <f t="shared" si="11"/>
        <v>0</v>
      </c>
      <c r="AW72" s="528">
        <f t="shared" si="12"/>
        <v>0</v>
      </c>
      <c r="AX72" s="528">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2"/>
      <c r="AV73" s="528">
        <f t="shared" si="11"/>
        <v>0</v>
      </c>
      <c r="AW73" s="528">
        <f t="shared" si="12"/>
        <v>0</v>
      </c>
      <c r="AX73" s="528">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2"/>
      <c r="AV74" s="528">
        <f t="shared" si="11"/>
        <v>0</v>
      </c>
      <c r="AW74" s="528">
        <f t="shared" si="12"/>
        <v>0</v>
      </c>
      <c r="AX74" s="528">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2"/>
      <c r="AV75" s="528">
        <f t="shared" si="11"/>
        <v>0</v>
      </c>
      <c r="AW75" s="528">
        <f t="shared" si="12"/>
        <v>0</v>
      </c>
      <c r="AX75" s="528">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2"/>
      <c r="AV76" s="528">
        <f t="shared" si="11"/>
        <v>0</v>
      </c>
      <c r="AW76" s="528">
        <f t="shared" si="12"/>
        <v>0</v>
      </c>
      <c r="AX76" s="528">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2"/>
      <c r="AV77" s="528">
        <f t="shared" si="11"/>
        <v>0</v>
      </c>
      <c r="AW77" s="528">
        <f t="shared" si="12"/>
        <v>0</v>
      </c>
      <c r="AX77" s="528">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2"/>
      <c r="AV78" s="528">
        <f t="shared" si="11"/>
        <v>0</v>
      </c>
      <c r="AW78" s="528">
        <f t="shared" si="12"/>
        <v>0</v>
      </c>
      <c r="AX78" s="528">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AX79" s="528">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2"/>
      <c r="AV80" s="528">
        <f t="shared" si="11"/>
        <v>0</v>
      </c>
      <c r="AW80" s="528">
        <f t="shared" si="12"/>
        <v>0</v>
      </c>
      <c r="AX80" s="528">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2"/>
      <c r="AV81" s="528">
        <f t="shared" si="11"/>
        <v>0</v>
      </c>
      <c r="AW81" s="528">
        <f t="shared" si="12"/>
        <v>0</v>
      </c>
      <c r="AX81" s="528">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2"/>
      <c r="AV82" s="528">
        <f t="shared" si="11"/>
        <v>0</v>
      </c>
      <c r="AW82" s="528">
        <f t="shared" si="12"/>
        <v>0</v>
      </c>
      <c r="AX82" s="528">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2"/>
      <c r="AV83" s="528">
        <f t="shared" si="11"/>
        <v>0</v>
      </c>
      <c r="AW83" s="528">
        <f t="shared" si="12"/>
        <v>0</v>
      </c>
      <c r="AX83" s="528">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2"/>
      <c r="AV84" s="528">
        <f t="shared" si="11"/>
        <v>0</v>
      </c>
      <c r="AW84" s="528">
        <f t="shared" si="12"/>
        <v>0</v>
      </c>
      <c r="AX84" s="528">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2"/>
      <c r="AV85" s="528">
        <f t="shared" si="11"/>
        <v>0</v>
      </c>
      <c r="AW85" s="528">
        <f t="shared" si="12"/>
        <v>0</v>
      </c>
      <c r="AX85" s="528">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2"/>
      <c r="AV86" s="528">
        <f t="shared" si="11"/>
        <v>0</v>
      </c>
      <c r="AW86" s="528">
        <f t="shared" si="12"/>
        <v>0</v>
      </c>
      <c r="AX86" s="528">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2"/>
      <c r="AV87" s="528">
        <f t="shared" si="11"/>
        <v>0</v>
      </c>
      <c r="AW87" s="528">
        <f t="shared" si="12"/>
        <v>0</v>
      </c>
      <c r="AX87" s="528">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2"/>
      <c r="AV88" s="528">
        <f t="shared" si="11"/>
        <v>0</v>
      </c>
      <c r="AW88" s="528">
        <f t="shared" si="12"/>
        <v>0</v>
      </c>
      <c r="AX88" s="528">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2"/>
      <c r="AV89" s="528">
        <f t="shared" si="11"/>
        <v>0</v>
      </c>
      <c r="AW89" s="528">
        <f t="shared" si="12"/>
        <v>0</v>
      </c>
      <c r="AX89" s="528">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2"/>
      <c r="AV90" s="528">
        <f t="shared" si="11"/>
        <v>0</v>
      </c>
      <c r="AW90" s="528">
        <f t="shared" si="12"/>
        <v>0</v>
      </c>
      <c r="AX90" s="528">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2"/>
      <c r="AV91" s="528">
        <f t="shared" si="11"/>
        <v>0</v>
      </c>
      <c r="AW91" s="528">
        <f t="shared" si="12"/>
        <v>0</v>
      </c>
      <c r="AX91" s="528">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2"/>
      <c r="AV92" s="528">
        <f t="shared" si="11"/>
        <v>0</v>
      </c>
      <c r="AW92" s="528">
        <f t="shared" si="12"/>
        <v>0</v>
      </c>
      <c r="AX92" s="528">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2"/>
      <c r="AV93" s="528">
        <f t="shared" si="11"/>
        <v>0</v>
      </c>
      <c r="AW93" s="528">
        <f t="shared" si="12"/>
        <v>0</v>
      </c>
      <c r="AX93" s="528">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2"/>
      <c r="AV94" s="528">
        <f t="shared" si="11"/>
        <v>0</v>
      </c>
      <c r="AW94" s="528">
        <f t="shared" si="12"/>
        <v>0</v>
      </c>
      <c r="AX94" s="528">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2"/>
      <c r="AV95" s="528">
        <f t="shared" si="11"/>
        <v>0</v>
      </c>
      <c r="AW95" s="528">
        <f t="shared" si="12"/>
        <v>0</v>
      </c>
      <c r="AX95" s="528">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2"/>
      <c r="AV96" s="528">
        <f t="shared" si="11"/>
        <v>0</v>
      </c>
      <c r="AW96" s="528">
        <f t="shared" si="12"/>
        <v>0</v>
      </c>
      <c r="AX96" s="528">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2"/>
      <c r="AV97" s="528">
        <f t="shared" si="11"/>
        <v>0</v>
      </c>
      <c r="AW97" s="528">
        <f t="shared" si="12"/>
        <v>0</v>
      </c>
      <c r="AX97" s="528">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2"/>
      <c r="AV98" s="528">
        <f t="shared" si="11"/>
        <v>0</v>
      </c>
      <c r="AW98" s="528">
        <f t="shared" si="12"/>
        <v>0</v>
      </c>
      <c r="AX98" s="528">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2"/>
      <c r="AV99" s="528">
        <f t="shared" si="11"/>
        <v>0</v>
      </c>
      <c r="AW99" s="528">
        <f t="shared" si="12"/>
        <v>0</v>
      </c>
      <c r="AX99" s="528">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2"/>
      <c r="AV100" s="528">
        <f t="shared" si="11"/>
        <v>0</v>
      </c>
      <c r="AW100" s="528">
        <f t="shared" si="12"/>
        <v>0</v>
      </c>
      <c r="AX100" s="528">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2"/>
      <c r="AV101" s="528">
        <f t="shared" si="11"/>
        <v>0</v>
      </c>
      <c r="AW101" s="528">
        <f t="shared" si="12"/>
        <v>0</v>
      </c>
      <c r="AX101" s="528">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2"/>
      <c r="AV102" s="528">
        <f t="shared" si="11"/>
        <v>0</v>
      </c>
      <c r="AW102" s="528">
        <f t="shared" si="12"/>
        <v>0</v>
      </c>
      <c r="AX102" s="528">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2"/>
      <c r="AV103" s="528">
        <f t="shared" si="11"/>
        <v>0</v>
      </c>
      <c r="AW103" s="528">
        <f t="shared" si="12"/>
        <v>0</v>
      </c>
      <c r="AX103" s="528">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2"/>
      <c r="AV104" s="528">
        <f t="shared" si="11"/>
        <v>0</v>
      </c>
      <c r="AW104" s="528">
        <f t="shared" si="12"/>
        <v>0</v>
      </c>
      <c r="AX104" s="528">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2"/>
      <c r="AV105" s="528">
        <f t="shared" si="11"/>
        <v>0</v>
      </c>
      <c r="AW105" s="528">
        <f t="shared" si="12"/>
        <v>0</v>
      </c>
      <c r="AX105" s="528">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2"/>
      <c r="AV106" s="528">
        <f t="shared" si="11"/>
        <v>0</v>
      </c>
      <c r="AW106" s="528">
        <f t="shared" si="12"/>
        <v>0</v>
      </c>
      <c r="AX106" s="528">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2"/>
      <c r="AV107" s="528">
        <f t="shared" si="11"/>
        <v>0</v>
      </c>
      <c r="AW107" s="528">
        <f t="shared" si="12"/>
        <v>0</v>
      </c>
      <c r="AX107" s="528">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2"/>
      <c r="AV108" s="528">
        <f t="shared" si="11"/>
        <v>0</v>
      </c>
      <c r="AW108" s="528">
        <f t="shared" si="12"/>
        <v>0</v>
      </c>
      <c r="AX108" s="528">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2"/>
      <c r="AV109" s="528">
        <f t="shared" si="11"/>
        <v>0</v>
      </c>
      <c r="AW109" s="528">
        <f t="shared" si="12"/>
        <v>0</v>
      </c>
      <c r="AX109" s="528">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1"/>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1"/>
      <c r="AV110" s="528">
        <f t="shared" si="11"/>
        <v>0</v>
      </c>
      <c r="AW110" s="528">
        <f t="shared" si="12"/>
        <v>0</v>
      </c>
      <c r="AX110" s="528">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1"/>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1"/>
      <c r="AV111" s="528">
        <f t="shared" si="11"/>
        <v>0</v>
      </c>
      <c r="AW111" s="528">
        <f t="shared" si="12"/>
        <v>0</v>
      </c>
      <c r="AX111" s="528">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1"/>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1"/>
      <c r="AV112" s="528">
        <f t="shared" si="11"/>
        <v>0</v>
      </c>
      <c r="AW112" s="528">
        <f t="shared" si="12"/>
        <v>0</v>
      </c>
      <c r="AX112" s="528">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2"/>
      <c r="AV113" s="528">
        <f t="shared" ref="AV113:AV144" si="62">A113</f>
        <v>0</v>
      </c>
      <c r="AW113" s="528">
        <f t="shared" ref="AW113:AW144" si="63">B113</f>
        <v>0</v>
      </c>
      <c r="AX113" s="528">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2"/>
      <c r="AV114" s="528">
        <f t="shared" si="62"/>
        <v>0</v>
      </c>
      <c r="AW114" s="528">
        <f t="shared" si="63"/>
        <v>0</v>
      </c>
      <c r="AX114" s="528">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2"/>
      <c r="AV115" s="528">
        <f t="shared" si="62"/>
        <v>0</v>
      </c>
      <c r="AW115" s="528">
        <f t="shared" si="63"/>
        <v>0</v>
      </c>
      <c r="AX115" s="528">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2"/>
      <c r="AV116" s="528">
        <f t="shared" si="62"/>
        <v>0</v>
      </c>
      <c r="AW116" s="528">
        <f t="shared" si="63"/>
        <v>0</v>
      </c>
      <c r="AX116" s="528">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2"/>
      <c r="AV117" s="528">
        <f t="shared" si="62"/>
        <v>0</v>
      </c>
      <c r="AW117" s="528">
        <f t="shared" si="63"/>
        <v>0</v>
      </c>
      <c r="AX117" s="528">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2"/>
      <c r="AV118" s="528">
        <f t="shared" si="62"/>
        <v>0</v>
      </c>
      <c r="AW118" s="528">
        <f t="shared" si="63"/>
        <v>0</v>
      </c>
      <c r="AX118" s="528">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2"/>
      <c r="AV119" s="528">
        <f t="shared" si="62"/>
        <v>0</v>
      </c>
      <c r="AW119" s="528">
        <f t="shared" si="63"/>
        <v>0</v>
      </c>
      <c r="AX119" s="528">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2"/>
      <c r="AV120" s="528">
        <f t="shared" si="62"/>
        <v>0</v>
      </c>
      <c r="AW120" s="528">
        <f t="shared" si="63"/>
        <v>0</v>
      </c>
      <c r="AX120" s="528">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2"/>
      <c r="AV121" s="528">
        <f t="shared" si="62"/>
        <v>0</v>
      </c>
      <c r="AW121" s="528">
        <f t="shared" si="63"/>
        <v>0</v>
      </c>
      <c r="AX121" s="528">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2"/>
      <c r="AV122" s="528">
        <f t="shared" si="62"/>
        <v>0</v>
      </c>
      <c r="AW122" s="528">
        <f t="shared" si="63"/>
        <v>0</v>
      </c>
      <c r="AX122" s="528">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2"/>
      <c r="AV123" s="528">
        <f t="shared" si="62"/>
        <v>0</v>
      </c>
      <c r="AW123" s="528">
        <f t="shared" si="63"/>
        <v>0</v>
      </c>
      <c r="AX123" s="528">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2"/>
      <c r="AV124" s="528">
        <f t="shared" si="62"/>
        <v>0</v>
      </c>
      <c r="AW124" s="528">
        <f t="shared" si="63"/>
        <v>0</v>
      </c>
      <c r="AX124" s="528">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2"/>
      <c r="AV125" s="528">
        <f t="shared" si="62"/>
        <v>0</v>
      </c>
      <c r="AW125" s="528">
        <f t="shared" si="63"/>
        <v>0</v>
      </c>
      <c r="AX125" s="528">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2"/>
      <c r="AV126" s="528">
        <f t="shared" si="62"/>
        <v>0</v>
      </c>
      <c r="AW126" s="528">
        <f t="shared" si="63"/>
        <v>0</v>
      </c>
      <c r="AX126" s="528">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2"/>
      <c r="AV127" s="528">
        <f t="shared" si="62"/>
        <v>0</v>
      </c>
      <c r="AW127" s="528">
        <f t="shared" si="63"/>
        <v>0</v>
      </c>
      <c r="AX127" s="528">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2"/>
      <c r="AV128" s="528">
        <f t="shared" si="62"/>
        <v>0</v>
      </c>
      <c r="AW128" s="528">
        <f t="shared" si="63"/>
        <v>0</v>
      </c>
      <c r="AX128" s="528">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2"/>
      <c r="AV129" s="528">
        <f t="shared" si="62"/>
        <v>0</v>
      </c>
      <c r="AW129" s="528">
        <f t="shared" si="63"/>
        <v>0</v>
      </c>
      <c r="AX129" s="528">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2"/>
      <c r="AV130" s="528">
        <f t="shared" si="62"/>
        <v>0</v>
      </c>
      <c r="AW130" s="528">
        <f t="shared" si="63"/>
        <v>0</v>
      </c>
      <c r="AX130" s="528">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2"/>
      <c r="AV131" s="528">
        <f t="shared" si="62"/>
        <v>0</v>
      </c>
      <c r="AW131" s="528">
        <f t="shared" si="63"/>
        <v>0</v>
      </c>
      <c r="AX131" s="528">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2"/>
      <c r="AV132" s="528">
        <f t="shared" si="62"/>
        <v>0</v>
      </c>
      <c r="AW132" s="528">
        <f t="shared" si="63"/>
        <v>0</v>
      </c>
      <c r="AX132" s="528">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2"/>
      <c r="AV133" s="528">
        <f t="shared" si="62"/>
        <v>0</v>
      </c>
      <c r="AW133" s="528">
        <f t="shared" si="63"/>
        <v>0</v>
      </c>
      <c r="AX133" s="528">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2"/>
      <c r="AV134" s="528">
        <f t="shared" si="62"/>
        <v>0</v>
      </c>
      <c r="AW134" s="528">
        <f t="shared" si="63"/>
        <v>0</v>
      </c>
      <c r="AX134" s="528">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2"/>
      <c r="AV135" s="528">
        <f t="shared" si="62"/>
        <v>0</v>
      </c>
      <c r="AW135" s="528">
        <f t="shared" si="63"/>
        <v>0</v>
      </c>
      <c r="AX135" s="528">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2"/>
      <c r="AV136" s="528">
        <f t="shared" si="62"/>
        <v>0</v>
      </c>
      <c r="AW136" s="528">
        <f t="shared" si="63"/>
        <v>0</v>
      </c>
      <c r="AX136" s="528">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2"/>
      <c r="AV137" s="528">
        <f t="shared" si="62"/>
        <v>0</v>
      </c>
      <c r="AW137" s="528">
        <f t="shared" si="63"/>
        <v>0</v>
      </c>
      <c r="AX137" s="528">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2"/>
      <c r="AV138" s="528">
        <f t="shared" si="62"/>
        <v>0</v>
      </c>
      <c r="AW138" s="528">
        <f t="shared" si="63"/>
        <v>0</v>
      </c>
      <c r="AX138" s="528">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2"/>
      <c r="AV139" s="528">
        <f t="shared" si="62"/>
        <v>0</v>
      </c>
      <c r="AW139" s="528">
        <f t="shared" si="63"/>
        <v>0</v>
      </c>
      <c r="AX139" s="528">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2"/>
      <c r="AV140" s="528">
        <f t="shared" si="62"/>
        <v>0</v>
      </c>
      <c r="AW140" s="528">
        <f t="shared" si="63"/>
        <v>0</v>
      </c>
      <c r="AX140" s="528">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2"/>
      <c r="AV141" s="528">
        <f t="shared" si="62"/>
        <v>0</v>
      </c>
      <c r="AW141" s="528">
        <f t="shared" si="63"/>
        <v>0</v>
      </c>
      <c r="AX141" s="528">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2"/>
      <c r="AV142" s="528">
        <f t="shared" si="62"/>
        <v>0</v>
      </c>
      <c r="AW142" s="528">
        <f t="shared" si="63"/>
        <v>0</v>
      </c>
      <c r="AX142" s="528">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2"/>
      <c r="AV143" s="528">
        <f t="shared" si="62"/>
        <v>0</v>
      </c>
      <c r="AW143" s="528">
        <f t="shared" si="63"/>
        <v>0</v>
      </c>
      <c r="AX143" s="528">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2"/>
      <c r="AV144" s="528">
        <f t="shared" si="62"/>
        <v>0</v>
      </c>
      <c r="AW144" s="528">
        <f t="shared" si="63"/>
        <v>0</v>
      </c>
      <c r="AX144" s="528">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2"/>
      <c r="AV145" s="528">
        <f t="shared" ref="AV145:AV176" si="91">A145</f>
        <v>0</v>
      </c>
      <c r="AW145" s="528">
        <f t="shared" ref="AW145:AW176" si="92">B145</f>
        <v>0</v>
      </c>
      <c r="AX145" s="528">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2"/>
      <c r="AV146" s="528">
        <f t="shared" si="91"/>
        <v>0</v>
      </c>
      <c r="AW146" s="528">
        <f t="shared" si="92"/>
        <v>0</v>
      </c>
      <c r="AX146" s="528">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2"/>
      <c r="AV147" s="528">
        <f t="shared" si="91"/>
        <v>0</v>
      </c>
      <c r="AW147" s="528">
        <f t="shared" si="92"/>
        <v>0</v>
      </c>
      <c r="AX147" s="528">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2"/>
      <c r="AV148" s="528">
        <f t="shared" si="91"/>
        <v>0</v>
      </c>
      <c r="AW148" s="528">
        <f t="shared" si="92"/>
        <v>0</v>
      </c>
      <c r="AX148" s="528">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2"/>
      <c r="AV149" s="528">
        <f t="shared" si="91"/>
        <v>0</v>
      </c>
      <c r="AW149" s="528">
        <f t="shared" si="92"/>
        <v>0</v>
      </c>
      <c r="AX149" s="528">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2"/>
      <c r="AV150" s="528">
        <f t="shared" si="91"/>
        <v>0</v>
      </c>
      <c r="AW150" s="528">
        <f t="shared" si="92"/>
        <v>0</v>
      </c>
      <c r="AX150" s="528">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2"/>
      <c r="AV151" s="528">
        <f t="shared" si="91"/>
        <v>0</v>
      </c>
      <c r="AW151" s="528">
        <f t="shared" si="92"/>
        <v>0</v>
      </c>
      <c r="AX151" s="528">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2"/>
      <c r="AV152" s="528">
        <f t="shared" si="91"/>
        <v>0</v>
      </c>
      <c r="AW152" s="528">
        <f t="shared" si="92"/>
        <v>0</v>
      </c>
      <c r="AX152" s="528">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2"/>
      <c r="AV153" s="528">
        <f t="shared" si="91"/>
        <v>0</v>
      </c>
      <c r="AW153" s="528">
        <f t="shared" si="92"/>
        <v>0</v>
      </c>
      <c r="AX153" s="528">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2"/>
      <c r="AV154" s="528">
        <f t="shared" si="91"/>
        <v>0</v>
      </c>
      <c r="AW154" s="528">
        <f t="shared" si="92"/>
        <v>0</v>
      </c>
      <c r="AX154" s="528">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2"/>
      <c r="AV155" s="528">
        <f t="shared" si="91"/>
        <v>0</v>
      </c>
      <c r="AW155" s="528">
        <f t="shared" si="92"/>
        <v>0</v>
      </c>
      <c r="AX155" s="528">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2"/>
      <c r="AV156" s="528">
        <f t="shared" si="91"/>
        <v>0</v>
      </c>
      <c r="AW156" s="528">
        <f t="shared" si="92"/>
        <v>0</v>
      </c>
      <c r="AX156" s="528">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2"/>
      <c r="AV157" s="528">
        <f t="shared" si="91"/>
        <v>0</v>
      </c>
      <c r="AW157" s="528">
        <f t="shared" si="92"/>
        <v>0</v>
      </c>
      <c r="AX157" s="528">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2"/>
      <c r="AV158" s="528">
        <f t="shared" si="91"/>
        <v>0</v>
      </c>
      <c r="AW158" s="528">
        <f t="shared" si="92"/>
        <v>0</v>
      </c>
      <c r="AX158" s="528">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2"/>
      <c r="AV159" s="528">
        <f t="shared" si="91"/>
        <v>0</v>
      </c>
      <c r="AW159" s="528">
        <f t="shared" si="92"/>
        <v>0</v>
      </c>
      <c r="AX159" s="528">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2"/>
      <c r="AV160" s="528">
        <f t="shared" si="91"/>
        <v>0</v>
      </c>
      <c r="AW160" s="528">
        <f t="shared" si="92"/>
        <v>0</v>
      </c>
      <c r="AX160" s="528">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2"/>
      <c r="AV161" s="528">
        <f t="shared" si="91"/>
        <v>0</v>
      </c>
      <c r="AW161" s="528">
        <f t="shared" si="92"/>
        <v>0</v>
      </c>
      <c r="AX161" s="528">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2"/>
      <c r="AV162" s="528">
        <f t="shared" si="91"/>
        <v>0</v>
      </c>
      <c r="AW162" s="528">
        <f t="shared" si="92"/>
        <v>0</v>
      </c>
      <c r="AX162" s="528">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2"/>
      <c r="AV163" s="528">
        <f t="shared" si="91"/>
        <v>0</v>
      </c>
      <c r="AW163" s="528">
        <f t="shared" si="92"/>
        <v>0</v>
      </c>
      <c r="AX163" s="528">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2"/>
      <c r="AV164" s="528">
        <f t="shared" si="91"/>
        <v>0</v>
      </c>
      <c r="AW164" s="528">
        <f t="shared" si="92"/>
        <v>0</v>
      </c>
      <c r="AX164" s="528">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2"/>
      <c r="AV165" s="528">
        <f t="shared" si="91"/>
        <v>0</v>
      </c>
      <c r="AW165" s="528">
        <f t="shared" si="92"/>
        <v>0</v>
      </c>
      <c r="AX165" s="528">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2"/>
      <c r="AV166" s="528">
        <f t="shared" si="91"/>
        <v>0</v>
      </c>
      <c r="AW166" s="528">
        <f t="shared" si="92"/>
        <v>0</v>
      </c>
      <c r="AX166" s="528">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2"/>
      <c r="AV167" s="528">
        <f t="shared" si="91"/>
        <v>0</v>
      </c>
      <c r="AW167" s="528">
        <f t="shared" si="92"/>
        <v>0</v>
      </c>
      <c r="AX167" s="528">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2"/>
      <c r="AV168" s="528">
        <f t="shared" si="91"/>
        <v>0</v>
      </c>
      <c r="AW168" s="528">
        <f t="shared" si="92"/>
        <v>0</v>
      </c>
      <c r="AX168" s="528">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2"/>
      <c r="AV169" s="528">
        <f t="shared" si="91"/>
        <v>0</v>
      </c>
      <c r="AW169" s="528">
        <f t="shared" si="92"/>
        <v>0</v>
      </c>
      <c r="AX169" s="528">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2"/>
      <c r="AV170" s="528">
        <f t="shared" si="91"/>
        <v>0</v>
      </c>
      <c r="AW170" s="528">
        <f t="shared" si="92"/>
        <v>0</v>
      </c>
      <c r="AX170" s="528">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2"/>
      <c r="AV171" s="528">
        <f t="shared" si="91"/>
        <v>0</v>
      </c>
      <c r="AW171" s="528">
        <f t="shared" si="92"/>
        <v>0</v>
      </c>
      <c r="AX171" s="528">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2"/>
      <c r="AV172" s="528">
        <f t="shared" si="91"/>
        <v>0</v>
      </c>
      <c r="AW172" s="528">
        <f t="shared" si="92"/>
        <v>0</v>
      </c>
      <c r="AX172" s="528">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2"/>
      <c r="AV173" s="528">
        <f t="shared" si="91"/>
        <v>0</v>
      </c>
      <c r="AW173" s="528">
        <f t="shared" si="92"/>
        <v>0</v>
      </c>
      <c r="AX173" s="528">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2"/>
      <c r="AV174" s="528">
        <f t="shared" si="91"/>
        <v>0</v>
      </c>
      <c r="AW174" s="528">
        <f t="shared" si="92"/>
        <v>0</v>
      </c>
      <c r="AX174" s="528">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2"/>
      <c r="AV175" s="528">
        <f t="shared" si="91"/>
        <v>0</v>
      </c>
      <c r="AW175" s="528">
        <f t="shared" si="92"/>
        <v>0</v>
      </c>
      <c r="AX175" s="528">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2"/>
      <c r="AV176" s="528">
        <f t="shared" si="91"/>
        <v>0</v>
      </c>
      <c r="AW176" s="528">
        <f t="shared" si="92"/>
        <v>0</v>
      </c>
      <c r="AX176" s="528">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2"/>
      <c r="AV177" s="528">
        <f t="shared" ref="AV177:AV207" si="120">A177</f>
        <v>0</v>
      </c>
      <c r="AW177" s="528">
        <f t="shared" ref="AW177:AW207" si="121">B177</f>
        <v>0</v>
      </c>
      <c r="AX177" s="528">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2"/>
      <c r="AV178" s="528">
        <f t="shared" si="120"/>
        <v>0</v>
      </c>
      <c r="AW178" s="528">
        <f t="shared" si="121"/>
        <v>0</v>
      </c>
      <c r="AX178" s="528">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2"/>
      <c r="AV179" s="528">
        <f t="shared" si="120"/>
        <v>0</v>
      </c>
      <c r="AW179" s="528">
        <f t="shared" si="121"/>
        <v>0</v>
      </c>
      <c r="AX179" s="528">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2"/>
      <c r="AV180" s="528">
        <f t="shared" si="120"/>
        <v>0</v>
      </c>
      <c r="AW180" s="528">
        <f t="shared" si="121"/>
        <v>0</v>
      </c>
      <c r="AX180" s="528">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2"/>
      <c r="AV181" s="528">
        <f t="shared" si="120"/>
        <v>0</v>
      </c>
      <c r="AW181" s="528">
        <f t="shared" si="121"/>
        <v>0</v>
      </c>
      <c r="AX181" s="528">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2"/>
      <c r="AV182" s="528">
        <f t="shared" si="120"/>
        <v>0</v>
      </c>
      <c r="AW182" s="528">
        <f t="shared" si="121"/>
        <v>0</v>
      </c>
      <c r="AX182" s="528">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2"/>
      <c r="AV183" s="528">
        <f t="shared" si="120"/>
        <v>0</v>
      </c>
      <c r="AW183" s="528">
        <f t="shared" si="121"/>
        <v>0</v>
      </c>
      <c r="AX183" s="528">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2"/>
      <c r="AV184" s="528">
        <f t="shared" si="120"/>
        <v>0</v>
      </c>
      <c r="AW184" s="528">
        <f t="shared" si="121"/>
        <v>0</v>
      </c>
      <c r="AX184" s="528">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2"/>
      <c r="AV185" s="528">
        <f t="shared" si="120"/>
        <v>0</v>
      </c>
      <c r="AW185" s="528">
        <f t="shared" si="121"/>
        <v>0</v>
      </c>
      <c r="AX185" s="528">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2"/>
      <c r="AV186" s="528">
        <f t="shared" si="120"/>
        <v>0</v>
      </c>
      <c r="AW186" s="528">
        <f t="shared" si="121"/>
        <v>0</v>
      </c>
      <c r="AX186" s="528">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2"/>
      <c r="AV187" s="528">
        <f t="shared" si="120"/>
        <v>0</v>
      </c>
      <c r="AW187" s="528">
        <f t="shared" si="121"/>
        <v>0</v>
      </c>
      <c r="AX187" s="528">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2"/>
      <c r="AV188" s="528">
        <f t="shared" si="120"/>
        <v>0</v>
      </c>
      <c r="AW188" s="528">
        <f t="shared" si="121"/>
        <v>0</v>
      </c>
      <c r="AX188" s="528">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2"/>
      <c r="AV189" s="528">
        <f t="shared" si="120"/>
        <v>0</v>
      </c>
      <c r="AW189" s="528">
        <f t="shared" si="121"/>
        <v>0</v>
      </c>
      <c r="AX189" s="528">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2"/>
      <c r="AV190" s="528">
        <f t="shared" si="120"/>
        <v>0</v>
      </c>
      <c r="AW190" s="528">
        <f t="shared" si="121"/>
        <v>0</v>
      </c>
      <c r="AX190" s="528">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2"/>
      <c r="AV191" s="528">
        <f t="shared" si="120"/>
        <v>0</v>
      </c>
      <c r="AW191" s="528">
        <f t="shared" si="121"/>
        <v>0</v>
      </c>
      <c r="AX191" s="528">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2"/>
      <c r="AV192" s="528">
        <f t="shared" si="120"/>
        <v>0</v>
      </c>
      <c r="AW192" s="528">
        <f t="shared" si="121"/>
        <v>0</v>
      </c>
      <c r="AX192" s="528">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2"/>
      <c r="AV193" s="528">
        <f t="shared" si="120"/>
        <v>0</v>
      </c>
      <c r="AW193" s="528">
        <f t="shared" si="121"/>
        <v>0</v>
      </c>
      <c r="AX193" s="528">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2"/>
      <c r="AV194" s="528">
        <f t="shared" si="120"/>
        <v>0</v>
      </c>
      <c r="AW194" s="528">
        <f t="shared" si="121"/>
        <v>0</v>
      </c>
      <c r="AX194" s="528">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2"/>
      <c r="AV195" s="528">
        <f t="shared" si="120"/>
        <v>0</v>
      </c>
      <c r="AW195" s="528">
        <f t="shared" si="121"/>
        <v>0</v>
      </c>
      <c r="AX195" s="528">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2"/>
      <c r="AV196" s="528">
        <f t="shared" si="120"/>
        <v>0</v>
      </c>
      <c r="AW196" s="528">
        <f t="shared" si="121"/>
        <v>0</v>
      </c>
      <c r="AX196" s="528">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2"/>
      <c r="AV197" s="528">
        <f t="shared" si="120"/>
        <v>0</v>
      </c>
      <c r="AW197" s="528">
        <f t="shared" si="121"/>
        <v>0</v>
      </c>
      <c r="AX197" s="528">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2"/>
      <c r="AV198" s="528">
        <f t="shared" si="120"/>
        <v>0</v>
      </c>
      <c r="AW198" s="528">
        <f t="shared" si="121"/>
        <v>0</v>
      </c>
      <c r="AX198" s="528">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2"/>
      <c r="AV199" s="528">
        <f t="shared" si="120"/>
        <v>0</v>
      </c>
      <c r="AW199" s="528">
        <f t="shared" si="121"/>
        <v>0</v>
      </c>
      <c r="AX199" s="528">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2"/>
      <c r="AV200" s="528">
        <f t="shared" si="120"/>
        <v>0</v>
      </c>
      <c r="AW200" s="528">
        <f t="shared" si="121"/>
        <v>0</v>
      </c>
      <c r="AX200" s="528">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2"/>
      <c r="AV201" s="528">
        <f t="shared" si="120"/>
        <v>0</v>
      </c>
      <c r="AW201" s="528">
        <f t="shared" si="121"/>
        <v>0</v>
      </c>
      <c r="AX201" s="528">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2"/>
      <c r="AV202" s="528">
        <f t="shared" si="120"/>
        <v>0</v>
      </c>
      <c r="AW202" s="528">
        <f t="shared" si="121"/>
        <v>0</v>
      </c>
      <c r="AX202" s="528">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2"/>
      <c r="AV203" s="528">
        <f t="shared" si="120"/>
        <v>0</v>
      </c>
      <c r="AW203" s="528">
        <f t="shared" si="121"/>
        <v>0</v>
      </c>
      <c r="AX203" s="528">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2"/>
      <c r="AV204" s="528">
        <f t="shared" si="120"/>
        <v>0</v>
      </c>
      <c r="AW204" s="528">
        <f t="shared" si="121"/>
        <v>0</v>
      </c>
      <c r="AX204" s="528">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1"/>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1"/>
      <c r="AV205" s="528">
        <f t="shared" si="120"/>
        <v>0</v>
      </c>
      <c r="AW205" s="528">
        <f t="shared" si="121"/>
        <v>0</v>
      </c>
      <c r="AX205" s="528">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1"/>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1"/>
      <c r="AV206" s="528">
        <f t="shared" si="120"/>
        <v>0</v>
      </c>
      <c r="AW206" s="528">
        <f t="shared" si="121"/>
        <v>0</v>
      </c>
      <c r="AX206" s="528">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1"/>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1"/>
      <c r="AV207" s="528">
        <f t="shared" si="120"/>
        <v>0</v>
      </c>
      <c r="AW207" s="528">
        <f t="shared" si="121"/>
        <v>0</v>
      </c>
      <c r="AX207" s="528">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2"/>
      <c r="AV208" s="528">
        <f t="shared" ref="AV208:AV302" si="127">A208</f>
        <v>0</v>
      </c>
      <c r="AW208" s="528">
        <f t="shared" ref="AW208:AW302" si="128">B208</f>
        <v>0</v>
      </c>
      <c r="AX208" s="528">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2"/>
      <c r="AV209" s="528">
        <f t="shared" si="127"/>
        <v>0</v>
      </c>
      <c r="AW209" s="528">
        <f t="shared" si="128"/>
        <v>0</v>
      </c>
      <c r="AX209" s="528">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2"/>
      <c r="AV210" s="528">
        <f t="shared" si="127"/>
        <v>0</v>
      </c>
      <c r="AW210" s="528">
        <f t="shared" si="128"/>
        <v>0</v>
      </c>
      <c r="AX210" s="528">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2"/>
      <c r="AV211" s="528">
        <f t="shared" si="127"/>
        <v>0</v>
      </c>
      <c r="AW211" s="528">
        <f t="shared" si="128"/>
        <v>0</v>
      </c>
      <c r="AX211" s="528">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2"/>
      <c r="AV212" s="528">
        <f t="shared" si="127"/>
        <v>0</v>
      </c>
      <c r="AW212" s="528">
        <f t="shared" si="128"/>
        <v>0</v>
      </c>
      <c r="AX212" s="528">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2"/>
      <c r="AV213" s="528">
        <f t="shared" si="127"/>
        <v>0</v>
      </c>
      <c r="AW213" s="528">
        <f t="shared" si="128"/>
        <v>0</v>
      </c>
      <c r="AX213" s="528">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2"/>
      <c r="AV214" s="528">
        <f t="shared" si="127"/>
        <v>0</v>
      </c>
      <c r="AW214" s="528">
        <f t="shared" si="128"/>
        <v>0</v>
      </c>
      <c r="AX214" s="528">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2"/>
      <c r="AV215" s="528">
        <f t="shared" si="127"/>
        <v>0</v>
      </c>
      <c r="AW215" s="528">
        <f t="shared" si="128"/>
        <v>0</v>
      </c>
      <c r="AX215" s="528">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2"/>
      <c r="AV216" s="528">
        <f t="shared" si="127"/>
        <v>0</v>
      </c>
      <c r="AW216" s="528">
        <f t="shared" si="128"/>
        <v>0</v>
      </c>
      <c r="AX216" s="528">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2"/>
      <c r="AV217" s="528">
        <f t="shared" si="127"/>
        <v>0</v>
      </c>
      <c r="AW217" s="528">
        <f t="shared" si="128"/>
        <v>0</v>
      </c>
      <c r="AX217" s="528">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2"/>
      <c r="AV218" s="528">
        <f t="shared" si="127"/>
        <v>0</v>
      </c>
      <c r="AW218" s="528">
        <f t="shared" si="128"/>
        <v>0</v>
      </c>
      <c r="AX218" s="528">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2"/>
      <c r="AV219" s="528">
        <f t="shared" si="127"/>
        <v>0</v>
      </c>
      <c r="AW219" s="528">
        <f t="shared" si="128"/>
        <v>0</v>
      </c>
      <c r="AX219" s="528">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2"/>
      <c r="AV220" s="528">
        <f t="shared" si="127"/>
        <v>0</v>
      </c>
      <c r="AW220" s="528">
        <f t="shared" si="128"/>
        <v>0</v>
      </c>
      <c r="AX220" s="528">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2"/>
      <c r="AV221" s="528">
        <f t="shared" si="127"/>
        <v>0</v>
      </c>
      <c r="AW221" s="528">
        <f t="shared" si="128"/>
        <v>0</v>
      </c>
      <c r="AX221" s="528">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2"/>
      <c r="AV222" s="528">
        <f t="shared" si="127"/>
        <v>0</v>
      </c>
      <c r="AW222" s="528">
        <f t="shared" si="128"/>
        <v>0</v>
      </c>
      <c r="AX222" s="528">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2"/>
      <c r="AV223" s="528">
        <f t="shared" si="127"/>
        <v>0</v>
      </c>
      <c r="AW223" s="528">
        <f t="shared" si="128"/>
        <v>0</v>
      </c>
      <c r="AX223" s="528">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2"/>
      <c r="AV224" s="528">
        <f t="shared" si="127"/>
        <v>0</v>
      </c>
      <c r="AW224" s="528">
        <f t="shared" si="128"/>
        <v>0</v>
      </c>
      <c r="AX224" s="528">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2"/>
      <c r="AV225" s="528">
        <f t="shared" si="127"/>
        <v>0</v>
      </c>
      <c r="AW225" s="528">
        <f t="shared" si="128"/>
        <v>0</v>
      </c>
      <c r="AX225" s="528">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2"/>
      <c r="AV226" s="528">
        <f t="shared" si="127"/>
        <v>0</v>
      </c>
      <c r="AW226" s="528">
        <f t="shared" si="128"/>
        <v>0</v>
      </c>
      <c r="AX226" s="528">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2"/>
      <c r="AV227" s="528">
        <f t="shared" si="127"/>
        <v>0</v>
      </c>
      <c r="AW227" s="528">
        <f t="shared" si="128"/>
        <v>0</v>
      </c>
      <c r="AX227" s="528">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2"/>
      <c r="AV228" s="528">
        <f t="shared" si="127"/>
        <v>0</v>
      </c>
      <c r="AW228" s="528">
        <f t="shared" si="128"/>
        <v>0</v>
      </c>
      <c r="AX228" s="528">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2"/>
      <c r="AV229" s="528">
        <f t="shared" si="127"/>
        <v>0</v>
      </c>
      <c r="AW229" s="528">
        <f t="shared" si="128"/>
        <v>0</v>
      </c>
      <c r="AX229" s="528">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2"/>
      <c r="AV230" s="528">
        <f t="shared" si="127"/>
        <v>0</v>
      </c>
      <c r="AW230" s="528">
        <f t="shared" si="128"/>
        <v>0</v>
      </c>
      <c r="AX230" s="528">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2"/>
      <c r="AV231" s="528">
        <f t="shared" si="127"/>
        <v>0</v>
      </c>
      <c r="AW231" s="528">
        <f t="shared" si="128"/>
        <v>0</v>
      </c>
      <c r="AX231" s="528">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2"/>
      <c r="AV232" s="528">
        <f t="shared" si="127"/>
        <v>0</v>
      </c>
      <c r="AW232" s="528">
        <f t="shared" si="128"/>
        <v>0</v>
      </c>
      <c r="AX232" s="528">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2"/>
      <c r="AV233" s="528">
        <f t="shared" si="127"/>
        <v>0</v>
      </c>
      <c r="AW233" s="528">
        <f t="shared" si="128"/>
        <v>0</v>
      </c>
      <c r="AX233" s="528">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2"/>
      <c r="AV234" s="528">
        <f t="shared" si="127"/>
        <v>0</v>
      </c>
      <c r="AW234" s="528">
        <f t="shared" si="128"/>
        <v>0</v>
      </c>
      <c r="AX234" s="528">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2"/>
      <c r="AV235" s="528">
        <f t="shared" si="127"/>
        <v>0</v>
      </c>
      <c r="AW235" s="528">
        <f t="shared" si="128"/>
        <v>0</v>
      </c>
      <c r="AX235" s="528">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2"/>
      <c r="AV236" s="528">
        <f t="shared" si="127"/>
        <v>0</v>
      </c>
      <c r="AW236" s="528">
        <f t="shared" si="128"/>
        <v>0</v>
      </c>
      <c r="AX236" s="528">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2"/>
      <c r="AV237" s="528">
        <f t="shared" si="127"/>
        <v>0</v>
      </c>
      <c r="AW237" s="528">
        <f t="shared" si="128"/>
        <v>0</v>
      </c>
      <c r="AX237" s="528">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2"/>
      <c r="AV238" s="528">
        <f t="shared" si="127"/>
        <v>0</v>
      </c>
      <c r="AW238" s="528">
        <f t="shared" si="128"/>
        <v>0</v>
      </c>
      <c r="AX238" s="528">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2"/>
      <c r="AV239" s="528">
        <f t="shared" si="127"/>
        <v>0</v>
      </c>
      <c r="AW239" s="528">
        <f t="shared" si="128"/>
        <v>0</v>
      </c>
      <c r="AX239" s="528">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2"/>
      <c r="AV240" s="528">
        <f t="shared" si="127"/>
        <v>0</v>
      </c>
      <c r="AW240" s="528">
        <f t="shared" si="128"/>
        <v>0</v>
      </c>
      <c r="AX240" s="528">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2"/>
      <c r="AV241" s="528">
        <f t="shared" si="127"/>
        <v>0</v>
      </c>
      <c r="AW241" s="528">
        <f t="shared" si="128"/>
        <v>0</v>
      </c>
      <c r="AX241" s="528">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2"/>
      <c r="AV242" s="528">
        <f t="shared" si="127"/>
        <v>0</v>
      </c>
      <c r="AW242" s="528">
        <f t="shared" si="128"/>
        <v>0</v>
      </c>
      <c r="AX242" s="528">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2"/>
      <c r="AV243" s="528">
        <f t="shared" si="127"/>
        <v>0</v>
      </c>
      <c r="AW243" s="528">
        <f t="shared" si="128"/>
        <v>0</v>
      </c>
      <c r="AX243" s="528">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2"/>
      <c r="AV244" s="528">
        <f t="shared" si="127"/>
        <v>0</v>
      </c>
      <c r="AW244" s="528">
        <f t="shared" si="128"/>
        <v>0</v>
      </c>
      <c r="AX244" s="528">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2"/>
      <c r="AV245" s="528">
        <f t="shared" si="127"/>
        <v>0</v>
      </c>
      <c r="AW245" s="528">
        <f t="shared" si="128"/>
        <v>0</v>
      </c>
      <c r="AX245" s="528">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2"/>
      <c r="AV246" s="528">
        <f t="shared" si="127"/>
        <v>0</v>
      </c>
      <c r="AW246" s="528">
        <f t="shared" si="128"/>
        <v>0</v>
      </c>
      <c r="AX246" s="528">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2"/>
      <c r="AV247" s="528">
        <f t="shared" si="127"/>
        <v>0</v>
      </c>
      <c r="AW247" s="528">
        <f t="shared" si="128"/>
        <v>0</v>
      </c>
      <c r="AX247" s="528">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2"/>
      <c r="AV248" s="528">
        <f t="shared" si="127"/>
        <v>0</v>
      </c>
      <c r="AW248" s="528">
        <f t="shared" si="128"/>
        <v>0</v>
      </c>
      <c r="AX248" s="528">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2"/>
      <c r="AV249" s="528">
        <f t="shared" si="127"/>
        <v>0</v>
      </c>
      <c r="AW249" s="528">
        <f t="shared" si="128"/>
        <v>0</v>
      </c>
      <c r="AX249" s="528">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2"/>
      <c r="AV250" s="528">
        <f t="shared" si="127"/>
        <v>0</v>
      </c>
      <c r="AW250" s="528">
        <f t="shared" si="128"/>
        <v>0</v>
      </c>
      <c r="AX250" s="528">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2"/>
      <c r="AV251" s="528">
        <f t="shared" si="127"/>
        <v>0</v>
      </c>
      <c r="AW251" s="528">
        <f t="shared" si="128"/>
        <v>0</v>
      </c>
      <c r="AX251" s="528">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2"/>
      <c r="AV252" s="528">
        <f t="shared" si="127"/>
        <v>0</v>
      </c>
      <c r="AW252" s="528">
        <f t="shared" si="128"/>
        <v>0</v>
      </c>
      <c r="AX252" s="528">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2"/>
      <c r="AV253" s="528">
        <f t="shared" si="127"/>
        <v>0</v>
      </c>
      <c r="AW253" s="528">
        <f t="shared" si="128"/>
        <v>0</v>
      </c>
      <c r="AX253" s="528">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2"/>
      <c r="AV254" s="528">
        <f t="shared" si="127"/>
        <v>0</v>
      </c>
      <c r="AW254" s="528">
        <f t="shared" si="128"/>
        <v>0</v>
      </c>
      <c r="AX254" s="528">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2"/>
      <c r="AV255" s="528">
        <f t="shared" si="127"/>
        <v>0</v>
      </c>
      <c r="AW255" s="528">
        <f t="shared" si="128"/>
        <v>0</v>
      </c>
      <c r="AX255" s="528">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2"/>
      <c r="AV256" s="528">
        <f t="shared" si="127"/>
        <v>0</v>
      </c>
      <c r="AW256" s="528">
        <f t="shared" si="128"/>
        <v>0</v>
      </c>
      <c r="AX256" s="528">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2"/>
      <c r="AV257" s="528">
        <f t="shared" si="127"/>
        <v>0</v>
      </c>
      <c r="AW257" s="528">
        <f t="shared" si="128"/>
        <v>0</v>
      </c>
      <c r="AX257" s="528">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2"/>
      <c r="AV258" s="528">
        <f t="shared" si="127"/>
        <v>0</v>
      </c>
      <c r="AW258" s="528">
        <f t="shared" si="128"/>
        <v>0</v>
      </c>
      <c r="AX258" s="528">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2"/>
      <c r="AV259" s="528">
        <f t="shared" si="127"/>
        <v>0</v>
      </c>
      <c r="AW259" s="528">
        <f t="shared" si="128"/>
        <v>0</v>
      </c>
      <c r="AX259" s="528">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2"/>
      <c r="AV260" s="528">
        <f t="shared" si="127"/>
        <v>0</v>
      </c>
      <c r="AW260" s="528">
        <f t="shared" si="128"/>
        <v>0</v>
      </c>
      <c r="AX260" s="528">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2"/>
      <c r="AV261" s="528">
        <f t="shared" si="127"/>
        <v>0</v>
      </c>
      <c r="AW261" s="528">
        <f t="shared" si="128"/>
        <v>0</v>
      </c>
      <c r="AX261" s="528">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2"/>
      <c r="AV262" s="528">
        <f t="shared" si="127"/>
        <v>0</v>
      </c>
      <c r="AW262" s="528">
        <f t="shared" si="128"/>
        <v>0</v>
      </c>
      <c r="AX262" s="528">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2"/>
      <c r="AV263" s="528">
        <f t="shared" si="127"/>
        <v>0</v>
      </c>
      <c r="AW263" s="528">
        <f t="shared" si="128"/>
        <v>0</v>
      </c>
      <c r="AX263" s="528">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2"/>
      <c r="AV264" s="528">
        <f t="shared" si="127"/>
        <v>0</v>
      </c>
      <c r="AW264" s="528">
        <f t="shared" si="128"/>
        <v>0</v>
      </c>
      <c r="AX264" s="528">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2"/>
      <c r="AV265" s="528">
        <f t="shared" si="127"/>
        <v>0</v>
      </c>
      <c r="AW265" s="528">
        <f t="shared" si="128"/>
        <v>0</v>
      </c>
      <c r="AX265" s="528">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2"/>
      <c r="AV266" s="528">
        <f t="shared" si="127"/>
        <v>0</v>
      </c>
      <c r="AW266" s="528">
        <f t="shared" si="128"/>
        <v>0</v>
      </c>
      <c r="AX266" s="528">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2"/>
      <c r="AV267" s="528">
        <f t="shared" si="127"/>
        <v>0</v>
      </c>
      <c r="AW267" s="528">
        <f t="shared" si="128"/>
        <v>0</v>
      </c>
      <c r="AX267" s="528">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2"/>
      <c r="AV268" s="528">
        <f t="shared" si="127"/>
        <v>0</v>
      </c>
      <c r="AW268" s="528">
        <f t="shared" si="128"/>
        <v>0</v>
      </c>
      <c r="AX268" s="528">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2"/>
      <c r="AV269" s="528">
        <f t="shared" si="127"/>
        <v>0</v>
      </c>
      <c r="AW269" s="528">
        <f t="shared" si="128"/>
        <v>0</v>
      </c>
      <c r="AX269" s="528">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2"/>
      <c r="AV270" s="528">
        <f t="shared" si="127"/>
        <v>0</v>
      </c>
      <c r="AW270" s="528">
        <f t="shared" si="128"/>
        <v>0</v>
      </c>
      <c r="AX270" s="528">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2"/>
      <c r="AV271" s="528">
        <f t="shared" si="127"/>
        <v>0</v>
      </c>
      <c r="AW271" s="528">
        <f t="shared" si="128"/>
        <v>0</v>
      </c>
      <c r="AX271" s="528">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2"/>
      <c r="AV272" s="528">
        <f t="shared" si="127"/>
        <v>0</v>
      </c>
      <c r="AW272" s="528">
        <f t="shared" si="128"/>
        <v>0</v>
      </c>
      <c r="AX272" s="528">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2"/>
      <c r="AV273" s="528">
        <f t="shared" si="127"/>
        <v>0</v>
      </c>
      <c r="AW273" s="528">
        <f t="shared" si="128"/>
        <v>0</v>
      </c>
      <c r="AX273" s="528">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2"/>
      <c r="AV274" s="528">
        <f t="shared" si="127"/>
        <v>0</v>
      </c>
      <c r="AW274" s="528">
        <f t="shared" si="128"/>
        <v>0</v>
      </c>
      <c r="AX274" s="528">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2"/>
      <c r="AV275" s="528">
        <f t="shared" si="127"/>
        <v>0</v>
      </c>
      <c r="AW275" s="528">
        <f t="shared" si="128"/>
        <v>0</v>
      </c>
      <c r="AX275" s="528">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2"/>
      <c r="AV276" s="528">
        <f t="shared" si="127"/>
        <v>0</v>
      </c>
      <c r="AW276" s="528">
        <f t="shared" si="128"/>
        <v>0</v>
      </c>
      <c r="AX276" s="528">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2"/>
      <c r="AV277" s="528">
        <f t="shared" si="127"/>
        <v>0</v>
      </c>
      <c r="AW277" s="528">
        <f t="shared" si="128"/>
        <v>0</v>
      </c>
      <c r="AX277" s="528">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2"/>
      <c r="AV278" s="528">
        <f t="shared" si="127"/>
        <v>0</v>
      </c>
      <c r="AW278" s="528">
        <f t="shared" si="128"/>
        <v>0</v>
      </c>
      <c r="AX278" s="528">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2"/>
      <c r="AV279" s="528">
        <f t="shared" si="127"/>
        <v>0</v>
      </c>
      <c r="AW279" s="528">
        <f t="shared" si="128"/>
        <v>0</v>
      </c>
      <c r="AX279" s="528">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2"/>
      <c r="AV280" s="528">
        <f t="shared" si="127"/>
        <v>0</v>
      </c>
      <c r="AW280" s="528">
        <f t="shared" si="128"/>
        <v>0</v>
      </c>
      <c r="AX280" s="528">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2"/>
      <c r="AV281" s="528">
        <f t="shared" si="127"/>
        <v>0</v>
      </c>
      <c r="AW281" s="528">
        <f t="shared" si="128"/>
        <v>0</v>
      </c>
      <c r="AX281" s="528">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2"/>
      <c r="AV282" s="528">
        <f t="shared" si="127"/>
        <v>0</v>
      </c>
      <c r="AW282" s="528">
        <f t="shared" si="128"/>
        <v>0</v>
      </c>
      <c r="AX282" s="528">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2"/>
      <c r="AV283" s="528">
        <f t="shared" si="127"/>
        <v>0</v>
      </c>
      <c r="AW283" s="528">
        <f t="shared" si="128"/>
        <v>0</v>
      </c>
      <c r="AX283" s="528">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2"/>
      <c r="AV284" s="528">
        <f t="shared" si="127"/>
        <v>0</v>
      </c>
      <c r="AW284" s="528">
        <f t="shared" si="128"/>
        <v>0</v>
      </c>
      <c r="AX284" s="528">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2"/>
      <c r="AV285" s="528">
        <f t="shared" si="127"/>
        <v>0</v>
      </c>
      <c r="AW285" s="528">
        <f t="shared" si="128"/>
        <v>0</v>
      </c>
      <c r="AX285" s="528">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2"/>
      <c r="AV286" s="528">
        <f t="shared" si="127"/>
        <v>0</v>
      </c>
      <c r="AW286" s="528">
        <f t="shared" si="128"/>
        <v>0</v>
      </c>
      <c r="AX286" s="528">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2"/>
      <c r="AV287" s="528">
        <f t="shared" si="127"/>
        <v>0</v>
      </c>
      <c r="AW287" s="528">
        <f t="shared" si="128"/>
        <v>0</v>
      </c>
      <c r="AX287" s="528">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2"/>
      <c r="AV288" s="528">
        <f t="shared" si="127"/>
        <v>0</v>
      </c>
      <c r="AW288" s="528">
        <f t="shared" si="128"/>
        <v>0</v>
      </c>
      <c r="AX288" s="528">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2"/>
      <c r="AV289" s="528">
        <f t="shared" si="127"/>
        <v>0</v>
      </c>
      <c r="AW289" s="528">
        <f t="shared" si="128"/>
        <v>0</v>
      </c>
      <c r="AX289" s="528">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2"/>
      <c r="AV290" s="528">
        <f t="shared" si="127"/>
        <v>0</v>
      </c>
      <c r="AW290" s="528">
        <f t="shared" si="128"/>
        <v>0</v>
      </c>
      <c r="AX290" s="528">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2"/>
      <c r="AV291" s="528">
        <f t="shared" si="127"/>
        <v>0</v>
      </c>
      <c r="AW291" s="528">
        <f t="shared" si="128"/>
        <v>0</v>
      </c>
      <c r="AX291" s="528">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2"/>
      <c r="AV292" s="528">
        <f t="shared" si="127"/>
        <v>0</v>
      </c>
      <c r="AW292" s="528">
        <f t="shared" si="128"/>
        <v>0</v>
      </c>
      <c r="AX292" s="528">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2"/>
      <c r="AV293" s="528">
        <f t="shared" si="127"/>
        <v>0</v>
      </c>
      <c r="AW293" s="528">
        <f t="shared" si="128"/>
        <v>0</v>
      </c>
      <c r="AX293" s="528">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2"/>
      <c r="AV294" s="528">
        <f t="shared" si="127"/>
        <v>0</v>
      </c>
      <c r="AW294" s="528">
        <f t="shared" si="128"/>
        <v>0</v>
      </c>
      <c r="AX294" s="528">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2"/>
      <c r="AV295" s="528">
        <f t="shared" si="127"/>
        <v>0</v>
      </c>
      <c r="AW295" s="528">
        <f t="shared" si="128"/>
        <v>0</v>
      </c>
      <c r="AX295" s="528">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2"/>
      <c r="AV296" s="528">
        <f t="shared" si="127"/>
        <v>0</v>
      </c>
      <c r="AW296" s="528">
        <f t="shared" si="128"/>
        <v>0</v>
      </c>
      <c r="AX296" s="528">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2"/>
      <c r="AV297" s="528">
        <f t="shared" si="127"/>
        <v>0</v>
      </c>
      <c r="AW297" s="528">
        <f t="shared" si="128"/>
        <v>0</v>
      </c>
      <c r="AX297" s="528">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2"/>
      <c r="AV298" s="528">
        <f t="shared" si="127"/>
        <v>0</v>
      </c>
      <c r="AW298" s="528">
        <f t="shared" si="128"/>
        <v>0</v>
      </c>
      <c r="AX298" s="528">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2"/>
      <c r="AV299" s="528">
        <f t="shared" si="127"/>
        <v>0</v>
      </c>
      <c r="AW299" s="528">
        <f t="shared" si="128"/>
        <v>0</v>
      </c>
      <c r="AX299" s="528">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1"/>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1"/>
      <c r="AV300" s="528">
        <f t="shared" si="127"/>
        <v>0</v>
      </c>
      <c r="AW300" s="528">
        <f t="shared" si="128"/>
        <v>0</v>
      </c>
      <c r="AX300" s="528">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1"/>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1"/>
      <c r="AV301" s="528">
        <f t="shared" si="127"/>
        <v>0</v>
      </c>
      <c r="AW301" s="528">
        <f t="shared" si="128"/>
        <v>0</v>
      </c>
      <c r="AX301" s="528">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1"/>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1"/>
      <c r="AV302" s="528">
        <f t="shared" si="127"/>
        <v>0</v>
      </c>
      <c r="AW302" s="528">
        <f t="shared" si="128"/>
        <v>0</v>
      </c>
      <c r="AX302" s="528">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2"/>
      <c r="AV303" s="528">
        <f t="shared" ref="AV303:AV334" si="178">A303</f>
        <v>0</v>
      </c>
      <c r="AW303" s="528">
        <f t="shared" ref="AW303:AW334" si="179">B303</f>
        <v>0</v>
      </c>
      <c r="AX303" s="528">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2"/>
      <c r="AV304" s="528">
        <f t="shared" si="178"/>
        <v>0</v>
      </c>
      <c r="AW304" s="528">
        <f t="shared" si="179"/>
        <v>0</v>
      </c>
      <c r="AX304" s="528">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2"/>
      <c r="AV305" s="528">
        <f t="shared" si="178"/>
        <v>0</v>
      </c>
      <c r="AW305" s="528">
        <f t="shared" si="179"/>
        <v>0</v>
      </c>
      <c r="AX305" s="528">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2"/>
      <c r="AV306" s="528">
        <f t="shared" si="178"/>
        <v>0</v>
      </c>
      <c r="AW306" s="528">
        <f t="shared" si="179"/>
        <v>0</v>
      </c>
      <c r="AX306" s="528">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2"/>
      <c r="AV307" s="528">
        <f t="shared" si="178"/>
        <v>0</v>
      </c>
      <c r="AW307" s="528">
        <f t="shared" si="179"/>
        <v>0</v>
      </c>
      <c r="AX307" s="528">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2"/>
      <c r="AV308" s="528">
        <f t="shared" si="178"/>
        <v>0</v>
      </c>
      <c r="AW308" s="528">
        <f t="shared" si="179"/>
        <v>0</v>
      </c>
      <c r="AX308" s="528">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2"/>
      <c r="AV309" s="528">
        <f t="shared" si="178"/>
        <v>0</v>
      </c>
      <c r="AW309" s="528">
        <f t="shared" si="179"/>
        <v>0</v>
      </c>
      <c r="AX309" s="528">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2"/>
      <c r="AV310" s="528">
        <f t="shared" si="178"/>
        <v>0</v>
      </c>
      <c r="AW310" s="528">
        <f t="shared" si="179"/>
        <v>0</v>
      </c>
      <c r="AX310" s="528">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2"/>
      <c r="AV311" s="528">
        <f t="shared" si="178"/>
        <v>0</v>
      </c>
      <c r="AW311" s="528">
        <f t="shared" si="179"/>
        <v>0</v>
      </c>
      <c r="AX311" s="528">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2"/>
      <c r="AV312" s="528">
        <f t="shared" si="178"/>
        <v>0</v>
      </c>
      <c r="AW312" s="528">
        <f t="shared" si="179"/>
        <v>0</v>
      </c>
      <c r="AX312" s="528">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2"/>
      <c r="AV313" s="528">
        <f t="shared" si="178"/>
        <v>0</v>
      </c>
      <c r="AW313" s="528">
        <f t="shared" si="179"/>
        <v>0</v>
      </c>
      <c r="AX313" s="528">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2"/>
      <c r="AV314" s="528">
        <f t="shared" si="178"/>
        <v>0</v>
      </c>
      <c r="AW314" s="528">
        <f t="shared" si="179"/>
        <v>0</v>
      </c>
      <c r="AX314" s="528">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2"/>
      <c r="AV315" s="528">
        <f t="shared" si="178"/>
        <v>0</v>
      </c>
      <c r="AW315" s="528">
        <f t="shared" si="179"/>
        <v>0</v>
      </c>
      <c r="AX315" s="528">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2"/>
      <c r="AV316" s="528">
        <f t="shared" si="178"/>
        <v>0</v>
      </c>
      <c r="AW316" s="528">
        <f t="shared" si="179"/>
        <v>0</v>
      </c>
      <c r="AX316" s="528">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2"/>
      <c r="AV317" s="528">
        <f t="shared" si="178"/>
        <v>0</v>
      </c>
      <c r="AW317" s="528">
        <f t="shared" si="179"/>
        <v>0</v>
      </c>
      <c r="AX317" s="528">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2"/>
      <c r="AV318" s="528">
        <f t="shared" si="178"/>
        <v>0</v>
      </c>
      <c r="AW318" s="528">
        <f t="shared" si="179"/>
        <v>0</v>
      </c>
      <c r="AX318" s="528">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2"/>
      <c r="AV319" s="528">
        <f t="shared" si="178"/>
        <v>0</v>
      </c>
      <c r="AW319" s="528">
        <f t="shared" si="179"/>
        <v>0</v>
      </c>
      <c r="AX319" s="528">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2"/>
      <c r="AV320" s="528">
        <f t="shared" si="178"/>
        <v>0</v>
      </c>
      <c r="AW320" s="528">
        <f t="shared" si="179"/>
        <v>0</v>
      </c>
      <c r="AX320" s="528">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2"/>
      <c r="AV321" s="528">
        <f t="shared" si="178"/>
        <v>0</v>
      </c>
      <c r="AW321" s="528">
        <f t="shared" si="179"/>
        <v>0</v>
      </c>
      <c r="AX321" s="528">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2"/>
      <c r="AV322" s="528">
        <f t="shared" si="178"/>
        <v>0</v>
      </c>
      <c r="AW322" s="528">
        <f t="shared" si="179"/>
        <v>0</v>
      </c>
      <c r="AX322" s="528">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2"/>
      <c r="AV323" s="528">
        <f t="shared" si="178"/>
        <v>0</v>
      </c>
      <c r="AW323" s="528">
        <f t="shared" si="179"/>
        <v>0</v>
      </c>
      <c r="AX323" s="528">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2"/>
      <c r="AV324" s="528">
        <f t="shared" si="178"/>
        <v>0</v>
      </c>
      <c r="AW324" s="528">
        <f t="shared" si="179"/>
        <v>0</v>
      </c>
      <c r="AX324" s="528">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2"/>
      <c r="AV325" s="528">
        <f t="shared" si="178"/>
        <v>0</v>
      </c>
      <c r="AW325" s="528">
        <f t="shared" si="179"/>
        <v>0</v>
      </c>
      <c r="AX325" s="528">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2"/>
      <c r="AV326" s="528">
        <f t="shared" si="178"/>
        <v>0</v>
      </c>
      <c r="AW326" s="528">
        <f t="shared" si="179"/>
        <v>0</v>
      </c>
      <c r="AX326" s="528">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2"/>
      <c r="AV327" s="528">
        <f t="shared" si="178"/>
        <v>0</v>
      </c>
      <c r="AW327" s="528">
        <f t="shared" si="179"/>
        <v>0</v>
      </c>
      <c r="AX327" s="528">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2"/>
      <c r="AV328" s="528">
        <f t="shared" si="178"/>
        <v>0</v>
      </c>
      <c r="AW328" s="528">
        <f t="shared" si="179"/>
        <v>0</v>
      </c>
      <c r="AX328" s="528">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2"/>
      <c r="AV329" s="528">
        <f t="shared" si="178"/>
        <v>0</v>
      </c>
      <c r="AW329" s="528">
        <f t="shared" si="179"/>
        <v>0</v>
      </c>
      <c r="AX329" s="528">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2"/>
      <c r="AV330" s="528">
        <f t="shared" si="178"/>
        <v>0</v>
      </c>
      <c r="AW330" s="528">
        <f t="shared" si="179"/>
        <v>0</v>
      </c>
      <c r="AX330" s="528">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2"/>
      <c r="AV331" s="528">
        <f t="shared" si="178"/>
        <v>0</v>
      </c>
      <c r="AW331" s="528">
        <f t="shared" si="179"/>
        <v>0</v>
      </c>
      <c r="AX331" s="528">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2"/>
      <c r="AV332" s="528">
        <f t="shared" si="178"/>
        <v>0</v>
      </c>
      <c r="AW332" s="528">
        <f t="shared" si="179"/>
        <v>0</v>
      </c>
      <c r="AX332" s="528">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2"/>
      <c r="AV333" s="528">
        <f t="shared" si="178"/>
        <v>0</v>
      </c>
      <c r="AW333" s="528">
        <f t="shared" si="179"/>
        <v>0</v>
      </c>
      <c r="AX333" s="528">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2"/>
      <c r="AV334" s="528">
        <f t="shared" si="178"/>
        <v>0</v>
      </c>
      <c r="AW334" s="528">
        <f t="shared" si="179"/>
        <v>0</v>
      </c>
      <c r="AX334" s="528">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2"/>
      <c r="AV335" s="528">
        <f t="shared" ref="AV335:AV366" si="207">A335</f>
        <v>0</v>
      </c>
      <c r="AW335" s="528">
        <f t="shared" ref="AW335:AW366" si="208">B335</f>
        <v>0</v>
      </c>
      <c r="AX335" s="528">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2"/>
      <c r="AV336" s="528">
        <f t="shared" si="207"/>
        <v>0</v>
      </c>
      <c r="AW336" s="528">
        <f t="shared" si="208"/>
        <v>0</v>
      </c>
      <c r="AX336" s="528">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2"/>
      <c r="AV337" s="528">
        <f t="shared" si="207"/>
        <v>0</v>
      </c>
      <c r="AW337" s="528">
        <f t="shared" si="208"/>
        <v>0</v>
      </c>
      <c r="AX337" s="528">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2"/>
      <c r="AV338" s="528">
        <f t="shared" si="207"/>
        <v>0</v>
      </c>
      <c r="AW338" s="528">
        <f t="shared" si="208"/>
        <v>0</v>
      </c>
      <c r="AX338" s="528">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2"/>
      <c r="AV339" s="528">
        <f t="shared" si="207"/>
        <v>0</v>
      </c>
      <c r="AW339" s="528">
        <f t="shared" si="208"/>
        <v>0</v>
      </c>
      <c r="AX339" s="528">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2"/>
      <c r="AV340" s="528">
        <f t="shared" si="207"/>
        <v>0</v>
      </c>
      <c r="AW340" s="528">
        <f t="shared" si="208"/>
        <v>0</v>
      </c>
      <c r="AX340" s="528">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2"/>
      <c r="AV341" s="528">
        <f t="shared" si="207"/>
        <v>0</v>
      </c>
      <c r="AW341" s="528">
        <f t="shared" si="208"/>
        <v>0</v>
      </c>
      <c r="AX341" s="528">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2"/>
      <c r="AV342" s="528">
        <f t="shared" si="207"/>
        <v>0</v>
      </c>
      <c r="AW342" s="528">
        <f t="shared" si="208"/>
        <v>0</v>
      </c>
      <c r="AX342" s="528">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2"/>
      <c r="AV343" s="528">
        <f t="shared" si="207"/>
        <v>0</v>
      </c>
      <c r="AW343" s="528">
        <f t="shared" si="208"/>
        <v>0</v>
      </c>
      <c r="AX343" s="528">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2"/>
      <c r="AV344" s="528">
        <f t="shared" si="207"/>
        <v>0</v>
      </c>
      <c r="AW344" s="528">
        <f t="shared" si="208"/>
        <v>0</v>
      </c>
      <c r="AX344" s="528">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2"/>
      <c r="AV345" s="528">
        <f t="shared" si="207"/>
        <v>0</v>
      </c>
      <c r="AW345" s="528">
        <f t="shared" si="208"/>
        <v>0</v>
      </c>
      <c r="AX345" s="528">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2"/>
      <c r="AV346" s="528">
        <f t="shared" si="207"/>
        <v>0</v>
      </c>
      <c r="AW346" s="528">
        <f t="shared" si="208"/>
        <v>0</v>
      </c>
      <c r="AX346" s="528">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2"/>
      <c r="AV347" s="528">
        <f t="shared" si="207"/>
        <v>0</v>
      </c>
      <c r="AW347" s="528">
        <f t="shared" si="208"/>
        <v>0</v>
      </c>
      <c r="AX347" s="528">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2"/>
      <c r="AV348" s="528">
        <f t="shared" si="207"/>
        <v>0</v>
      </c>
      <c r="AW348" s="528">
        <f t="shared" si="208"/>
        <v>0</v>
      </c>
      <c r="AX348" s="528">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2"/>
      <c r="AV349" s="528">
        <f t="shared" si="207"/>
        <v>0</v>
      </c>
      <c r="AW349" s="528">
        <f t="shared" si="208"/>
        <v>0</v>
      </c>
      <c r="AX349" s="528">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2"/>
      <c r="AV350" s="528">
        <f t="shared" si="207"/>
        <v>0</v>
      </c>
      <c r="AW350" s="528">
        <f t="shared" si="208"/>
        <v>0</v>
      </c>
      <c r="AX350" s="528">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2"/>
      <c r="AV351" s="528">
        <f t="shared" si="207"/>
        <v>0</v>
      </c>
      <c r="AW351" s="528">
        <f t="shared" si="208"/>
        <v>0</v>
      </c>
      <c r="AX351" s="528">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2"/>
      <c r="AV352" s="528">
        <f t="shared" si="207"/>
        <v>0</v>
      </c>
      <c r="AW352" s="528">
        <f t="shared" si="208"/>
        <v>0</v>
      </c>
      <c r="AX352" s="528">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2"/>
      <c r="AV353" s="528">
        <f t="shared" si="207"/>
        <v>0</v>
      </c>
      <c r="AW353" s="528">
        <f t="shared" si="208"/>
        <v>0</v>
      </c>
      <c r="AX353" s="528">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2"/>
      <c r="AV354" s="528">
        <f t="shared" si="207"/>
        <v>0</v>
      </c>
      <c r="AW354" s="528">
        <f t="shared" si="208"/>
        <v>0</v>
      </c>
      <c r="AX354" s="528">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2"/>
      <c r="AV355" s="528">
        <f t="shared" si="207"/>
        <v>0</v>
      </c>
      <c r="AW355" s="528">
        <f t="shared" si="208"/>
        <v>0</v>
      </c>
      <c r="AX355" s="528">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2"/>
      <c r="AV356" s="528">
        <f t="shared" si="207"/>
        <v>0</v>
      </c>
      <c r="AW356" s="528">
        <f t="shared" si="208"/>
        <v>0</v>
      </c>
      <c r="AX356" s="528">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2"/>
      <c r="AV357" s="528">
        <f t="shared" si="207"/>
        <v>0</v>
      </c>
      <c r="AW357" s="528">
        <f t="shared" si="208"/>
        <v>0</v>
      </c>
      <c r="AX357" s="528">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2"/>
      <c r="AV358" s="528">
        <f t="shared" si="207"/>
        <v>0</v>
      </c>
      <c r="AW358" s="528">
        <f t="shared" si="208"/>
        <v>0</v>
      </c>
      <c r="AX358" s="528">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2"/>
      <c r="AV359" s="528">
        <f t="shared" si="207"/>
        <v>0</v>
      </c>
      <c r="AW359" s="528">
        <f t="shared" si="208"/>
        <v>0</v>
      </c>
      <c r="AX359" s="528">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2"/>
      <c r="AV360" s="528">
        <f t="shared" si="207"/>
        <v>0</v>
      </c>
      <c r="AW360" s="528">
        <f t="shared" si="208"/>
        <v>0</v>
      </c>
      <c r="AX360" s="528">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2"/>
      <c r="AV361" s="528">
        <f t="shared" si="207"/>
        <v>0</v>
      </c>
      <c r="AW361" s="528">
        <f t="shared" si="208"/>
        <v>0</v>
      </c>
      <c r="AX361" s="528">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2"/>
      <c r="AV362" s="528">
        <f t="shared" si="207"/>
        <v>0</v>
      </c>
      <c r="AW362" s="528">
        <f t="shared" si="208"/>
        <v>0</v>
      </c>
      <c r="AX362" s="528">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2"/>
      <c r="AV363" s="528">
        <f t="shared" si="207"/>
        <v>0</v>
      </c>
      <c r="AW363" s="528">
        <f t="shared" si="208"/>
        <v>0</v>
      </c>
      <c r="AX363" s="528">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2"/>
      <c r="AV364" s="528">
        <f t="shared" si="207"/>
        <v>0</v>
      </c>
      <c r="AW364" s="528">
        <f t="shared" si="208"/>
        <v>0</v>
      </c>
      <c r="AX364" s="528">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2"/>
      <c r="AV365" s="528">
        <f t="shared" si="207"/>
        <v>0</v>
      </c>
      <c r="AW365" s="528">
        <f t="shared" si="208"/>
        <v>0</v>
      </c>
      <c r="AX365" s="528">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2"/>
      <c r="AV366" s="528">
        <f t="shared" si="207"/>
        <v>0</v>
      </c>
      <c r="AW366" s="528">
        <f t="shared" si="208"/>
        <v>0</v>
      </c>
      <c r="AX366" s="528">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2"/>
      <c r="AV367" s="528">
        <f t="shared" ref="AV367:AV397" si="236">A367</f>
        <v>0</v>
      </c>
      <c r="AW367" s="528">
        <f t="shared" ref="AW367:AW397" si="237">B367</f>
        <v>0</v>
      </c>
      <c r="AX367" s="528">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2"/>
      <c r="AV368" s="528">
        <f t="shared" si="236"/>
        <v>0</v>
      </c>
      <c r="AW368" s="528">
        <f t="shared" si="237"/>
        <v>0</v>
      </c>
      <c r="AX368" s="528">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2"/>
      <c r="AV369" s="528">
        <f t="shared" si="236"/>
        <v>0</v>
      </c>
      <c r="AW369" s="528">
        <f t="shared" si="237"/>
        <v>0</v>
      </c>
      <c r="AX369" s="528">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2"/>
      <c r="AV370" s="528">
        <f t="shared" si="236"/>
        <v>0</v>
      </c>
      <c r="AW370" s="528">
        <f t="shared" si="237"/>
        <v>0</v>
      </c>
      <c r="AX370" s="528">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2"/>
      <c r="AV371" s="528">
        <f t="shared" si="236"/>
        <v>0</v>
      </c>
      <c r="AW371" s="528">
        <f t="shared" si="237"/>
        <v>0</v>
      </c>
      <c r="AX371" s="528">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2"/>
      <c r="AV372" s="528">
        <f t="shared" si="236"/>
        <v>0</v>
      </c>
      <c r="AW372" s="528">
        <f t="shared" si="237"/>
        <v>0</v>
      </c>
      <c r="AX372" s="528">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2"/>
      <c r="AV373" s="528">
        <f t="shared" si="236"/>
        <v>0</v>
      </c>
      <c r="AW373" s="528">
        <f t="shared" si="237"/>
        <v>0</v>
      </c>
      <c r="AX373" s="528">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2"/>
      <c r="AV374" s="528">
        <f t="shared" si="236"/>
        <v>0</v>
      </c>
      <c r="AW374" s="528">
        <f t="shared" si="237"/>
        <v>0</v>
      </c>
      <c r="AX374" s="528">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2"/>
      <c r="AV375" s="528">
        <f t="shared" si="236"/>
        <v>0</v>
      </c>
      <c r="AW375" s="528">
        <f t="shared" si="237"/>
        <v>0</v>
      </c>
      <c r="AX375" s="528">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2"/>
      <c r="AV376" s="528">
        <f t="shared" si="236"/>
        <v>0</v>
      </c>
      <c r="AW376" s="528">
        <f t="shared" si="237"/>
        <v>0</v>
      </c>
      <c r="AX376" s="528">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2"/>
      <c r="AV377" s="528">
        <f t="shared" si="236"/>
        <v>0</v>
      </c>
      <c r="AW377" s="528">
        <f t="shared" si="237"/>
        <v>0</v>
      </c>
      <c r="AX377" s="528">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2"/>
      <c r="AV378" s="528">
        <f t="shared" si="236"/>
        <v>0</v>
      </c>
      <c r="AW378" s="528">
        <f t="shared" si="237"/>
        <v>0</v>
      </c>
      <c r="AX378" s="528">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2"/>
      <c r="AV379" s="528">
        <f t="shared" si="236"/>
        <v>0</v>
      </c>
      <c r="AW379" s="528">
        <f t="shared" si="237"/>
        <v>0</v>
      </c>
      <c r="AX379" s="528">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2"/>
      <c r="AV380" s="528">
        <f t="shared" si="236"/>
        <v>0</v>
      </c>
      <c r="AW380" s="528">
        <f t="shared" si="237"/>
        <v>0</v>
      </c>
      <c r="AX380" s="528">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2"/>
      <c r="AV381" s="528">
        <f t="shared" si="236"/>
        <v>0</v>
      </c>
      <c r="AW381" s="528">
        <f t="shared" si="237"/>
        <v>0</v>
      </c>
      <c r="AX381" s="528">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2"/>
      <c r="AV382" s="528">
        <f t="shared" si="236"/>
        <v>0</v>
      </c>
      <c r="AW382" s="528">
        <f t="shared" si="237"/>
        <v>0</v>
      </c>
      <c r="AX382" s="528">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2"/>
      <c r="AV383" s="528">
        <f t="shared" si="236"/>
        <v>0</v>
      </c>
      <c r="AW383" s="528">
        <f t="shared" si="237"/>
        <v>0</v>
      </c>
      <c r="AX383" s="528">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2"/>
      <c r="AV384" s="528">
        <f t="shared" si="236"/>
        <v>0</v>
      </c>
      <c r="AW384" s="528">
        <f t="shared" si="237"/>
        <v>0</v>
      </c>
      <c r="AX384" s="528">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2"/>
      <c r="AV385" s="528">
        <f t="shared" si="236"/>
        <v>0</v>
      </c>
      <c r="AW385" s="528">
        <f t="shared" si="237"/>
        <v>0</v>
      </c>
      <c r="AX385" s="528">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2"/>
      <c r="AV386" s="528">
        <f t="shared" si="236"/>
        <v>0</v>
      </c>
      <c r="AW386" s="528">
        <f t="shared" si="237"/>
        <v>0</v>
      </c>
      <c r="AX386" s="528">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2"/>
      <c r="AV387" s="528">
        <f t="shared" si="236"/>
        <v>0</v>
      </c>
      <c r="AW387" s="528">
        <f t="shared" si="237"/>
        <v>0</v>
      </c>
      <c r="AX387" s="528">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2"/>
      <c r="AV388" s="528">
        <f t="shared" si="236"/>
        <v>0</v>
      </c>
      <c r="AW388" s="528">
        <f t="shared" si="237"/>
        <v>0</v>
      </c>
      <c r="AX388" s="528">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2"/>
      <c r="AV389" s="528">
        <f t="shared" si="236"/>
        <v>0</v>
      </c>
      <c r="AW389" s="528">
        <f t="shared" si="237"/>
        <v>0</v>
      </c>
      <c r="AX389" s="528">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2"/>
      <c r="AV390" s="528">
        <f t="shared" si="236"/>
        <v>0</v>
      </c>
      <c r="AW390" s="528">
        <f t="shared" si="237"/>
        <v>0</v>
      </c>
      <c r="AX390" s="528">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2"/>
      <c r="AV391" s="528">
        <f t="shared" si="236"/>
        <v>0</v>
      </c>
      <c r="AW391" s="528">
        <f t="shared" si="237"/>
        <v>0</v>
      </c>
      <c r="AX391" s="528">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2"/>
      <c r="AV392" s="528">
        <f t="shared" si="236"/>
        <v>0</v>
      </c>
      <c r="AW392" s="528">
        <f t="shared" si="237"/>
        <v>0</v>
      </c>
      <c r="AX392" s="528">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2"/>
      <c r="AV393" s="528">
        <f t="shared" si="236"/>
        <v>0</v>
      </c>
      <c r="AW393" s="528">
        <f t="shared" si="237"/>
        <v>0</v>
      </c>
      <c r="AX393" s="528">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2"/>
      <c r="AV394" s="528">
        <f t="shared" si="236"/>
        <v>0</v>
      </c>
      <c r="AW394" s="528">
        <f t="shared" si="237"/>
        <v>0</v>
      </c>
      <c r="AX394" s="528">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1"/>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1"/>
      <c r="AV395" s="528">
        <f t="shared" si="236"/>
        <v>0</v>
      </c>
      <c r="AW395" s="528">
        <f t="shared" si="237"/>
        <v>0</v>
      </c>
      <c r="AX395" s="528">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1"/>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1"/>
      <c r="AV396" s="528">
        <f t="shared" si="236"/>
        <v>0</v>
      </c>
      <c r="AW396" s="528">
        <f t="shared" si="237"/>
        <v>0</v>
      </c>
      <c r="AX396" s="528">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1"/>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1"/>
      <c r="AV397" s="528">
        <f t="shared" si="236"/>
        <v>0</v>
      </c>
      <c r="AW397" s="528">
        <f t="shared" si="237"/>
        <v>0</v>
      </c>
      <c r="AX397" s="528">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2"/>
      <c r="AV398" s="528">
        <f t="shared" ref="AV398:AV492" si="243">A398</f>
        <v>0</v>
      </c>
      <c r="AW398" s="528">
        <f t="shared" ref="AW398:AW492" si="244">B398</f>
        <v>0</v>
      </c>
      <c r="AX398" s="528">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2"/>
      <c r="AV399" s="528">
        <f t="shared" si="243"/>
        <v>0</v>
      </c>
      <c r="AW399" s="528">
        <f t="shared" si="244"/>
        <v>0</v>
      </c>
      <c r="AX399" s="528">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2"/>
      <c r="AV400" s="528">
        <f t="shared" si="243"/>
        <v>0</v>
      </c>
      <c r="AW400" s="528">
        <f t="shared" si="244"/>
        <v>0</v>
      </c>
      <c r="AX400" s="528">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2"/>
      <c r="AV401" s="528">
        <f t="shared" si="243"/>
        <v>0</v>
      </c>
      <c r="AW401" s="528">
        <f t="shared" si="244"/>
        <v>0</v>
      </c>
      <c r="AX401" s="528">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2"/>
      <c r="AV402" s="528">
        <f t="shared" si="243"/>
        <v>0</v>
      </c>
      <c r="AW402" s="528">
        <f t="shared" si="244"/>
        <v>0</v>
      </c>
      <c r="AX402" s="528">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2"/>
      <c r="AV403" s="528">
        <f t="shared" si="243"/>
        <v>0</v>
      </c>
      <c r="AW403" s="528">
        <f t="shared" si="244"/>
        <v>0</v>
      </c>
      <c r="AX403" s="528">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2"/>
      <c r="AV404" s="528">
        <f t="shared" si="243"/>
        <v>0</v>
      </c>
      <c r="AW404" s="528">
        <f t="shared" si="244"/>
        <v>0</v>
      </c>
      <c r="AX404" s="528">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2"/>
      <c r="AV405" s="528">
        <f t="shared" si="243"/>
        <v>0</v>
      </c>
      <c r="AW405" s="528">
        <f t="shared" si="244"/>
        <v>0</v>
      </c>
      <c r="AX405" s="528">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2"/>
      <c r="AV406" s="528">
        <f t="shared" si="243"/>
        <v>0</v>
      </c>
      <c r="AW406" s="528">
        <f t="shared" si="244"/>
        <v>0</v>
      </c>
      <c r="AX406" s="528">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2"/>
      <c r="AV407" s="528">
        <f t="shared" si="243"/>
        <v>0</v>
      </c>
      <c r="AW407" s="528">
        <f t="shared" si="244"/>
        <v>0</v>
      </c>
      <c r="AX407" s="528">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2"/>
      <c r="AV408" s="528">
        <f t="shared" si="243"/>
        <v>0</v>
      </c>
      <c r="AW408" s="528">
        <f t="shared" si="244"/>
        <v>0</v>
      </c>
      <c r="AX408" s="528">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2"/>
      <c r="AV409" s="528">
        <f t="shared" si="243"/>
        <v>0</v>
      </c>
      <c r="AW409" s="528">
        <f t="shared" si="244"/>
        <v>0</v>
      </c>
      <c r="AX409" s="528">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2"/>
      <c r="AV410" s="528">
        <f t="shared" si="243"/>
        <v>0</v>
      </c>
      <c r="AW410" s="528">
        <f t="shared" si="244"/>
        <v>0</v>
      </c>
      <c r="AX410" s="528">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2"/>
      <c r="AV411" s="528">
        <f t="shared" si="243"/>
        <v>0</v>
      </c>
      <c r="AW411" s="528">
        <f t="shared" si="244"/>
        <v>0</v>
      </c>
      <c r="AX411" s="528">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2"/>
      <c r="AV412" s="528">
        <f t="shared" si="243"/>
        <v>0</v>
      </c>
      <c r="AW412" s="528">
        <f t="shared" si="244"/>
        <v>0</v>
      </c>
      <c r="AX412" s="528">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2"/>
      <c r="AV413" s="528">
        <f t="shared" si="243"/>
        <v>0</v>
      </c>
      <c r="AW413" s="528">
        <f t="shared" si="244"/>
        <v>0</v>
      </c>
      <c r="AX413" s="528">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2"/>
      <c r="AV414" s="528">
        <f t="shared" si="243"/>
        <v>0</v>
      </c>
      <c r="AW414" s="528">
        <f t="shared" si="244"/>
        <v>0</v>
      </c>
      <c r="AX414" s="528">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2"/>
      <c r="AV415" s="528">
        <f t="shared" si="243"/>
        <v>0</v>
      </c>
      <c r="AW415" s="528">
        <f t="shared" si="244"/>
        <v>0</v>
      </c>
      <c r="AX415" s="528">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2"/>
      <c r="AV416" s="528">
        <f t="shared" si="243"/>
        <v>0</v>
      </c>
      <c r="AW416" s="528">
        <f t="shared" si="244"/>
        <v>0</v>
      </c>
      <c r="AX416" s="528">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2"/>
      <c r="AV417" s="528">
        <f t="shared" si="243"/>
        <v>0</v>
      </c>
      <c r="AW417" s="528">
        <f t="shared" si="244"/>
        <v>0</v>
      </c>
      <c r="AX417" s="528">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2"/>
      <c r="AV418" s="528">
        <f t="shared" si="243"/>
        <v>0</v>
      </c>
      <c r="AW418" s="528">
        <f t="shared" si="244"/>
        <v>0</v>
      </c>
      <c r="AX418" s="528">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2"/>
      <c r="AV419" s="528">
        <f t="shared" si="243"/>
        <v>0</v>
      </c>
      <c r="AW419" s="528">
        <f t="shared" si="244"/>
        <v>0</v>
      </c>
      <c r="AX419" s="528">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2"/>
      <c r="AV420" s="528">
        <f t="shared" si="243"/>
        <v>0</v>
      </c>
      <c r="AW420" s="528">
        <f t="shared" si="244"/>
        <v>0</v>
      </c>
      <c r="AX420" s="528">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2"/>
      <c r="AV421" s="528">
        <f t="shared" si="243"/>
        <v>0</v>
      </c>
      <c r="AW421" s="528">
        <f t="shared" si="244"/>
        <v>0</v>
      </c>
      <c r="AX421" s="528">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2"/>
      <c r="AV422" s="528">
        <f t="shared" si="243"/>
        <v>0</v>
      </c>
      <c r="AW422" s="528">
        <f t="shared" si="244"/>
        <v>0</v>
      </c>
      <c r="AX422" s="528">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2"/>
      <c r="AV423" s="528">
        <f t="shared" si="243"/>
        <v>0</v>
      </c>
      <c r="AW423" s="528">
        <f t="shared" si="244"/>
        <v>0</v>
      </c>
      <c r="AX423" s="528">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2"/>
      <c r="AV424" s="528">
        <f t="shared" si="243"/>
        <v>0</v>
      </c>
      <c r="AW424" s="528">
        <f t="shared" si="244"/>
        <v>0</v>
      </c>
      <c r="AX424" s="528">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2"/>
      <c r="AV425" s="528">
        <f t="shared" si="243"/>
        <v>0</v>
      </c>
      <c r="AW425" s="528">
        <f t="shared" si="244"/>
        <v>0</v>
      </c>
      <c r="AX425" s="528">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2"/>
      <c r="AV426" s="528">
        <f t="shared" si="243"/>
        <v>0</v>
      </c>
      <c r="AW426" s="528">
        <f t="shared" si="244"/>
        <v>0</v>
      </c>
      <c r="AX426" s="528">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2"/>
      <c r="AV427" s="528">
        <f t="shared" si="243"/>
        <v>0</v>
      </c>
      <c r="AW427" s="528">
        <f t="shared" si="244"/>
        <v>0</v>
      </c>
      <c r="AX427" s="528">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2"/>
      <c r="AV428" s="528">
        <f t="shared" si="243"/>
        <v>0</v>
      </c>
      <c r="AW428" s="528">
        <f t="shared" si="244"/>
        <v>0</v>
      </c>
      <c r="AX428" s="528">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2"/>
      <c r="AV429" s="528">
        <f t="shared" si="243"/>
        <v>0</v>
      </c>
      <c r="AW429" s="528">
        <f t="shared" si="244"/>
        <v>0</v>
      </c>
      <c r="AX429" s="528">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2"/>
      <c r="AV430" s="528">
        <f t="shared" si="243"/>
        <v>0</v>
      </c>
      <c r="AW430" s="528">
        <f t="shared" si="244"/>
        <v>0</v>
      </c>
      <c r="AX430" s="528">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2"/>
      <c r="AV431" s="528">
        <f t="shared" si="243"/>
        <v>0</v>
      </c>
      <c r="AW431" s="528">
        <f t="shared" si="244"/>
        <v>0</v>
      </c>
      <c r="AX431" s="528">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2"/>
      <c r="AV432" s="528">
        <f t="shared" si="243"/>
        <v>0</v>
      </c>
      <c r="AW432" s="528">
        <f t="shared" si="244"/>
        <v>0</v>
      </c>
      <c r="AX432" s="528">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2"/>
      <c r="AV433" s="528">
        <f t="shared" si="243"/>
        <v>0</v>
      </c>
      <c r="AW433" s="528">
        <f t="shared" si="244"/>
        <v>0</v>
      </c>
      <c r="AX433" s="528">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2"/>
      <c r="AV434" s="528">
        <f t="shared" si="243"/>
        <v>0</v>
      </c>
      <c r="AW434" s="528">
        <f t="shared" si="244"/>
        <v>0</v>
      </c>
      <c r="AX434" s="528">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2"/>
      <c r="AV435" s="528">
        <f t="shared" si="243"/>
        <v>0</v>
      </c>
      <c r="AW435" s="528">
        <f t="shared" si="244"/>
        <v>0</v>
      </c>
      <c r="AX435" s="528">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2"/>
      <c r="AV436" s="528">
        <f t="shared" si="243"/>
        <v>0</v>
      </c>
      <c r="AW436" s="528">
        <f t="shared" si="244"/>
        <v>0</v>
      </c>
      <c r="AX436" s="528">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2"/>
      <c r="AV437" s="528">
        <f t="shared" si="243"/>
        <v>0</v>
      </c>
      <c r="AW437" s="528">
        <f t="shared" si="244"/>
        <v>0</v>
      </c>
      <c r="AX437" s="528">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2"/>
      <c r="AV438" s="528">
        <f t="shared" si="243"/>
        <v>0</v>
      </c>
      <c r="AW438" s="528">
        <f t="shared" si="244"/>
        <v>0</v>
      </c>
      <c r="AX438" s="528">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2"/>
      <c r="AV439" s="528">
        <f t="shared" si="243"/>
        <v>0</v>
      </c>
      <c r="AW439" s="528">
        <f t="shared" si="244"/>
        <v>0</v>
      </c>
      <c r="AX439" s="528">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2"/>
      <c r="AV440" s="528">
        <f t="shared" si="243"/>
        <v>0</v>
      </c>
      <c r="AW440" s="528">
        <f t="shared" si="244"/>
        <v>0</v>
      </c>
      <c r="AX440" s="528">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2"/>
      <c r="AV441" s="528">
        <f t="shared" si="243"/>
        <v>0</v>
      </c>
      <c r="AW441" s="528">
        <f t="shared" si="244"/>
        <v>0</v>
      </c>
      <c r="AX441" s="528">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2"/>
      <c r="AV442" s="528">
        <f t="shared" si="243"/>
        <v>0</v>
      </c>
      <c r="AW442" s="528">
        <f t="shared" si="244"/>
        <v>0</v>
      </c>
      <c r="AX442" s="528">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2"/>
      <c r="AV443" s="528">
        <f t="shared" si="243"/>
        <v>0</v>
      </c>
      <c r="AW443" s="528">
        <f t="shared" si="244"/>
        <v>0</v>
      </c>
      <c r="AX443" s="528">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2"/>
      <c r="AV444" s="528">
        <f t="shared" si="243"/>
        <v>0</v>
      </c>
      <c r="AW444" s="528">
        <f t="shared" si="244"/>
        <v>0</v>
      </c>
      <c r="AX444" s="528">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2"/>
      <c r="AV445" s="528">
        <f t="shared" si="243"/>
        <v>0</v>
      </c>
      <c r="AW445" s="528">
        <f t="shared" si="244"/>
        <v>0</v>
      </c>
      <c r="AX445" s="528">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2"/>
      <c r="AV446" s="528">
        <f t="shared" si="243"/>
        <v>0</v>
      </c>
      <c r="AW446" s="528">
        <f t="shared" si="244"/>
        <v>0</v>
      </c>
      <c r="AX446" s="528">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2"/>
      <c r="AV447" s="528">
        <f t="shared" si="243"/>
        <v>0</v>
      </c>
      <c r="AW447" s="528">
        <f t="shared" si="244"/>
        <v>0</v>
      </c>
      <c r="AX447" s="528">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2"/>
      <c r="AV448" s="528">
        <f t="shared" si="243"/>
        <v>0</v>
      </c>
      <c r="AW448" s="528">
        <f t="shared" si="244"/>
        <v>0</v>
      </c>
      <c r="AX448" s="528">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2"/>
      <c r="AV449" s="528">
        <f t="shared" si="243"/>
        <v>0</v>
      </c>
      <c r="AW449" s="528">
        <f t="shared" si="244"/>
        <v>0</v>
      </c>
      <c r="AX449" s="528">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2"/>
      <c r="AV450" s="528">
        <f t="shared" si="243"/>
        <v>0</v>
      </c>
      <c r="AW450" s="528">
        <f t="shared" si="244"/>
        <v>0</v>
      </c>
      <c r="AX450" s="528">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2"/>
      <c r="AV451" s="528">
        <f t="shared" si="243"/>
        <v>0</v>
      </c>
      <c r="AW451" s="528">
        <f t="shared" si="244"/>
        <v>0</v>
      </c>
      <c r="AX451" s="528">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2"/>
      <c r="AV452" s="528">
        <f t="shared" si="243"/>
        <v>0</v>
      </c>
      <c r="AW452" s="528">
        <f t="shared" si="244"/>
        <v>0</v>
      </c>
      <c r="AX452" s="528">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2"/>
      <c r="AV453" s="528">
        <f t="shared" si="243"/>
        <v>0</v>
      </c>
      <c r="AW453" s="528">
        <f t="shared" si="244"/>
        <v>0</v>
      </c>
      <c r="AX453" s="528">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2"/>
      <c r="AV454" s="528">
        <f t="shared" si="243"/>
        <v>0</v>
      </c>
      <c r="AW454" s="528">
        <f t="shared" si="244"/>
        <v>0</v>
      </c>
      <c r="AX454" s="528">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2"/>
      <c r="AV455" s="528">
        <f t="shared" si="243"/>
        <v>0</v>
      </c>
      <c r="AW455" s="528">
        <f t="shared" si="244"/>
        <v>0</v>
      </c>
      <c r="AX455" s="528">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2"/>
      <c r="AV456" s="528">
        <f t="shared" si="243"/>
        <v>0</v>
      </c>
      <c r="AW456" s="528">
        <f t="shared" si="244"/>
        <v>0</v>
      </c>
      <c r="AX456" s="528">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2"/>
      <c r="AV457" s="528">
        <f t="shared" si="243"/>
        <v>0</v>
      </c>
      <c r="AW457" s="528">
        <f t="shared" si="244"/>
        <v>0</v>
      </c>
      <c r="AX457" s="528">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2"/>
      <c r="AV458" s="528">
        <f t="shared" si="243"/>
        <v>0</v>
      </c>
      <c r="AW458" s="528">
        <f t="shared" si="244"/>
        <v>0</v>
      </c>
      <c r="AX458" s="528">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2"/>
      <c r="AV459" s="528">
        <f t="shared" si="243"/>
        <v>0</v>
      </c>
      <c r="AW459" s="528">
        <f t="shared" si="244"/>
        <v>0</v>
      </c>
      <c r="AX459" s="528">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2"/>
      <c r="AV460" s="528">
        <f t="shared" si="243"/>
        <v>0</v>
      </c>
      <c r="AW460" s="528">
        <f t="shared" si="244"/>
        <v>0</v>
      </c>
      <c r="AX460" s="528">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2"/>
      <c r="AV461" s="528">
        <f t="shared" si="243"/>
        <v>0</v>
      </c>
      <c r="AW461" s="528">
        <f t="shared" si="244"/>
        <v>0</v>
      </c>
      <c r="AX461" s="528">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2"/>
      <c r="AV462" s="528">
        <f t="shared" si="243"/>
        <v>0</v>
      </c>
      <c r="AW462" s="528">
        <f t="shared" si="244"/>
        <v>0</v>
      </c>
      <c r="AX462" s="528">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2"/>
      <c r="AV463" s="528">
        <f t="shared" si="243"/>
        <v>0</v>
      </c>
      <c r="AW463" s="528">
        <f t="shared" si="244"/>
        <v>0</v>
      </c>
      <c r="AX463" s="528">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2"/>
      <c r="AV464" s="528">
        <f t="shared" si="243"/>
        <v>0</v>
      </c>
      <c r="AW464" s="528">
        <f t="shared" si="244"/>
        <v>0</v>
      </c>
      <c r="AX464" s="528">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2"/>
      <c r="AV465" s="528">
        <f t="shared" si="243"/>
        <v>0</v>
      </c>
      <c r="AW465" s="528">
        <f t="shared" si="244"/>
        <v>0</v>
      </c>
      <c r="AX465" s="528">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2"/>
      <c r="AV466" s="528">
        <f t="shared" si="243"/>
        <v>0</v>
      </c>
      <c r="AW466" s="528">
        <f t="shared" si="244"/>
        <v>0</v>
      </c>
      <c r="AX466" s="528">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2"/>
      <c r="AV467" s="528">
        <f t="shared" si="243"/>
        <v>0</v>
      </c>
      <c r="AW467" s="528">
        <f t="shared" si="244"/>
        <v>0</v>
      </c>
      <c r="AX467" s="528">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2"/>
      <c r="AV468" s="528">
        <f t="shared" si="243"/>
        <v>0</v>
      </c>
      <c r="AW468" s="528">
        <f t="shared" si="244"/>
        <v>0</v>
      </c>
      <c r="AX468" s="528">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2"/>
      <c r="AV469" s="528">
        <f t="shared" si="243"/>
        <v>0</v>
      </c>
      <c r="AW469" s="528">
        <f t="shared" si="244"/>
        <v>0</v>
      </c>
      <c r="AX469" s="528">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2"/>
      <c r="AV470" s="528">
        <f t="shared" si="243"/>
        <v>0</v>
      </c>
      <c r="AW470" s="528">
        <f t="shared" si="244"/>
        <v>0</v>
      </c>
      <c r="AX470" s="528">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2"/>
      <c r="AV471" s="528">
        <f t="shared" si="243"/>
        <v>0</v>
      </c>
      <c r="AW471" s="528">
        <f t="shared" si="244"/>
        <v>0</v>
      </c>
      <c r="AX471" s="528">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2"/>
      <c r="AV472" s="528">
        <f t="shared" si="243"/>
        <v>0</v>
      </c>
      <c r="AW472" s="528">
        <f t="shared" si="244"/>
        <v>0</v>
      </c>
      <c r="AX472" s="528">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2"/>
      <c r="AV473" s="528">
        <f t="shared" si="243"/>
        <v>0</v>
      </c>
      <c r="AW473" s="528">
        <f t="shared" si="244"/>
        <v>0</v>
      </c>
      <c r="AX473" s="528">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2"/>
      <c r="AV474" s="528">
        <f t="shared" si="243"/>
        <v>0</v>
      </c>
      <c r="AW474" s="528">
        <f t="shared" si="244"/>
        <v>0</v>
      </c>
      <c r="AX474" s="528">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2"/>
      <c r="AV475" s="528">
        <f t="shared" si="243"/>
        <v>0</v>
      </c>
      <c r="AW475" s="528">
        <f t="shared" si="244"/>
        <v>0</v>
      </c>
      <c r="AX475" s="528">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2"/>
      <c r="AV476" s="528">
        <f t="shared" si="243"/>
        <v>0</v>
      </c>
      <c r="AW476" s="528">
        <f t="shared" si="244"/>
        <v>0</v>
      </c>
      <c r="AX476" s="528">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2"/>
      <c r="AV477" s="528">
        <f t="shared" si="243"/>
        <v>0</v>
      </c>
      <c r="AW477" s="528">
        <f t="shared" si="244"/>
        <v>0</v>
      </c>
      <c r="AX477" s="528">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2"/>
      <c r="AV478" s="528">
        <f t="shared" si="243"/>
        <v>0</v>
      </c>
      <c r="AW478" s="528">
        <f t="shared" si="244"/>
        <v>0</v>
      </c>
      <c r="AX478" s="528">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2"/>
      <c r="AV479" s="528">
        <f t="shared" si="243"/>
        <v>0</v>
      </c>
      <c r="AW479" s="528">
        <f t="shared" si="244"/>
        <v>0</v>
      </c>
      <c r="AX479" s="528">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2"/>
      <c r="AV480" s="528">
        <f t="shared" si="243"/>
        <v>0</v>
      </c>
      <c r="AW480" s="528">
        <f t="shared" si="244"/>
        <v>0</v>
      </c>
      <c r="AX480" s="528">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2"/>
      <c r="AV481" s="528">
        <f t="shared" si="243"/>
        <v>0</v>
      </c>
      <c r="AW481" s="528">
        <f t="shared" si="244"/>
        <v>0</v>
      </c>
      <c r="AX481" s="528">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2"/>
      <c r="AV482" s="528">
        <f t="shared" si="243"/>
        <v>0</v>
      </c>
      <c r="AW482" s="528">
        <f t="shared" si="244"/>
        <v>0</v>
      </c>
      <c r="AX482" s="528">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2"/>
      <c r="AV483" s="528">
        <f t="shared" si="243"/>
        <v>0</v>
      </c>
      <c r="AW483" s="528">
        <f t="shared" si="244"/>
        <v>0</v>
      </c>
      <c r="AX483" s="528">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2"/>
      <c r="AV484" s="528">
        <f t="shared" si="243"/>
        <v>0</v>
      </c>
      <c r="AW484" s="528">
        <f t="shared" si="244"/>
        <v>0</v>
      </c>
      <c r="AX484" s="528">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2"/>
      <c r="AV485" s="528">
        <f t="shared" si="243"/>
        <v>0</v>
      </c>
      <c r="AW485" s="528">
        <f t="shared" si="244"/>
        <v>0</v>
      </c>
      <c r="AX485" s="528">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2"/>
      <c r="AV486" s="528">
        <f t="shared" si="243"/>
        <v>0</v>
      </c>
      <c r="AW486" s="528">
        <f t="shared" si="244"/>
        <v>0</v>
      </c>
      <c r="AX486" s="528">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2"/>
      <c r="AV487" s="528">
        <f t="shared" si="243"/>
        <v>0</v>
      </c>
      <c r="AW487" s="528">
        <f t="shared" si="244"/>
        <v>0</v>
      </c>
      <c r="AX487" s="528">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2"/>
      <c r="AV488" s="528">
        <f t="shared" si="243"/>
        <v>0</v>
      </c>
      <c r="AW488" s="528">
        <f t="shared" si="244"/>
        <v>0</v>
      </c>
      <c r="AX488" s="528">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2"/>
      <c r="AV489" s="528">
        <f t="shared" si="243"/>
        <v>0</v>
      </c>
      <c r="AW489" s="528">
        <f t="shared" si="244"/>
        <v>0</v>
      </c>
      <c r="AX489" s="528">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1"/>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1"/>
      <c r="AV490" s="528">
        <f t="shared" si="243"/>
        <v>0</v>
      </c>
      <c r="AW490" s="528">
        <f t="shared" si="244"/>
        <v>0</v>
      </c>
      <c r="AX490" s="528">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1"/>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1"/>
      <c r="AV491" s="528">
        <f t="shared" si="243"/>
        <v>0</v>
      </c>
      <c r="AW491" s="528">
        <f t="shared" si="244"/>
        <v>0</v>
      </c>
      <c r="AX491" s="528">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1"/>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1"/>
      <c r="AV492" s="528">
        <f t="shared" si="243"/>
        <v>0</v>
      </c>
      <c r="AW492" s="528">
        <f t="shared" si="244"/>
        <v>0</v>
      </c>
      <c r="AX492" s="528">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2"/>
      <c r="AV493" s="528">
        <f t="shared" ref="AV493:AV520" si="294">A493</f>
        <v>0</v>
      </c>
      <c r="AW493" s="528">
        <f t="shared" ref="AW493:AW520" si="295">B493</f>
        <v>0</v>
      </c>
      <c r="AX493" s="528">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2"/>
      <c r="AV494" s="528">
        <f t="shared" si="294"/>
        <v>0</v>
      </c>
      <c r="AW494" s="528">
        <f t="shared" si="295"/>
        <v>0</v>
      </c>
      <c r="AX494" s="528">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2"/>
      <c r="AV495" s="528">
        <f t="shared" si="294"/>
        <v>0</v>
      </c>
      <c r="AW495" s="528">
        <f t="shared" si="295"/>
        <v>0</v>
      </c>
      <c r="AX495" s="528">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2"/>
      <c r="AV496" s="528">
        <f t="shared" si="294"/>
        <v>0</v>
      </c>
      <c r="AW496" s="528">
        <f t="shared" si="295"/>
        <v>0</v>
      </c>
      <c r="AX496" s="528">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2"/>
      <c r="AV497" s="528">
        <f t="shared" si="294"/>
        <v>0</v>
      </c>
      <c r="AW497" s="528">
        <f t="shared" si="295"/>
        <v>0</v>
      </c>
      <c r="AX497" s="528">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2"/>
      <c r="AV498" s="528">
        <f t="shared" si="294"/>
        <v>0</v>
      </c>
      <c r="AW498" s="528">
        <f t="shared" si="295"/>
        <v>0</v>
      </c>
      <c r="AX498" s="528">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2"/>
      <c r="AV499" s="528">
        <f t="shared" si="294"/>
        <v>0</v>
      </c>
      <c r="AW499" s="528">
        <f t="shared" si="295"/>
        <v>0</v>
      </c>
      <c r="AX499" s="528">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2"/>
      <c r="AV500" s="528">
        <f t="shared" si="294"/>
        <v>0</v>
      </c>
      <c r="AW500" s="528">
        <f t="shared" si="295"/>
        <v>0</v>
      </c>
      <c r="AX500" s="528">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2"/>
      <c r="AV501" s="528">
        <f t="shared" si="294"/>
        <v>0</v>
      </c>
      <c r="AW501" s="528">
        <f t="shared" si="295"/>
        <v>0</v>
      </c>
      <c r="AX501" s="528">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2"/>
      <c r="AV502" s="528">
        <f t="shared" si="294"/>
        <v>0</v>
      </c>
      <c r="AW502" s="528">
        <f t="shared" si="295"/>
        <v>0</v>
      </c>
      <c r="AX502" s="528">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2"/>
      <c r="AV503" s="528">
        <f t="shared" si="294"/>
        <v>0</v>
      </c>
      <c r="AW503" s="528">
        <f t="shared" si="295"/>
        <v>0</v>
      </c>
      <c r="AX503" s="528">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2"/>
      <c r="AV504" s="528">
        <f t="shared" si="294"/>
        <v>0</v>
      </c>
      <c r="AW504" s="528">
        <f t="shared" si="295"/>
        <v>0</v>
      </c>
      <c r="AX504" s="528">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2"/>
      <c r="AV505" s="528">
        <f t="shared" si="294"/>
        <v>0</v>
      </c>
      <c r="AW505" s="528">
        <f t="shared" si="295"/>
        <v>0</v>
      </c>
      <c r="AX505" s="528">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2"/>
      <c r="AV506" s="528">
        <f t="shared" si="294"/>
        <v>0</v>
      </c>
      <c r="AW506" s="528">
        <f t="shared" si="295"/>
        <v>0</v>
      </c>
      <c r="AX506" s="528">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2"/>
      <c r="AV507" s="528">
        <f t="shared" si="294"/>
        <v>0</v>
      </c>
      <c r="AW507" s="528">
        <f t="shared" si="295"/>
        <v>0</v>
      </c>
      <c r="AX507" s="528">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2"/>
      <c r="AV508" s="528">
        <f t="shared" si="294"/>
        <v>0</v>
      </c>
      <c r="AW508" s="528">
        <f t="shared" si="295"/>
        <v>0</v>
      </c>
      <c r="AX508" s="528">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2"/>
      <c r="AV509" s="528">
        <f t="shared" si="294"/>
        <v>0</v>
      </c>
      <c r="AW509" s="528">
        <f t="shared" si="295"/>
        <v>0</v>
      </c>
      <c r="AX509" s="528">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2"/>
      <c r="AV510" s="528">
        <f t="shared" si="294"/>
        <v>0</v>
      </c>
      <c r="AW510" s="528">
        <f t="shared" si="295"/>
        <v>0</v>
      </c>
      <c r="AX510" s="528">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2"/>
      <c r="AV511" s="528">
        <f t="shared" si="294"/>
        <v>0</v>
      </c>
      <c r="AW511" s="528">
        <f t="shared" si="295"/>
        <v>0</v>
      </c>
      <c r="AX511" s="528">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2"/>
      <c r="AV512" s="528">
        <f t="shared" si="294"/>
        <v>0</v>
      </c>
      <c r="AW512" s="528">
        <f t="shared" si="295"/>
        <v>0</v>
      </c>
      <c r="AX512" s="528">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2"/>
      <c r="AV513" s="528">
        <f t="shared" si="294"/>
        <v>0</v>
      </c>
      <c r="AW513" s="528">
        <f t="shared" si="295"/>
        <v>0</v>
      </c>
      <c r="AX513" s="528">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2"/>
      <c r="AV514" s="528">
        <f t="shared" si="294"/>
        <v>0</v>
      </c>
      <c r="AW514" s="528">
        <f t="shared" si="295"/>
        <v>0</v>
      </c>
      <c r="AX514" s="528">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2"/>
      <c r="AV515" s="528">
        <f t="shared" si="294"/>
        <v>0</v>
      </c>
      <c r="AW515" s="528">
        <f t="shared" si="295"/>
        <v>0</v>
      </c>
      <c r="AX515" s="528">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2"/>
      <c r="AV516" s="528">
        <f t="shared" si="294"/>
        <v>0</v>
      </c>
      <c r="AW516" s="528">
        <f t="shared" si="295"/>
        <v>0</v>
      </c>
      <c r="AX516" s="528">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2"/>
      <c r="AV517" s="528">
        <f t="shared" si="294"/>
        <v>0</v>
      </c>
      <c r="AW517" s="528">
        <f t="shared" si="295"/>
        <v>0</v>
      </c>
      <c r="AX517" s="528">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2"/>
      <c r="AV518" s="528">
        <f t="shared" si="294"/>
        <v>0</v>
      </c>
      <c r="AW518" s="528">
        <f t="shared" si="295"/>
        <v>0</v>
      </c>
      <c r="AX518" s="528">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2"/>
      <c r="AV519" s="528">
        <f t="shared" si="294"/>
        <v>0</v>
      </c>
      <c r="AW519" s="528">
        <f t="shared" si="295"/>
        <v>0</v>
      </c>
      <c r="AX519" s="528">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2"/>
      <c r="AV520" s="528">
        <f t="shared" si="294"/>
        <v>0</v>
      </c>
      <c r="AW520" s="528">
        <f t="shared" si="295"/>
        <v>0</v>
      </c>
      <c r="AX520" s="528">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2"/>
      <c r="AV521" s="528">
        <f t="shared" ref="AV521:AV552" si="298">A521</f>
        <v>0</v>
      </c>
      <c r="AW521" s="528">
        <f t="shared" ref="AW521:AW552" si="299">B521</f>
        <v>0</v>
      </c>
      <c r="AX521" s="528">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2"/>
      <c r="AV522" s="528">
        <f t="shared" si="298"/>
        <v>0</v>
      </c>
      <c r="AW522" s="528">
        <f t="shared" si="299"/>
        <v>0</v>
      </c>
      <c r="AX522" s="528">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2"/>
      <c r="AV523" s="528">
        <f t="shared" si="298"/>
        <v>0</v>
      </c>
      <c r="AW523" s="528">
        <f t="shared" si="299"/>
        <v>0</v>
      </c>
      <c r="AX523" s="528">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2"/>
      <c r="AV524" s="528">
        <f t="shared" si="298"/>
        <v>0</v>
      </c>
      <c r="AW524" s="528">
        <f t="shared" si="299"/>
        <v>0</v>
      </c>
      <c r="AX524" s="528">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2"/>
      <c r="AV525" s="528">
        <f t="shared" si="298"/>
        <v>0</v>
      </c>
      <c r="AW525" s="528">
        <f t="shared" si="299"/>
        <v>0</v>
      </c>
      <c r="AX525" s="528">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2"/>
      <c r="AV526" s="528">
        <f t="shared" si="298"/>
        <v>0</v>
      </c>
      <c r="AW526" s="528">
        <f t="shared" si="299"/>
        <v>0</v>
      </c>
      <c r="AX526" s="528">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2"/>
      <c r="AV527" s="528">
        <f t="shared" si="298"/>
        <v>0</v>
      </c>
      <c r="AW527" s="528">
        <f t="shared" si="299"/>
        <v>0</v>
      </c>
      <c r="AX527" s="528">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2"/>
      <c r="AV528" s="528">
        <f t="shared" si="298"/>
        <v>0</v>
      </c>
      <c r="AW528" s="528">
        <f t="shared" si="299"/>
        <v>0</v>
      </c>
      <c r="AX528" s="528">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2"/>
      <c r="AV529" s="528">
        <f t="shared" si="298"/>
        <v>0</v>
      </c>
      <c r="AW529" s="528">
        <f t="shared" si="299"/>
        <v>0</v>
      </c>
      <c r="AX529" s="528">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2"/>
      <c r="AV530" s="528">
        <f t="shared" si="298"/>
        <v>0</v>
      </c>
      <c r="AW530" s="528">
        <f t="shared" si="299"/>
        <v>0</v>
      </c>
      <c r="AX530" s="528">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2"/>
      <c r="AV531" s="528">
        <f t="shared" si="298"/>
        <v>0</v>
      </c>
      <c r="AW531" s="528">
        <f t="shared" si="299"/>
        <v>0</v>
      </c>
      <c r="AX531" s="528">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2"/>
      <c r="AV532" s="528">
        <f t="shared" si="298"/>
        <v>0</v>
      </c>
      <c r="AW532" s="528">
        <f t="shared" si="299"/>
        <v>0</v>
      </c>
      <c r="AX532" s="528">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2"/>
      <c r="AV533" s="528">
        <f t="shared" si="298"/>
        <v>0</v>
      </c>
      <c r="AW533" s="528">
        <f t="shared" si="299"/>
        <v>0</v>
      </c>
      <c r="AX533" s="528">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2"/>
      <c r="AV534" s="528">
        <f t="shared" si="298"/>
        <v>0</v>
      </c>
      <c r="AW534" s="528">
        <f t="shared" si="299"/>
        <v>0</v>
      </c>
      <c r="AX534" s="528">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2"/>
      <c r="AV535" s="528">
        <f t="shared" si="298"/>
        <v>0</v>
      </c>
      <c r="AW535" s="528">
        <f t="shared" si="299"/>
        <v>0</v>
      </c>
      <c r="AX535" s="528">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2"/>
      <c r="AV536" s="528">
        <f t="shared" si="298"/>
        <v>0</v>
      </c>
      <c r="AW536" s="528">
        <f t="shared" si="299"/>
        <v>0</v>
      </c>
      <c r="AX536" s="528">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2"/>
      <c r="AV537" s="528">
        <f t="shared" si="298"/>
        <v>0</v>
      </c>
      <c r="AW537" s="528">
        <f t="shared" si="299"/>
        <v>0</v>
      </c>
      <c r="AX537" s="528">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2"/>
      <c r="AV538" s="528">
        <f t="shared" si="298"/>
        <v>0</v>
      </c>
      <c r="AW538" s="528">
        <f t="shared" si="299"/>
        <v>0</v>
      </c>
      <c r="AX538" s="528">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2"/>
      <c r="AV539" s="528">
        <f t="shared" si="298"/>
        <v>0</v>
      </c>
      <c r="AW539" s="528">
        <f t="shared" si="299"/>
        <v>0</v>
      </c>
      <c r="AX539" s="528">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2"/>
      <c r="AV540" s="528">
        <f t="shared" si="298"/>
        <v>0</v>
      </c>
      <c r="AW540" s="528">
        <f t="shared" si="299"/>
        <v>0</v>
      </c>
      <c r="AX540" s="528">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2"/>
      <c r="AV541" s="528">
        <f t="shared" si="298"/>
        <v>0</v>
      </c>
      <c r="AW541" s="528">
        <f t="shared" si="299"/>
        <v>0</v>
      </c>
      <c r="AX541" s="528">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2"/>
      <c r="AV542" s="528">
        <f t="shared" si="298"/>
        <v>0</v>
      </c>
      <c r="AW542" s="528">
        <f t="shared" si="299"/>
        <v>0</v>
      </c>
      <c r="AX542" s="528">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2"/>
      <c r="AV543" s="528">
        <f t="shared" si="298"/>
        <v>0</v>
      </c>
      <c r="AW543" s="528">
        <f t="shared" si="299"/>
        <v>0</v>
      </c>
      <c r="AX543" s="528">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2"/>
      <c r="AV544" s="528">
        <f t="shared" si="298"/>
        <v>0</v>
      </c>
      <c r="AW544" s="528">
        <f t="shared" si="299"/>
        <v>0</v>
      </c>
      <c r="AX544" s="528">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2"/>
      <c r="AV545" s="528">
        <f t="shared" si="298"/>
        <v>0</v>
      </c>
      <c r="AW545" s="528">
        <f t="shared" si="299"/>
        <v>0</v>
      </c>
      <c r="AX545" s="528">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2"/>
      <c r="AV546" s="528">
        <f t="shared" si="298"/>
        <v>0</v>
      </c>
      <c r="AW546" s="528">
        <f t="shared" si="299"/>
        <v>0</v>
      </c>
      <c r="AX546" s="528">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2"/>
      <c r="AV547" s="528">
        <f t="shared" si="298"/>
        <v>0</v>
      </c>
      <c r="AW547" s="528">
        <f t="shared" si="299"/>
        <v>0</v>
      </c>
      <c r="AX547" s="528">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2"/>
      <c r="AV548" s="528">
        <f t="shared" si="298"/>
        <v>0</v>
      </c>
      <c r="AW548" s="528">
        <f t="shared" si="299"/>
        <v>0</v>
      </c>
      <c r="AX548" s="528">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2"/>
      <c r="AV549" s="528">
        <f t="shared" si="298"/>
        <v>0</v>
      </c>
      <c r="AW549" s="528">
        <f t="shared" si="299"/>
        <v>0</v>
      </c>
      <c r="AX549" s="528">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2"/>
      <c r="AV550" s="528">
        <f t="shared" si="298"/>
        <v>0</v>
      </c>
      <c r="AW550" s="528">
        <f t="shared" si="299"/>
        <v>0</v>
      </c>
      <c r="AX550" s="528">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2"/>
      <c r="AV551" s="528">
        <f t="shared" si="298"/>
        <v>0</v>
      </c>
      <c r="AW551" s="528">
        <f t="shared" si="299"/>
        <v>0</v>
      </c>
      <c r="AX551" s="528">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2"/>
      <c r="AV552" s="528">
        <f t="shared" si="298"/>
        <v>0</v>
      </c>
      <c r="AW552" s="528">
        <f t="shared" si="299"/>
        <v>0</v>
      </c>
      <c r="AX552" s="528">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2"/>
      <c r="AV553" s="528">
        <f t="shared" ref="AV553:AV587" si="330">A553</f>
        <v>0</v>
      </c>
      <c r="AW553" s="528">
        <f t="shared" ref="AW553:AW587" si="331">B553</f>
        <v>0</v>
      </c>
      <c r="AX553" s="528">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2"/>
      <c r="AV554" s="528">
        <f t="shared" si="330"/>
        <v>0</v>
      </c>
      <c r="AW554" s="528">
        <f t="shared" si="331"/>
        <v>0</v>
      </c>
      <c r="AX554" s="528">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2"/>
      <c r="AV555" s="528">
        <f t="shared" si="330"/>
        <v>0</v>
      </c>
      <c r="AW555" s="528">
        <f t="shared" si="331"/>
        <v>0</v>
      </c>
      <c r="AX555" s="528">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2"/>
      <c r="AV556" s="528">
        <f t="shared" si="330"/>
        <v>0</v>
      </c>
      <c r="AW556" s="528">
        <f t="shared" si="331"/>
        <v>0</v>
      </c>
      <c r="AX556" s="528">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2"/>
      <c r="AV557" s="528">
        <f t="shared" si="330"/>
        <v>0</v>
      </c>
      <c r="AW557" s="528">
        <f t="shared" si="331"/>
        <v>0</v>
      </c>
      <c r="AX557" s="528">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2"/>
      <c r="AV558" s="528">
        <f t="shared" si="330"/>
        <v>0</v>
      </c>
      <c r="AW558" s="528">
        <f t="shared" si="331"/>
        <v>0</v>
      </c>
      <c r="AX558" s="528">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2"/>
      <c r="AV559" s="528">
        <f t="shared" si="330"/>
        <v>0</v>
      </c>
      <c r="AW559" s="528">
        <f t="shared" si="331"/>
        <v>0</v>
      </c>
      <c r="AX559" s="528">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2"/>
      <c r="AV560" s="528">
        <f t="shared" si="330"/>
        <v>0</v>
      </c>
      <c r="AW560" s="528">
        <f t="shared" si="331"/>
        <v>0</v>
      </c>
      <c r="AX560" s="528">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2"/>
      <c r="AV561" s="528">
        <f t="shared" si="330"/>
        <v>0</v>
      </c>
      <c r="AW561" s="528">
        <f t="shared" si="331"/>
        <v>0</v>
      </c>
      <c r="AX561" s="528">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2"/>
      <c r="AV562" s="528">
        <f t="shared" si="330"/>
        <v>0</v>
      </c>
      <c r="AW562" s="528">
        <f t="shared" si="331"/>
        <v>0</v>
      </c>
      <c r="AX562" s="528">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2"/>
      <c r="AV563" s="528">
        <f t="shared" si="330"/>
        <v>0</v>
      </c>
      <c r="AW563" s="528">
        <f t="shared" si="331"/>
        <v>0</v>
      </c>
      <c r="AX563" s="528">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2"/>
      <c r="AV564" s="528">
        <f t="shared" si="330"/>
        <v>0</v>
      </c>
      <c r="AW564" s="528">
        <f t="shared" si="331"/>
        <v>0</v>
      </c>
      <c r="AX564" s="528">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2"/>
      <c r="AV565" s="528">
        <f t="shared" si="330"/>
        <v>0</v>
      </c>
      <c r="AW565" s="528">
        <f t="shared" si="331"/>
        <v>0</v>
      </c>
      <c r="AX565" s="528">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2"/>
      <c r="AV566" s="528">
        <f t="shared" si="330"/>
        <v>0</v>
      </c>
      <c r="AW566" s="528">
        <f t="shared" si="331"/>
        <v>0</v>
      </c>
      <c r="AX566" s="528">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2"/>
      <c r="AV567" s="528">
        <f t="shared" si="330"/>
        <v>0</v>
      </c>
      <c r="AW567" s="528">
        <f t="shared" si="331"/>
        <v>0</v>
      </c>
      <c r="AX567" s="528">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2"/>
      <c r="AV568" s="528">
        <f t="shared" si="330"/>
        <v>0</v>
      </c>
      <c r="AW568" s="528">
        <f t="shared" si="331"/>
        <v>0</v>
      </c>
      <c r="AX568" s="528">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2"/>
      <c r="AV569" s="528">
        <f t="shared" si="330"/>
        <v>0</v>
      </c>
      <c r="AW569" s="528">
        <f t="shared" si="331"/>
        <v>0</v>
      </c>
      <c r="AX569" s="528">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2"/>
      <c r="AV570" s="528">
        <f t="shared" si="330"/>
        <v>0</v>
      </c>
      <c r="AW570" s="528">
        <f t="shared" si="331"/>
        <v>0</v>
      </c>
      <c r="AX570" s="528">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2"/>
      <c r="AV571" s="528">
        <f t="shared" si="330"/>
        <v>0</v>
      </c>
      <c r="AW571" s="528">
        <f t="shared" si="331"/>
        <v>0</v>
      </c>
      <c r="AX571" s="528">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2"/>
      <c r="AV572" s="528">
        <f t="shared" si="330"/>
        <v>0</v>
      </c>
      <c r="AW572" s="528">
        <f t="shared" si="331"/>
        <v>0</v>
      </c>
      <c r="AX572" s="528">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2"/>
      <c r="AV573" s="528">
        <f t="shared" si="330"/>
        <v>0</v>
      </c>
      <c r="AW573" s="528">
        <f t="shared" si="331"/>
        <v>0</v>
      </c>
      <c r="AX573" s="528">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2"/>
      <c r="AV574" s="528">
        <f t="shared" si="330"/>
        <v>0</v>
      </c>
      <c r="AW574" s="528">
        <f t="shared" si="331"/>
        <v>0</v>
      </c>
      <c r="AX574" s="528">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2"/>
      <c r="AV575" s="528">
        <f t="shared" si="330"/>
        <v>0</v>
      </c>
      <c r="AW575" s="528">
        <f t="shared" si="331"/>
        <v>0</v>
      </c>
      <c r="AX575" s="528">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2"/>
      <c r="AV576" s="528">
        <f t="shared" si="330"/>
        <v>0</v>
      </c>
      <c r="AW576" s="528">
        <f t="shared" si="331"/>
        <v>0</v>
      </c>
      <c r="AX576" s="528">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2"/>
      <c r="AV577" s="528">
        <f t="shared" si="330"/>
        <v>0</v>
      </c>
      <c r="AW577" s="528">
        <f t="shared" si="331"/>
        <v>0</v>
      </c>
      <c r="AX577" s="528">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2"/>
      <c r="AV578" s="528">
        <f t="shared" si="330"/>
        <v>0</v>
      </c>
      <c r="AW578" s="528">
        <f t="shared" si="331"/>
        <v>0</v>
      </c>
      <c r="AX578" s="528">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2"/>
      <c r="AV579" s="528">
        <f t="shared" si="330"/>
        <v>0</v>
      </c>
      <c r="AW579" s="528">
        <f t="shared" si="331"/>
        <v>0</v>
      </c>
      <c r="AX579" s="528">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2"/>
      <c r="AV580" s="528">
        <f t="shared" si="330"/>
        <v>0</v>
      </c>
      <c r="AW580" s="528">
        <f t="shared" si="331"/>
        <v>0</v>
      </c>
      <c r="AX580" s="528">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2"/>
      <c r="AV581" s="528">
        <f t="shared" si="330"/>
        <v>0</v>
      </c>
      <c r="AW581" s="528">
        <f t="shared" si="331"/>
        <v>0</v>
      </c>
      <c r="AX581" s="528">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2"/>
      <c r="AV582" s="528">
        <f t="shared" si="330"/>
        <v>0</v>
      </c>
      <c r="AW582" s="528">
        <f t="shared" si="331"/>
        <v>0</v>
      </c>
      <c r="AX582" s="528">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2"/>
      <c r="AV583" s="528">
        <f t="shared" si="330"/>
        <v>0</v>
      </c>
      <c r="AW583" s="528">
        <f t="shared" si="331"/>
        <v>0</v>
      </c>
      <c r="AX583" s="528">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2"/>
      <c r="AV584" s="528">
        <f t="shared" si="330"/>
        <v>0</v>
      </c>
      <c r="AW584" s="528">
        <f t="shared" si="331"/>
        <v>0</v>
      </c>
      <c r="AX584" s="528">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1"/>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1"/>
      <c r="AV585" s="528">
        <f t="shared" si="330"/>
        <v>0</v>
      </c>
      <c r="AW585" s="528">
        <f t="shared" si="331"/>
        <v>0</v>
      </c>
      <c r="AX585" s="528">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1"/>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1"/>
      <c r="AV586" s="528">
        <f t="shared" si="330"/>
        <v>0</v>
      </c>
      <c r="AW586" s="528">
        <f t="shared" si="331"/>
        <v>0</v>
      </c>
      <c r="AX586" s="528">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1"/>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1"/>
      <c r="AV587" s="528">
        <f t="shared" si="330"/>
        <v>0</v>
      </c>
      <c r="AW587" s="528">
        <f t="shared" si="331"/>
        <v>0</v>
      </c>
      <c r="AX587" s="528">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0" zoomScaleNormal="100" zoomScaleSheetLayoutView="80" workbookViewId="0">
      <selection activeCell="E3" sqref="E3"/>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1130</v>
      </c>
      <c r="B1" s="1066"/>
      <c r="C1" s="1066"/>
      <c r="D1" s="1066"/>
      <c r="E1" s="1066"/>
      <c r="F1" s="1066"/>
      <c r="G1" s="1066"/>
      <c r="H1" s="1066"/>
      <c r="I1" s="1066"/>
      <c r="J1" s="1066"/>
      <c r="K1" s="1066"/>
      <c r="L1" s="1066"/>
      <c r="M1" s="1066"/>
      <c r="N1" s="1066"/>
      <c r="O1" s="1066"/>
      <c r="P1" s="1066"/>
    </row>
    <row r="2" spans="1:16" ht="14.4">
      <c r="A2" s="3289" t="s">
        <v>1131</v>
      </c>
      <c r="B2" s="3289"/>
      <c r="C2" s="3289"/>
      <c r="D2" s="743" t="s">
        <v>1107</v>
      </c>
      <c r="E2" s="1518" t="s">
        <v>1108</v>
      </c>
      <c r="F2" s="2431"/>
      <c r="G2" s="2424"/>
      <c r="H2" s="2425"/>
      <c r="I2" s="2139" t="s">
        <v>1132</v>
      </c>
      <c r="J2" s="2431"/>
      <c r="K2" s="2431"/>
      <c r="L2" s="2431"/>
      <c r="M2" s="2431"/>
      <c r="N2" s="2432"/>
      <c r="O2" s="2431"/>
      <c r="P2" s="2431"/>
    </row>
    <row r="3" spans="1:16" ht="15" thickBot="1">
      <c r="A3" s="3290" t="s">
        <v>1105</v>
      </c>
      <c r="B3" s="3290"/>
      <c r="C3" s="3290"/>
      <c r="D3" s="40">
        <f>'数据-基础表'!AY6</f>
        <v>8682.75</v>
      </c>
      <c r="E3" s="40">
        <f>'数据-基础表'!AZ5</f>
        <v>35822.61</v>
      </c>
      <c r="F3" s="2431"/>
      <c r="G3" s="41"/>
      <c r="H3" s="42" t="s">
        <v>1106</v>
      </c>
      <c r="I3" s="797">
        <f>ROUND('数据-基础表'!B3/'数据-基础表'!A3,2)</f>
        <v>4.13</v>
      </c>
      <c r="J3" s="2431"/>
      <c r="K3" s="2431"/>
      <c r="L3" s="2431"/>
      <c r="M3" s="2431"/>
      <c r="N3" s="2432"/>
      <c r="O3" s="2431"/>
      <c r="P3" s="2431"/>
    </row>
    <row r="4" spans="1:16" ht="14.4">
      <c r="A4" s="3291"/>
      <c r="B4" s="3292"/>
      <c r="C4" s="3293"/>
      <c r="D4" s="1519" t="s">
        <v>1107</v>
      </c>
      <c r="E4" s="1520" t="s">
        <v>1108</v>
      </c>
      <c r="F4" s="2431"/>
      <c r="G4" s="2426" t="s">
        <v>1133</v>
      </c>
      <c r="H4" s="42" t="s">
        <v>1113</v>
      </c>
      <c r="I4" s="797">
        <f>ROUND(SUMIF('数据-基础表'!I9:AS9,"地上",'数据-基础表'!I5:AS5)/'数据-基础表'!A3,2)</f>
        <v>2.59</v>
      </c>
      <c r="J4" s="2431"/>
      <c r="K4" s="2431"/>
      <c r="L4" s="2431"/>
      <c r="M4" s="2431"/>
      <c r="N4" s="2432"/>
      <c r="O4" s="2431"/>
      <c r="P4" s="2431"/>
    </row>
    <row r="5" spans="1:16" ht="14.4">
      <c r="A5" s="41" t="s">
        <v>1109</v>
      </c>
      <c r="B5" s="3294" t="s">
        <v>1110</v>
      </c>
      <c r="C5" s="3294"/>
      <c r="D5" s="42">
        <f>ROUND($D$3*E5/$E$3,2)</f>
        <v>5453.11</v>
      </c>
      <c r="E5" s="43">
        <f>SUMIF('数据-基础表'!$11:$11,"住宅",'数据-基础表'!$5:$5)</f>
        <v>22498.01</v>
      </c>
      <c r="F5" s="2431"/>
      <c r="G5" s="41"/>
      <c r="H5" s="42" t="s">
        <v>1106</v>
      </c>
      <c r="I5" s="797">
        <f>ROUND(E31/D31,2)</f>
        <v>4.13</v>
      </c>
      <c r="J5" s="2431"/>
      <c r="K5" s="2431"/>
      <c r="L5" s="2431"/>
      <c r="M5" s="2431"/>
      <c r="N5" s="2431"/>
      <c r="O5" s="2431"/>
      <c r="P5" s="2431"/>
    </row>
    <row r="6" spans="1:16" ht="15" thickBot="1">
      <c r="A6" s="1522"/>
      <c r="B6" s="3294" t="s">
        <v>1111</v>
      </c>
      <c r="C6" s="3294"/>
      <c r="D6" s="42">
        <f>ROUND($D$3*E6/$E$3,2)</f>
        <v>3229.64</v>
      </c>
      <c r="E6" s="43">
        <f>E3-E5</f>
        <v>13324.600000000002</v>
      </c>
      <c r="F6" s="2431"/>
      <c r="G6" s="1524" t="s">
        <v>1112</v>
      </c>
      <c r="H6" s="44" t="s">
        <v>1113</v>
      </c>
      <c r="I6" s="2427">
        <f>ROUND(F31/D31,2)</f>
        <v>2.59</v>
      </c>
      <c r="J6" s="2431"/>
      <c r="K6" s="2431"/>
      <c r="L6" s="2431"/>
      <c r="M6" s="2431"/>
      <c r="N6" s="2431"/>
      <c r="O6" s="2431"/>
      <c r="P6" s="2431"/>
    </row>
    <row r="7" spans="1:16" ht="15" thickBot="1">
      <c r="A7" s="3286"/>
      <c r="B7" s="3287"/>
      <c r="C7" s="3288"/>
      <c r="D7" s="1519" t="s">
        <v>1107</v>
      </c>
      <c r="E7" s="1523" t="s">
        <v>1114</v>
      </c>
      <c r="F7" s="2431"/>
      <c r="G7" s="2428" t="s">
        <v>1115</v>
      </c>
      <c r="H7" s="94"/>
      <c r="I7" s="2429"/>
      <c r="J7" s="2431"/>
      <c r="K7" s="2431"/>
      <c r="L7" s="2431"/>
      <c r="M7" s="2431"/>
      <c r="N7" s="2431"/>
      <c r="O7" s="2431"/>
      <c r="P7" s="2431"/>
    </row>
    <row r="8" spans="1:16" ht="14.4">
      <c r="A8" s="41" t="s">
        <v>1116</v>
      </c>
      <c r="B8" s="44" t="s">
        <v>1117</v>
      </c>
      <c r="C8" s="42" t="s">
        <v>1118</v>
      </c>
      <c r="D8" s="42">
        <f t="shared" ref="D8:D15" si="0">ROUND($D$3*E8/$E$3,2)</f>
        <v>5453.11</v>
      </c>
      <c r="E8" s="45">
        <f>SUMIF('数据-基础表'!BB10:BK10,"地上",'数据-基础表'!BB5:BK5)</f>
        <v>22498.01</v>
      </c>
      <c r="F8" s="2431"/>
      <c r="G8" s="2431"/>
      <c r="H8" s="2431"/>
      <c r="I8" s="2431"/>
      <c r="J8" s="2431"/>
      <c r="K8" s="2431"/>
      <c r="L8" s="2431"/>
      <c r="M8" s="2431"/>
      <c r="N8" s="2431"/>
      <c r="O8" s="2431"/>
      <c r="P8" s="2431"/>
    </row>
    <row r="9" spans="1:16" ht="14.4">
      <c r="A9" s="1524"/>
      <c r="B9" s="1525"/>
      <c r="C9" s="42" t="s">
        <v>1119</v>
      </c>
      <c r="D9" s="42">
        <f t="shared" si="0"/>
        <v>0</v>
      </c>
      <c r="E9" s="46">
        <v>0</v>
      </c>
      <c r="F9" s="2431"/>
      <c r="G9" s="2431"/>
      <c r="H9" s="2431"/>
      <c r="I9" s="2431"/>
      <c r="J9" s="2431"/>
      <c r="K9" s="2431"/>
      <c r="L9" s="2431"/>
      <c r="M9" s="2431"/>
      <c r="N9" s="2431"/>
      <c r="O9" s="2431"/>
      <c r="P9" s="2431"/>
    </row>
    <row r="10" spans="1:16" ht="14.4">
      <c r="A10" s="1524"/>
      <c r="B10" s="1525"/>
      <c r="C10" s="42" t="s">
        <v>1128</v>
      </c>
      <c r="D10" s="42">
        <f t="shared" si="0"/>
        <v>0</v>
      </c>
      <c r="E10" s="45">
        <f>SUMPRODUCT(('数据-基础表'!BB10:BK10="地下")*('数据-基础表'!BB11:BK11="商业")*('数据-基础表'!BB5:BK5))</f>
        <v>0</v>
      </c>
      <c r="F10" s="2431"/>
      <c r="G10" s="2431"/>
      <c r="H10" s="2431"/>
      <c r="I10" s="2431"/>
      <c r="J10" s="2431"/>
      <c r="K10" s="2431"/>
      <c r="L10" s="2431"/>
      <c r="M10" s="2431"/>
      <c r="N10" s="2431"/>
      <c r="O10" s="2431"/>
      <c r="P10" s="2431"/>
    </row>
    <row r="11" spans="1:16" ht="14.4">
      <c r="A11" s="1524"/>
      <c r="B11" s="1525"/>
      <c r="C11" s="42" t="s">
        <v>1120</v>
      </c>
      <c r="D11" s="42">
        <f t="shared" si="0"/>
        <v>0</v>
      </c>
      <c r="E11" s="45">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ht="14.4">
      <c r="A12" s="1524"/>
      <c r="B12" s="1525"/>
      <c r="C12" s="42" t="s">
        <v>1121</v>
      </c>
      <c r="D12" s="42">
        <f t="shared" si="0"/>
        <v>462.85</v>
      </c>
      <c r="E12" s="45">
        <f>SUMPRODUCT(('数据-基础表'!BB10:BK10="地下")*('数据-基础表'!BB11:BK11="仓储")*('数据-基础表'!BB5:BK5))</f>
        <v>1909.58</v>
      </c>
      <c r="F12" s="2431"/>
      <c r="G12" s="2431"/>
      <c r="H12" s="2431"/>
      <c r="I12" s="2431"/>
      <c r="J12" s="2431"/>
      <c r="K12" s="2431"/>
      <c r="L12" s="2431"/>
      <c r="M12" s="2431"/>
      <c r="N12" s="2431"/>
      <c r="O12" s="2431"/>
      <c r="P12" s="2431"/>
    </row>
    <row r="13" spans="1:16" ht="14.4">
      <c r="A13" s="1524"/>
      <c r="B13" s="1525"/>
      <c r="C13" s="42" t="s">
        <v>1122</v>
      </c>
      <c r="D13" s="42">
        <f t="shared" si="0"/>
        <v>2766.79</v>
      </c>
      <c r="E13" s="45">
        <f>SUMPRODUCT(('数据-基础表'!BB10:BK10="地下")*('数据-基础表'!BB11:BK11="车库")*('数据-基础表'!BB5:BK5))</f>
        <v>11415.02</v>
      </c>
      <c r="F13" s="2431"/>
      <c r="G13" s="2431"/>
      <c r="H13" s="2431"/>
      <c r="I13" s="2431"/>
      <c r="J13" s="2431"/>
      <c r="K13" s="2431"/>
      <c r="L13" s="2431"/>
      <c r="M13" s="2431"/>
      <c r="N13" s="2431"/>
      <c r="O13" s="2431"/>
      <c r="P13" s="2431"/>
    </row>
    <row r="14" spans="1:16" ht="14.4">
      <c r="A14" s="1524"/>
      <c r="B14" s="1525"/>
      <c r="C14" s="42" t="s">
        <v>1134</v>
      </c>
      <c r="D14" s="42">
        <f t="shared" si="0"/>
        <v>0</v>
      </c>
      <c r="E14" s="45">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2" t="s">
        <v>1129</v>
      </c>
      <c r="D15" s="42">
        <f t="shared" si="0"/>
        <v>0</v>
      </c>
      <c r="E15" s="45">
        <f>SUMPRODUCT(('数据-基础表'!BB10:BK10="地下")*('数据-基础表'!BB11:BK11="车库—办公")*('数据-基础表'!BB5:BK5))</f>
        <v>0</v>
      </c>
      <c r="F15" s="2431"/>
      <c r="G15" s="2431"/>
      <c r="H15" s="2431"/>
      <c r="I15" s="2431"/>
      <c r="J15" s="2431"/>
      <c r="K15" s="2431"/>
      <c r="L15" s="2431"/>
      <c r="M15" s="2431"/>
      <c r="N15" s="2431"/>
      <c r="O15" s="2431"/>
      <c r="P15" s="2431"/>
    </row>
    <row r="16" spans="1:16" ht="15" thickBot="1">
      <c r="A16" s="1522"/>
      <c r="B16" s="1525"/>
      <c r="C16" s="44" t="s">
        <v>1123</v>
      </c>
      <c r="D16" s="44">
        <f>SUM(D8:D15)</f>
        <v>8682.75</v>
      </c>
      <c r="E16" s="47">
        <f>SUM(E8:E15)</f>
        <v>35822.61</v>
      </c>
      <c r="F16" s="2431"/>
      <c r="G16" s="2431"/>
      <c r="H16" s="1526" t="s">
        <v>1135</v>
      </c>
      <c r="I16" s="1527"/>
      <c r="J16" s="1066"/>
      <c r="K16" s="3283" t="s">
        <v>1135</v>
      </c>
      <c r="L16" s="3284"/>
      <c r="M16" s="3284"/>
      <c r="N16" s="3284"/>
      <c r="O16" s="3284"/>
      <c r="P16" s="3285"/>
    </row>
    <row r="17" spans="1:19" ht="14.4">
      <c r="A17" s="1528" t="s">
        <v>1136</v>
      </c>
      <c r="B17" s="1529" t="s">
        <v>1137</v>
      </c>
      <c r="C17" s="1530" t="s">
        <v>1138</v>
      </c>
      <c r="D17" s="1531" t="s">
        <v>1126</v>
      </c>
      <c r="E17" s="1532" t="s">
        <v>1127</v>
      </c>
      <c r="F17" s="1533"/>
      <c r="G17" s="1534"/>
      <c r="H17" s="1535" t="s">
        <v>1139</v>
      </c>
      <c r="I17" s="1536" t="s">
        <v>1124</v>
      </c>
      <c r="J17" s="1066"/>
      <c r="K17" s="3280" t="s">
        <v>1140</v>
      </c>
      <c r="L17" s="3281"/>
      <c r="M17" s="3282"/>
      <c r="N17" s="3280" t="s">
        <v>1141</v>
      </c>
      <c r="O17" s="3281"/>
      <c r="P17" s="3282"/>
      <c r="R17" s="764" t="s">
        <v>1142</v>
      </c>
      <c r="S17" s="53"/>
    </row>
    <row r="18" spans="1:19" ht="14.4">
      <c r="A18" s="1524"/>
      <c r="B18" s="1521"/>
      <c r="C18" s="1537"/>
      <c r="D18" s="1538"/>
      <c r="E18" s="1539" t="s">
        <v>1143</v>
      </c>
      <c r="F18" s="1540" t="s">
        <v>1144</v>
      </c>
      <c r="G18" s="1541" t="s">
        <v>1145</v>
      </c>
      <c r="H18" s="975" t="s">
        <v>1146</v>
      </c>
      <c r="I18" s="1542" t="s">
        <v>1147</v>
      </c>
      <c r="J18" s="1066"/>
      <c r="K18" s="975" t="s">
        <v>1148</v>
      </c>
      <c r="L18" s="1543" t="s">
        <v>1149</v>
      </c>
      <c r="M18" s="797" t="s">
        <v>1150</v>
      </c>
      <c r="N18" s="975" t="s">
        <v>1148</v>
      </c>
      <c r="O18" s="1543" t="s">
        <v>1149</v>
      </c>
      <c r="P18" s="797" t="s">
        <v>1150</v>
      </c>
      <c r="R18" s="42" t="s">
        <v>1151</v>
      </c>
      <c r="S18" s="42" t="s">
        <v>1152</v>
      </c>
    </row>
    <row r="19" spans="1:19" ht="14.4">
      <c r="A19" s="1544"/>
      <c r="B19" s="44" t="s">
        <v>1125</v>
      </c>
      <c r="C19" s="3109" t="s">
        <v>3374</v>
      </c>
      <c r="D19" s="42">
        <f>ROUND($D$3*E19/$E$3,2)</f>
        <v>5453.11</v>
      </c>
      <c r="E19" s="50">
        <f t="shared" ref="E19:E26" si="1">SUM(F19:G19)</f>
        <v>22498.01</v>
      </c>
      <c r="F19" s="2550">
        <f>'数据-基础表'!I13</f>
        <v>22498.01</v>
      </c>
      <c r="G19" s="1238"/>
      <c r="H19" s="635">
        <f>ROUND($D$3*I19/$E$3,2)</f>
        <v>0</v>
      </c>
      <c r="I19" s="45">
        <f t="shared" ref="I19:I26" si="2">IF($I$17="自定义",P19,M19)</f>
        <v>0</v>
      </c>
      <c r="J19" s="1066"/>
      <c r="K19" s="635">
        <f t="shared" ref="K19:K26" si="3">ROUND(E$28*E19/E$27,2)</f>
        <v>0</v>
      </c>
      <c r="L19" s="42">
        <f t="shared" ref="L19:L26" si="4">ROUND(IF(COUNTIF(C19,"*住宅*")&gt;0,E$29*E19/E$32,0),2)</f>
        <v>0</v>
      </c>
      <c r="M19" s="45">
        <f>K19+L19</f>
        <v>0</v>
      </c>
      <c r="N19" s="1545"/>
      <c r="O19" s="1546"/>
      <c r="P19" s="45">
        <f>N19+O19</f>
        <v>0</v>
      </c>
      <c r="R19" s="42">
        <f t="shared" ref="R19:S26" si="5">D19+H19</f>
        <v>5453.11</v>
      </c>
      <c r="S19" s="50">
        <f t="shared" si="5"/>
        <v>22498.01</v>
      </c>
    </row>
    <row r="20" spans="1:19" ht="14.4">
      <c r="A20" s="1544"/>
      <c r="B20" s="44" t="s">
        <v>1153</v>
      </c>
      <c r="C20" s="3109" t="s">
        <v>3383</v>
      </c>
      <c r="D20" s="42">
        <f t="shared" ref="D20:D26" si="6">ROUND($D$3*E20/$E$3,2)</f>
        <v>462.85</v>
      </c>
      <c r="E20" s="50">
        <f t="shared" si="1"/>
        <v>1909.58</v>
      </c>
      <c r="F20" s="2550"/>
      <c r="G20" s="1238">
        <f>'数据-基础表'!K13</f>
        <v>1909.58</v>
      </c>
      <c r="H20" s="635">
        <f t="shared" ref="H20:H26" si="7">ROUND($D$3*I20/$E$3,2)</f>
        <v>0</v>
      </c>
      <c r="I20" s="45">
        <f t="shared" si="2"/>
        <v>0</v>
      </c>
      <c r="J20" s="1066"/>
      <c r="K20" s="635">
        <f t="shared" si="3"/>
        <v>0</v>
      </c>
      <c r="L20" s="42">
        <f t="shared" si="4"/>
        <v>0</v>
      </c>
      <c r="M20" s="45">
        <f t="shared" ref="M20:M26" si="8">K20+L20</f>
        <v>0</v>
      </c>
      <c r="N20" s="1545"/>
      <c r="O20" s="1546"/>
      <c r="P20" s="45">
        <f t="shared" ref="P20:P26" si="9">N20+O20</f>
        <v>0</v>
      </c>
      <c r="R20" s="42">
        <f t="shared" si="5"/>
        <v>462.85</v>
      </c>
      <c r="S20" s="50">
        <f t="shared" si="5"/>
        <v>1909.58</v>
      </c>
    </row>
    <row r="21" spans="1:19" ht="14.4">
      <c r="A21" s="1544"/>
      <c r="B21" s="44" t="s">
        <v>1153</v>
      </c>
      <c r="C21" s="3109" t="s">
        <v>3385</v>
      </c>
      <c r="D21" s="42">
        <f t="shared" si="6"/>
        <v>2766.79</v>
      </c>
      <c r="E21" s="50">
        <f t="shared" si="1"/>
        <v>11415.02</v>
      </c>
      <c r="F21" s="2550"/>
      <c r="G21" s="1238">
        <f>'数据-基础表'!M13</f>
        <v>11415.02</v>
      </c>
      <c r="H21" s="635">
        <f t="shared" si="7"/>
        <v>0</v>
      </c>
      <c r="I21" s="45">
        <f t="shared" si="2"/>
        <v>0</v>
      </c>
      <c r="J21" s="1066"/>
      <c r="K21" s="635">
        <f t="shared" si="3"/>
        <v>0</v>
      </c>
      <c r="L21" s="42">
        <f t="shared" si="4"/>
        <v>0</v>
      </c>
      <c r="M21" s="45">
        <f t="shared" si="8"/>
        <v>0</v>
      </c>
      <c r="N21" s="1545"/>
      <c r="O21" s="1546"/>
      <c r="P21" s="45">
        <f t="shared" si="9"/>
        <v>0</v>
      </c>
      <c r="R21" s="42">
        <f t="shared" si="5"/>
        <v>2766.79</v>
      </c>
      <c r="S21" s="50">
        <f t="shared" si="5"/>
        <v>11415.02</v>
      </c>
    </row>
    <row r="22" spans="1:19" ht="14.4">
      <c r="A22" s="1544"/>
      <c r="B22" s="44" t="s">
        <v>1153</v>
      </c>
      <c r="C22" s="3110"/>
      <c r="D22" s="42">
        <f t="shared" si="6"/>
        <v>0</v>
      </c>
      <c r="E22" s="50">
        <f t="shared" si="1"/>
        <v>0</v>
      </c>
      <c r="F22" s="2551"/>
      <c r="G22" s="2552"/>
      <c r="H22" s="635">
        <f t="shared" si="7"/>
        <v>0</v>
      </c>
      <c r="I22" s="45">
        <f t="shared" si="2"/>
        <v>0</v>
      </c>
      <c r="J22" s="1066"/>
      <c r="K22" s="635">
        <f t="shared" si="3"/>
        <v>0</v>
      </c>
      <c r="L22" s="42">
        <f t="shared" si="4"/>
        <v>0</v>
      </c>
      <c r="M22" s="45">
        <f t="shared" si="8"/>
        <v>0</v>
      </c>
      <c r="N22" s="1545"/>
      <c r="O22" s="1546"/>
      <c r="P22" s="45">
        <f t="shared" si="9"/>
        <v>0</v>
      </c>
      <c r="R22" s="42">
        <f t="shared" si="5"/>
        <v>0</v>
      </c>
      <c r="S22" s="50">
        <f t="shared" si="5"/>
        <v>0</v>
      </c>
    </row>
    <row r="23" spans="1:19" ht="14.4">
      <c r="A23" s="1544"/>
      <c r="B23" s="44" t="s">
        <v>1153</v>
      </c>
      <c r="C23" s="3110"/>
      <c r="D23" s="42">
        <f>ROUND($D$3*E23/$E$3,2)</f>
        <v>0</v>
      </c>
      <c r="E23" s="50">
        <f>SUM(F23:G23)</f>
        <v>0</v>
      </c>
      <c r="F23" s="2551"/>
      <c r="G23" s="2552"/>
      <c r="H23" s="635">
        <f>ROUND($D$3*I23/$E$3,2)</f>
        <v>0</v>
      </c>
      <c r="I23" s="45">
        <f t="shared" si="2"/>
        <v>0</v>
      </c>
      <c r="J23" s="1066"/>
      <c r="K23" s="635">
        <f t="shared" si="3"/>
        <v>0</v>
      </c>
      <c r="L23" s="42">
        <f t="shared" si="4"/>
        <v>0</v>
      </c>
      <c r="M23" s="45">
        <f t="shared" si="8"/>
        <v>0</v>
      </c>
      <c r="N23" s="1545"/>
      <c r="O23" s="1546"/>
      <c r="P23" s="45">
        <f t="shared" si="9"/>
        <v>0</v>
      </c>
      <c r="R23" s="42">
        <f t="shared" si="5"/>
        <v>0</v>
      </c>
      <c r="S23" s="50">
        <f t="shared" si="5"/>
        <v>0</v>
      </c>
    </row>
    <row r="24" spans="1:19" ht="14.4">
      <c r="A24" s="1544"/>
      <c r="B24" s="44" t="s">
        <v>1153</v>
      </c>
      <c r="C24" s="3110"/>
      <c r="D24" s="42">
        <f>ROUND($D$3*E24/$E$3,2)</f>
        <v>0</v>
      </c>
      <c r="E24" s="50">
        <f>SUM(F24:G24)</f>
        <v>0</v>
      </c>
      <c r="F24" s="2551"/>
      <c r="G24" s="2552"/>
      <c r="H24" s="635">
        <f>ROUND($D$3*I24/$E$3,2)</f>
        <v>0</v>
      </c>
      <c r="I24" s="45">
        <f t="shared" si="2"/>
        <v>0</v>
      </c>
      <c r="J24" s="1066"/>
      <c r="K24" s="635">
        <f t="shared" si="3"/>
        <v>0</v>
      </c>
      <c r="L24" s="42">
        <f t="shared" si="4"/>
        <v>0</v>
      </c>
      <c r="M24" s="45">
        <f t="shared" si="8"/>
        <v>0</v>
      </c>
      <c r="N24" s="1545"/>
      <c r="O24" s="1546"/>
      <c r="P24" s="45">
        <f t="shared" si="9"/>
        <v>0</v>
      </c>
      <c r="R24" s="42">
        <f t="shared" si="5"/>
        <v>0</v>
      </c>
      <c r="S24" s="50">
        <f t="shared" si="5"/>
        <v>0</v>
      </c>
    </row>
    <row r="25" spans="1:19" ht="14.4">
      <c r="A25" s="1544"/>
      <c r="B25" s="44" t="s">
        <v>1153</v>
      </c>
      <c r="C25" s="3110"/>
      <c r="D25" s="42">
        <f t="shared" si="6"/>
        <v>0</v>
      </c>
      <c r="E25" s="50">
        <f t="shared" si="1"/>
        <v>0</v>
      </c>
      <c r="F25" s="2551"/>
      <c r="G25" s="2552"/>
      <c r="H25" s="41">
        <f t="shared" si="7"/>
        <v>0</v>
      </c>
      <c r="I25" s="45">
        <f t="shared" si="2"/>
        <v>0</v>
      </c>
      <c r="J25" s="1066"/>
      <c r="K25" s="635">
        <f t="shared" si="3"/>
        <v>0</v>
      </c>
      <c r="L25" s="42">
        <f t="shared" si="4"/>
        <v>0</v>
      </c>
      <c r="M25" s="45">
        <f t="shared" si="8"/>
        <v>0</v>
      </c>
      <c r="N25" s="1545"/>
      <c r="O25" s="1546"/>
      <c r="P25" s="45">
        <f t="shared" si="9"/>
        <v>0</v>
      </c>
      <c r="R25" s="42">
        <f t="shared" si="5"/>
        <v>0</v>
      </c>
      <c r="S25" s="50">
        <f t="shared" si="5"/>
        <v>0</v>
      </c>
    </row>
    <row r="26" spans="1:19" ht="14.4">
      <c r="A26" s="1544"/>
      <c r="B26" s="44" t="s">
        <v>1153</v>
      </c>
      <c r="C26" s="52"/>
      <c r="D26" s="42">
        <f t="shared" si="6"/>
        <v>0</v>
      </c>
      <c r="E26" s="50">
        <f t="shared" si="1"/>
        <v>0</v>
      </c>
      <c r="F26" s="2551"/>
      <c r="G26" s="2552"/>
      <c r="H26" s="41">
        <f t="shared" si="7"/>
        <v>0</v>
      </c>
      <c r="I26" s="45">
        <f t="shared" si="2"/>
        <v>0</v>
      </c>
      <c r="J26" s="1066"/>
      <c r="K26" s="41">
        <f t="shared" si="3"/>
        <v>0</v>
      </c>
      <c r="L26" s="44">
        <f t="shared" si="4"/>
        <v>0</v>
      </c>
      <c r="M26" s="47">
        <f t="shared" si="8"/>
        <v>0</v>
      </c>
      <c r="N26" s="1547"/>
      <c r="O26" s="1548"/>
      <c r="P26" s="47">
        <f t="shared" si="9"/>
        <v>0</v>
      </c>
      <c r="R26" s="42">
        <f t="shared" si="5"/>
        <v>0</v>
      </c>
      <c r="S26" s="50">
        <f t="shared" si="5"/>
        <v>0</v>
      </c>
    </row>
    <row r="27" spans="1:19" ht="15" thickBot="1">
      <c r="A27" s="1544"/>
      <c r="B27" s="42"/>
      <c r="C27" s="1549" t="s">
        <v>1154</v>
      </c>
      <c r="D27" s="1067">
        <f>SUM(D19:D26)</f>
        <v>8682.75</v>
      </c>
      <c r="E27" s="1068">
        <f>IF(SUM(E19:E26)='数据-基础表'!BA5,SUM(E19:E26),IF(F27="地上面积有误","面积有误","地下面积有误"))</f>
        <v>35822.61</v>
      </c>
      <c r="F27" s="1067">
        <f>IF(SUM(F19:F26)=E8,SUM(F19:F26),"地上面积有误")</f>
        <v>22498.01</v>
      </c>
      <c r="G27" s="1069">
        <f>SUM(G19:G26)</f>
        <v>13324.6</v>
      </c>
      <c r="H27" s="1070">
        <f>SUM(H19:H26)</f>
        <v>0</v>
      </c>
      <c r="I27" s="1071">
        <f>SUM(I19:I26)</f>
        <v>0</v>
      </c>
      <c r="J27" s="1066"/>
      <c r="K27" s="1072">
        <f>SUM(K19:K26)</f>
        <v>0</v>
      </c>
      <c r="L27" s="780">
        <f>SUM(L19:L26)</f>
        <v>0</v>
      </c>
      <c r="M27" s="1073">
        <f>SUM(M19:M26)</f>
        <v>0</v>
      </c>
      <c r="N27" s="1072">
        <f t="shared" ref="N27:O27" si="10">SUM(N19:N26)</f>
        <v>0</v>
      </c>
      <c r="O27" s="780">
        <f t="shared" si="10"/>
        <v>0</v>
      </c>
      <c r="P27" s="93">
        <f>SUM(P19:P26)</f>
        <v>0</v>
      </c>
      <c r="R27" s="963">
        <f>IF(SUM(R19:R26)=$D$3,SUM(R19:R26),SUM(R19:R26)&amp;"误差"&amp;ROUND(SUM(R19:R26)-$D$3,2))</f>
        <v>8682.75</v>
      </c>
      <c r="S27" s="42">
        <f>IF(SUM(S19:S26)=$E$3,SUM(S19:S26),SUM(S19:S26)&amp;"误差"&amp;ROUND(SUM(S19:S26)-E3,2))</f>
        <v>35822.61</v>
      </c>
    </row>
    <row r="28" spans="1:19" ht="14.4">
      <c r="A28" s="1544"/>
      <c r="B28" s="44" t="s">
        <v>1155</v>
      </c>
      <c r="C28" s="53" t="s">
        <v>1156</v>
      </c>
      <c r="D28" s="42">
        <f>ROUND($D$3*E28/$E$3,2)</f>
        <v>0</v>
      </c>
      <c r="E28" s="50">
        <f>SUM(F28:G28)</f>
        <v>0</v>
      </c>
      <c r="F28" s="53">
        <f>'数据-基础表'!BQ5+'数据-基础表'!BS5</f>
        <v>0</v>
      </c>
      <c r="G28" s="54">
        <f>'数据-基础表'!BR5+'数据-基础表'!BT5</f>
        <v>0</v>
      </c>
      <c r="H28" s="2431"/>
      <c r="I28" s="2431"/>
      <c r="J28" s="2431"/>
      <c r="K28" s="2431"/>
      <c r="L28" s="2431"/>
      <c r="M28" s="2431"/>
      <c r="N28" s="2431"/>
      <c r="O28" s="2431"/>
      <c r="P28" s="2431"/>
    </row>
    <row r="29" spans="1:19" ht="14.4">
      <c r="A29" s="1544"/>
      <c r="B29" s="44" t="s">
        <v>1155</v>
      </c>
      <c r="C29" s="1550" t="s">
        <v>1157</v>
      </c>
      <c r="D29" s="42">
        <f>ROUND($D$3*E29/$E$3,2)</f>
        <v>0</v>
      </c>
      <c r="E29" s="50">
        <f>SUM(F29:G29)</f>
        <v>0</v>
      </c>
      <c r="F29" s="55">
        <f>'数据-基础表'!BM5+'数据-基础表'!BO5</f>
        <v>0</v>
      </c>
      <c r="G29" s="47">
        <f>'数据-基础表'!BN5+'数据-基础表'!BP5</f>
        <v>0</v>
      </c>
      <c r="H29" s="2431"/>
      <c r="I29" s="2431"/>
      <c r="J29" s="2431"/>
      <c r="K29" s="2431"/>
      <c r="L29" s="2431"/>
      <c r="M29" s="2431"/>
      <c r="N29" s="2431"/>
      <c r="O29" s="2431"/>
      <c r="P29" s="2431"/>
    </row>
    <row r="30" spans="1:19" ht="14.4">
      <c r="A30" s="1544"/>
      <c r="B30" s="44"/>
      <c r="C30" s="1551" t="s">
        <v>1154</v>
      </c>
      <c r="D30" s="1067">
        <f>SUM(D28:D29)</f>
        <v>0</v>
      </c>
      <c r="E30" s="1067">
        <f>SUM(E28:E29)</f>
        <v>0</v>
      </c>
      <c r="F30" s="1067">
        <f>SUM(F28:F29)</f>
        <v>0</v>
      </c>
      <c r="G30" s="1069">
        <f>SUM(G28:G29)</f>
        <v>0</v>
      </c>
      <c r="H30" s="2431"/>
      <c r="I30" s="2431"/>
      <c r="J30" s="2431"/>
      <c r="K30" s="2431"/>
      <c r="L30" s="2431"/>
      <c r="M30" s="2431"/>
      <c r="N30" s="2431"/>
      <c r="O30" s="2431"/>
      <c r="P30" s="2431"/>
    </row>
    <row r="31" spans="1:19" ht="15" thickBot="1">
      <c r="A31" s="1552"/>
      <c r="B31" s="95"/>
      <c r="C31" s="780" t="s">
        <v>1158</v>
      </c>
      <c r="D31" s="640">
        <f>D27+D30</f>
        <v>8682.75</v>
      </c>
      <c r="E31" s="640">
        <f>E27+E30</f>
        <v>35822.61</v>
      </c>
      <c r="F31" s="641">
        <f>F27+F30</f>
        <v>22498.01</v>
      </c>
      <c r="G31" s="642">
        <f>G27+G30</f>
        <v>13324.6</v>
      </c>
      <c r="H31" s="2431"/>
      <c r="I31" s="2431"/>
      <c r="J31" s="2431"/>
      <c r="K31" s="2431"/>
      <c r="L31" s="2431"/>
      <c r="M31" s="2431"/>
      <c r="N31" s="2431"/>
      <c r="O31" s="2431"/>
      <c r="P31" s="2431"/>
    </row>
    <row r="32" spans="1:19" ht="14.4">
      <c r="A32" s="1521"/>
      <c r="B32" s="1521" t="s">
        <v>1159</v>
      </c>
      <c r="C32" s="1521"/>
      <c r="D32" s="1521"/>
      <c r="E32" s="985">
        <f>SUMIF(C19:C26,"*住宅*",E19:E26)</f>
        <v>22498.01</v>
      </c>
      <c r="F32" s="1521"/>
      <c r="G32" s="1521"/>
      <c r="H32" s="2431"/>
      <c r="I32" s="2431"/>
      <c r="J32" s="2431"/>
      <c r="K32" s="2431"/>
      <c r="L32" s="2431"/>
      <c r="M32" s="2431"/>
      <c r="N32" s="2431"/>
      <c r="O32" s="2431"/>
      <c r="P32" s="2431"/>
    </row>
    <row r="33" spans="4:6">
      <c r="D33" s="1553"/>
    </row>
    <row r="36" spans="4:6">
      <c r="F36" s="1517">
        <v>37530.400000000001</v>
      </c>
    </row>
    <row r="37" spans="4:6">
      <c r="F37" s="1517">
        <f>F36+G20+G21</f>
        <v>50855</v>
      </c>
    </row>
    <row r="38" spans="4:6">
      <c r="F38" s="1517">
        <v>12289.97</v>
      </c>
    </row>
    <row r="39" spans="4:6">
      <c r="F39" s="1517">
        <f>F37+F38</f>
        <v>63144.97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9"/>
  <sheetViews>
    <sheetView workbookViewId="0">
      <selection activeCell="G10" sqref="G10"/>
    </sheetView>
  </sheetViews>
  <sheetFormatPr defaultRowHeight="14.4"/>
  <cols>
    <col min="2" max="2" width="9" style="3200"/>
    <col min="3" max="3" width="12.33203125" style="3200" customWidth="1"/>
    <col min="4" max="5" width="9" style="3200"/>
    <col min="6" max="6" width="9" style="3199"/>
  </cols>
  <sheetData>
    <row r="1" spans="1:6" ht="63" thickBot="1">
      <c r="A1" s="3201" t="s">
        <v>3856</v>
      </c>
      <c r="B1" s="3203" t="s">
        <v>3857</v>
      </c>
      <c r="C1" s="3203" t="s">
        <v>3858</v>
      </c>
      <c r="D1" s="3203" t="s">
        <v>3925</v>
      </c>
      <c r="E1" s="3203" t="s">
        <v>3859</v>
      </c>
      <c r="F1" s="3204" t="s">
        <v>3922</v>
      </c>
    </row>
    <row r="2" spans="1:6">
      <c r="A2" s="3298">
        <v>4712185192093</v>
      </c>
      <c r="B2" s="3203" t="s">
        <v>3860</v>
      </c>
      <c r="C2" s="3205" t="s">
        <v>3861</v>
      </c>
      <c r="D2" s="3205">
        <v>105.62</v>
      </c>
      <c r="E2" s="3203">
        <v>25.6</v>
      </c>
      <c r="F2" s="3206" t="s">
        <v>2548</v>
      </c>
    </row>
    <row r="3" spans="1:6">
      <c r="A3" s="3296"/>
      <c r="B3" s="3203" t="s">
        <v>3860</v>
      </c>
      <c r="C3" s="3205" t="s">
        <v>3862</v>
      </c>
      <c r="D3" s="3205">
        <v>117.53</v>
      </c>
      <c r="E3" s="3203">
        <v>28.49</v>
      </c>
      <c r="F3" s="3206" t="s">
        <v>2548</v>
      </c>
    </row>
    <row r="4" spans="1:6">
      <c r="A4" s="3296"/>
      <c r="B4" s="3203" t="s">
        <v>3860</v>
      </c>
      <c r="C4" s="3205" t="s">
        <v>3863</v>
      </c>
      <c r="D4" s="3205">
        <v>134.19999999999999</v>
      </c>
      <c r="E4" s="3203">
        <v>32.53</v>
      </c>
      <c r="F4" s="3206" t="s">
        <v>2548</v>
      </c>
    </row>
    <row r="5" spans="1:6">
      <c r="A5" s="3296"/>
      <c r="B5" s="3203" t="s">
        <v>3860</v>
      </c>
      <c r="C5" s="3205" t="s">
        <v>3864</v>
      </c>
      <c r="D5" s="3205">
        <v>132.35</v>
      </c>
      <c r="E5" s="3203">
        <v>32.08</v>
      </c>
      <c r="F5" s="3206" t="s">
        <v>2548</v>
      </c>
    </row>
    <row r="6" spans="1:6">
      <c r="A6" s="3296"/>
      <c r="B6" s="3203" t="s">
        <v>3860</v>
      </c>
      <c r="C6" s="3205" t="s">
        <v>3865</v>
      </c>
      <c r="D6" s="3205">
        <v>132.35</v>
      </c>
      <c r="E6" s="3203">
        <v>32.08</v>
      </c>
      <c r="F6" s="3206" t="s">
        <v>2548</v>
      </c>
    </row>
    <row r="7" spans="1:6">
      <c r="A7" s="3296"/>
      <c r="B7" s="3203" t="s">
        <v>3860</v>
      </c>
      <c r="C7" s="3205" t="s">
        <v>3866</v>
      </c>
      <c r="D7" s="3205">
        <v>132.35</v>
      </c>
      <c r="E7" s="3203">
        <v>32.08</v>
      </c>
      <c r="F7" s="3206" t="s">
        <v>2548</v>
      </c>
    </row>
    <row r="8" spans="1:6">
      <c r="A8" s="3296"/>
      <c r="B8" s="3203" t="s">
        <v>3860</v>
      </c>
      <c r="C8" s="3205" t="s">
        <v>3867</v>
      </c>
      <c r="D8" s="3205">
        <v>132.35</v>
      </c>
      <c r="E8" s="3203">
        <v>32.08</v>
      </c>
      <c r="F8" s="3206" t="s">
        <v>2548</v>
      </c>
    </row>
    <row r="9" spans="1:6">
      <c r="A9" s="3296"/>
      <c r="B9" s="3203" t="s">
        <v>3860</v>
      </c>
      <c r="C9" s="3205" t="s">
        <v>3868</v>
      </c>
      <c r="D9" s="3205">
        <v>105.67</v>
      </c>
      <c r="E9" s="3203">
        <v>25.61</v>
      </c>
      <c r="F9" s="3206" t="s">
        <v>2548</v>
      </c>
    </row>
    <row r="10" spans="1:6">
      <c r="A10" s="3296"/>
      <c r="B10" s="3203" t="s">
        <v>3860</v>
      </c>
      <c r="C10" s="3205" t="s">
        <v>3869</v>
      </c>
      <c r="D10" s="3205">
        <v>132.35</v>
      </c>
      <c r="E10" s="3203">
        <v>32.08</v>
      </c>
      <c r="F10" s="3206" t="s">
        <v>2548</v>
      </c>
    </row>
    <row r="11" spans="1:6">
      <c r="A11" s="3296"/>
      <c r="B11" s="3203" t="s">
        <v>3860</v>
      </c>
      <c r="C11" s="3205" t="s">
        <v>3870</v>
      </c>
      <c r="D11" s="3205">
        <v>132.35</v>
      </c>
      <c r="E11" s="3203">
        <v>32.08</v>
      </c>
      <c r="F11" s="3206" t="s">
        <v>2548</v>
      </c>
    </row>
    <row r="12" spans="1:6">
      <c r="A12" s="3296"/>
      <c r="B12" s="3203" t="s">
        <v>3860</v>
      </c>
      <c r="C12" s="3205" t="s">
        <v>3871</v>
      </c>
      <c r="D12" s="3205">
        <v>132.35</v>
      </c>
      <c r="E12" s="3203">
        <v>32.08</v>
      </c>
      <c r="F12" s="3206" t="s">
        <v>2548</v>
      </c>
    </row>
    <row r="13" spans="1:6">
      <c r="A13" s="3296"/>
      <c r="B13" s="3203" t="s">
        <v>3860</v>
      </c>
      <c r="C13" s="3205" t="s">
        <v>3872</v>
      </c>
      <c r="D13" s="3205">
        <v>132.35</v>
      </c>
      <c r="E13" s="3203">
        <v>32.08</v>
      </c>
      <c r="F13" s="3206" t="s">
        <v>2548</v>
      </c>
    </row>
    <row r="14" spans="1:6">
      <c r="A14" s="3296"/>
      <c r="B14" s="3203" t="s">
        <v>3860</v>
      </c>
      <c r="C14" s="3205" t="s">
        <v>3873</v>
      </c>
      <c r="D14" s="3205">
        <v>132.35</v>
      </c>
      <c r="E14" s="3203">
        <v>32.08</v>
      </c>
      <c r="F14" s="3206" t="s">
        <v>2548</v>
      </c>
    </row>
    <row r="15" spans="1:6">
      <c r="A15" s="3296"/>
      <c r="B15" s="3203" t="s">
        <v>3860</v>
      </c>
      <c r="C15" s="3205" t="s">
        <v>3874</v>
      </c>
      <c r="D15" s="3205">
        <v>132.35</v>
      </c>
      <c r="E15" s="3203">
        <v>32.08</v>
      </c>
      <c r="F15" s="3206" t="s">
        <v>2548</v>
      </c>
    </row>
    <row r="16" spans="1:6">
      <c r="A16" s="3296"/>
      <c r="B16" s="3203" t="s">
        <v>3860</v>
      </c>
      <c r="C16" s="3205" t="s">
        <v>3875</v>
      </c>
      <c r="D16" s="3205">
        <v>117.53</v>
      </c>
      <c r="E16" s="3203">
        <v>28.49</v>
      </c>
      <c r="F16" s="3206" t="s">
        <v>2548</v>
      </c>
    </row>
    <row r="17" spans="1:6">
      <c r="A17" s="3296"/>
      <c r="B17" s="3203" t="s">
        <v>3860</v>
      </c>
      <c r="C17" s="3205" t="s">
        <v>3876</v>
      </c>
      <c r="D17" s="3205">
        <v>113.67</v>
      </c>
      <c r="E17" s="3203">
        <v>27.55</v>
      </c>
      <c r="F17" s="3206" t="s">
        <v>2548</v>
      </c>
    </row>
    <row r="18" spans="1:6">
      <c r="A18" s="3296"/>
      <c r="B18" s="3203" t="s">
        <v>3860</v>
      </c>
      <c r="C18" s="3205" t="s">
        <v>3877</v>
      </c>
      <c r="D18" s="3205">
        <v>134.19999999999999</v>
      </c>
      <c r="E18" s="3203">
        <v>32.53</v>
      </c>
      <c r="F18" s="3206" t="s">
        <v>2548</v>
      </c>
    </row>
    <row r="19" spans="1:6">
      <c r="A19" s="3296"/>
      <c r="B19" s="3203" t="s">
        <v>3860</v>
      </c>
      <c r="C19" s="3205" t="s">
        <v>3878</v>
      </c>
      <c r="D19" s="3205">
        <v>113.73</v>
      </c>
      <c r="E19" s="3203">
        <v>27.57</v>
      </c>
      <c r="F19" s="3206" t="s">
        <v>2548</v>
      </c>
    </row>
    <row r="20" spans="1:6">
      <c r="A20" s="3296"/>
      <c r="B20" s="3203" t="s">
        <v>3860</v>
      </c>
      <c r="C20" s="3205" t="s">
        <v>3879</v>
      </c>
      <c r="D20" s="3205">
        <v>132.35</v>
      </c>
      <c r="E20" s="3203">
        <v>32.08</v>
      </c>
      <c r="F20" s="3206" t="s">
        <v>2548</v>
      </c>
    </row>
    <row r="21" spans="1:6">
      <c r="A21" s="3296"/>
      <c r="B21" s="3203" t="s">
        <v>3860</v>
      </c>
      <c r="C21" s="3205" t="s">
        <v>3880</v>
      </c>
      <c r="D21" s="3205">
        <v>132.35</v>
      </c>
      <c r="E21" s="3203">
        <v>32.08</v>
      </c>
      <c r="F21" s="3206" t="s">
        <v>2548</v>
      </c>
    </row>
    <row r="22" spans="1:6">
      <c r="A22" s="3296"/>
      <c r="B22" s="3203" t="s">
        <v>3860</v>
      </c>
      <c r="C22" s="3205" t="s">
        <v>3881</v>
      </c>
      <c r="D22" s="3205">
        <v>113.77</v>
      </c>
      <c r="E22" s="3203">
        <v>27.58</v>
      </c>
      <c r="F22" s="3206" t="s">
        <v>2548</v>
      </c>
    </row>
    <row r="23" spans="1:6">
      <c r="A23" s="3296"/>
      <c r="B23" s="3203" t="s">
        <v>3860</v>
      </c>
      <c r="C23" s="3205" t="s">
        <v>3882</v>
      </c>
      <c r="D23" s="3205">
        <v>132.35</v>
      </c>
      <c r="E23" s="3203">
        <v>32.08</v>
      </c>
      <c r="F23" s="3206" t="s">
        <v>2548</v>
      </c>
    </row>
    <row r="24" spans="1:6">
      <c r="A24" s="3296"/>
      <c r="B24" s="3203" t="s">
        <v>3860</v>
      </c>
      <c r="C24" s="3205" t="s">
        <v>3883</v>
      </c>
      <c r="D24" s="3205">
        <v>113.77</v>
      </c>
      <c r="E24" s="3203">
        <v>27.58</v>
      </c>
      <c r="F24" s="3206" t="s">
        <v>2548</v>
      </c>
    </row>
    <row r="25" spans="1:6">
      <c r="A25" s="3296"/>
      <c r="B25" s="3203" t="s">
        <v>3860</v>
      </c>
      <c r="C25" s="3205" t="s">
        <v>3884</v>
      </c>
      <c r="D25" s="3205">
        <v>132.35</v>
      </c>
      <c r="E25" s="3203">
        <v>32.08</v>
      </c>
      <c r="F25" s="3206" t="s">
        <v>2548</v>
      </c>
    </row>
    <row r="26" spans="1:6">
      <c r="A26" s="3296"/>
      <c r="B26" s="3203" t="s">
        <v>3860</v>
      </c>
      <c r="C26" s="3205" t="s">
        <v>3885</v>
      </c>
      <c r="D26" s="3205">
        <v>113.77</v>
      </c>
      <c r="E26" s="3203">
        <v>27.58</v>
      </c>
      <c r="F26" s="3206" t="s">
        <v>2548</v>
      </c>
    </row>
    <row r="27" spans="1:6">
      <c r="A27" s="3296"/>
      <c r="B27" s="3203" t="s">
        <v>3860</v>
      </c>
      <c r="C27" s="3205" t="s">
        <v>3886</v>
      </c>
      <c r="D27" s="3205">
        <v>132.35</v>
      </c>
      <c r="E27" s="3203">
        <v>32.08</v>
      </c>
      <c r="F27" s="3206" t="s">
        <v>2548</v>
      </c>
    </row>
    <row r="28" spans="1:6">
      <c r="A28" s="3296"/>
      <c r="B28" s="3203" t="s">
        <v>3860</v>
      </c>
      <c r="C28" s="3205" t="s">
        <v>3887</v>
      </c>
      <c r="D28" s="3205">
        <v>132.35</v>
      </c>
      <c r="E28" s="3203">
        <v>32.08</v>
      </c>
      <c r="F28" s="3206" t="s">
        <v>2548</v>
      </c>
    </row>
    <row r="29" spans="1:6">
      <c r="A29" s="3296"/>
      <c r="B29" s="3203" t="s">
        <v>3860</v>
      </c>
      <c r="C29" s="3205" t="s">
        <v>3888</v>
      </c>
      <c r="D29" s="3205">
        <v>113.77</v>
      </c>
      <c r="E29" s="3203">
        <v>27.58</v>
      </c>
      <c r="F29" s="3206" t="s">
        <v>2548</v>
      </c>
    </row>
    <row r="30" spans="1:6">
      <c r="A30" s="3296"/>
      <c r="B30" s="3203" t="s">
        <v>3860</v>
      </c>
      <c r="C30" s="3205" t="s">
        <v>3889</v>
      </c>
      <c r="D30" s="3205">
        <v>132.35</v>
      </c>
      <c r="E30" s="3203">
        <v>32.08</v>
      </c>
      <c r="F30" s="3206" t="s">
        <v>2548</v>
      </c>
    </row>
    <row r="31" spans="1:6">
      <c r="A31" s="3296"/>
      <c r="B31" s="3203" t="s">
        <v>3860</v>
      </c>
      <c r="C31" s="3205" t="s">
        <v>3890</v>
      </c>
      <c r="D31" s="3205">
        <v>113.77</v>
      </c>
      <c r="E31" s="3203">
        <v>27.58</v>
      </c>
      <c r="F31" s="3206" t="s">
        <v>2548</v>
      </c>
    </row>
    <row r="32" spans="1:6">
      <c r="A32" s="3296"/>
      <c r="B32" s="3203" t="s">
        <v>3860</v>
      </c>
      <c r="C32" s="3205" t="s">
        <v>3891</v>
      </c>
      <c r="D32" s="3205">
        <v>132.35</v>
      </c>
      <c r="E32" s="3203">
        <v>32.08</v>
      </c>
      <c r="F32" s="3206" t="s">
        <v>2548</v>
      </c>
    </row>
    <row r="33" spans="1:6">
      <c r="A33" s="3296"/>
      <c r="B33" s="3203" t="s">
        <v>3860</v>
      </c>
      <c r="C33" s="3205" t="s">
        <v>3892</v>
      </c>
      <c r="D33" s="3205">
        <v>113.77</v>
      </c>
      <c r="E33" s="3203">
        <v>27.58</v>
      </c>
      <c r="F33" s="3206" t="s">
        <v>2548</v>
      </c>
    </row>
    <row r="34" spans="1:6">
      <c r="A34" s="3296"/>
      <c r="B34" s="3203" t="s">
        <v>3860</v>
      </c>
      <c r="C34" s="3205" t="s">
        <v>3893</v>
      </c>
      <c r="D34" s="3205">
        <v>132.35</v>
      </c>
      <c r="E34" s="3203">
        <v>32.08</v>
      </c>
      <c r="F34" s="3206" t="s">
        <v>2548</v>
      </c>
    </row>
    <row r="35" spans="1:6">
      <c r="A35" s="3296"/>
      <c r="B35" s="3203" t="s">
        <v>3860</v>
      </c>
      <c r="C35" s="3205" t="s">
        <v>3894</v>
      </c>
      <c r="D35" s="3205">
        <v>113.77</v>
      </c>
      <c r="E35" s="3203">
        <v>27.58</v>
      </c>
      <c r="F35" s="3206" t="s">
        <v>2548</v>
      </c>
    </row>
    <row r="36" spans="1:6">
      <c r="A36" s="3296"/>
      <c r="B36" s="3203" t="s">
        <v>3860</v>
      </c>
      <c r="C36" s="3205" t="s">
        <v>3895</v>
      </c>
      <c r="D36" s="3205">
        <v>132.35</v>
      </c>
      <c r="E36" s="3203">
        <v>32.08</v>
      </c>
      <c r="F36" s="3206" t="s">
        <v>2548</v>
      </c>
    </row>
    <row r="37" spans="1:6">
      <c r="A37" s="3296"/>
      <c r="B37" s="3203" t="s">
        <v>3860</v>
      </c>
      <c r="C37" s="3205" t="s">
        <v>3896</v>
      </c>
      <c r="D37" s="3205">
        <v>113.77</v>
      </c>
      <c r="E37" s="3203">
        <v>27.58</v>
      </c>
      <c r="F37" s="3206" t="s">
        <v>2548</v>
      </c>
    </row>
    <row r="38" spans="1:6">
      <c r="A38" s="3296"/>
      <c r="B38" s="3203" t="s">
        <v>3860</v>
      </c>
      <c r="C38" s="3205">
        <v>-101</v>
      </c>
      <c r="D38" s="3205">
        <v>116.55</v>
      </c>
      <c r="E38" s="3203">
        <v>28.25</v>
      </c>
      <c r="F38" s="3206" t="s">
        <v>3923</v>
      </c>
    </row>
    <row r="39" spans="1:6">
      <c r="A39" s="3296"/>
      <c r="B39" s="3203" t="s">
        <v>3860</v>
      </c>
      <c r="C39" s="3205">
        <v>-102</v>
      </c>
      <c r="D39" s="3205">
        <v>44.35</v>
      </c>
      <c r="E39" s="3203">
        <v>10.75</v>
      </c>
      <c r="F39" s="3206" t="s">
        <v>3923</v>
      </c>
    </row>
    <row r="40" spans="1:6">
      <c r="A40" s="3296"/>
      <c r="B40" s="3203" t="s">
        <v>3860</v>
      </c>
      <c r="C40" s="3205">
        <v>-103</v>
      </c>
      <c r="D40" s="3205">
        <v>68.209999999999994</v>
      </c>
      <c r="E40" s="3203">
        <v>16.53</v>
      </c>
      <c r="F40" s="3206" t="s">
        <v>3923</v>
      </c>
    </row>
    <row r="41" spans="1:6">
      <c r="A41" s="3296"/>
      <c r="B41" s="3203" t="s">
        <v>3860</v>
      </c>
      <c r="C41" s="3205">
        <v>-104</v>
      </c>
      <c r="D41" s="3205">
        <v>68.209999999999994</v>
      </c>
      <c r="E41" s="3203">
        <v>16.53</v>
      </c>
      <c r="F41" s="3206" t="s">
        <v>3923</v>
      </c>
    </row>
    <row r="42" spans="1:6">
      <c r="A42" s="3296"/>
      <c r="B42" s="3203" t="s">
        <v>3860</v>
      </c>
      <c r="C42" s="3205">
        <v>-105</v>
      </c>
      <c r="D42" s="3205">
        <v>52.71</v>
      </c>
      <c r="E42" s="3203">
        <v>12.78</v>
      </c>
      <c r="F42" s="3206" t="s">
        <v>3923</v>
      </c>
    </row>
    <row r="43" spans="1:6">
      <c r="A43" s="3296"/>
      <c r="B43" s="3203" t="s">
        <v>3860</v>
      </c>
      <c r="C43" s="3205">
        <v>-106</v>
      </c>
      <c r="D43" s="3205">
        <v>128.63</v>
      </c>
      <c r="E43" s="3203">
        <v>31.18</v>
      </c>
      <c r="F43" s="3206" t="s">
        <v>3923</v>
      </c>
    </row>
    <row r="44" spans="1:6" ht="15" thickBot="1">
      <c r="A44" s="3297"/>
      <c r="B44" s="3203" t="s">
        <v>3926</v>
      </c>
      <c r="C44" s="3205"/>
      <c r="D44" s="3205">
        <f>SUM(D2:D43)</f>
        <v>4977.9700000000012</v>
      </c>
      <c r="E44" s="3205">
        <f>SUM(E2:E43)</f>
        <v>1206.6300000000003</v>
      </c>
      <c r="F44" s="3206" t="s">
        <v>3933</v>
      </c>
    </row>
    <row r="45" spans="1:6">
      <c r="A45" s="3295">
        <v>4712185193090</v>
      </c>
      <c r="B45" s="3203" t="s">
        <v>3897</v>
      </c>
      <c r="C45" s="3205" t="s">
        <v>3861</v>
      </c>
      <c r="D45" s="3205">
        <v>105.65</v>
      </c>
      <c r="E45" s="3203">
        <v>25.61</v>
      </c>
      <c r="F45" s="3206" t="s">
        <v>2548</v>
      </c>
    </row>
    <row r="46" spans="1:6">
      <c r="A46" s="3296"/>
      <c r="B46" s="3203" t="s">
        <v>3897</v>
      </c>
      <c r="C46" s="3205" t="s">
        <v>3862</v>
      </c>
      <c r="D46" s="3205">
        <v>132.32</v>
      </c>
      <c r="E46" s="3203">
        <v>32.07</v>
      </c>
      <c r="F46" s="3206" t="s">
        <v>2548</v>
      </c>
    </row>
    <row r="47" spans="1:6">
      <c r="A47" s="3296"/>
      <c r="B47" s="3203" t="s">
        <v>3897</v>
      </c>
      <c r="C47" s="3205" t="s">
        <v>3898</v>
      </c>
      <c r="D47" s="3205">
        <v>105.65</v>
      </c>
      <c r="E47" s="3203">
        <v>25.61</v>
      </c>
      <c r="F47" s="3206" t="s">
        <v>2548</v>
      </c>
    </row>
    <row r="48" spans="1:6">
      <c r="A48" s="3296"/>
      <c r="B48" s="3203" t="s">
        <v>3897</v>
      </c>
      <c r="C48" s="3205" t="s">
        <v>3863</v>
      </c>
      <c r="D48" s="3205">
        <v>132.32</v>
      </c>
      <c r="E48" s="3203">
        <v>32.07</v>
      </c>
      <c r="F48" s="3206" t="s">
        <v>2548</v>
      </c>
    </row>
    <row r="49" spans="1:6">
      <c r="A49" s="3296"/>
      <c r="B49" s="3203" t="s">
        <v>3897</v>
      </c>
      <c r="C49" s="3205" t="s">
        <v>3864</v>
      </c>
      <c r="D49" s="3205">
        <v>132.32</v>
      </c>
      <c r="E49" s="3203">
        <v>32.07</v>
      </c>
      <c r="F49" s="3206" t="s">
        <v>2548</v>
      </c>
    </row>
    <row r="50" spans="1:6">
      <c r="A50" s="3296"/>
      <c r="B50" s="3203" t="s">
        <v>3897</v>
      </c>
      <c r="C50" s="3205" t="s">
        <v>3865</v>
      </c>
      <c r="D50" s="3205">
        <v>132.32</v>
      </c>
      <c r="E50" s="3203">
        <v>32.07</v>
      </c>
      <c r="F50" s="3206" t="s">
        <v>2548</v>
      </c>
    </row>
    <row r="51" spans="1:6">
      <c r="A51" s="3296"/>
      <c r="B51" s="3203" t="s">
        <v>3897</v>
      </c>
      <c r="C51" s="3205" t="s">
        <v>3874</v>
      </c>
      <c r="D51" s="3205">
        <v>132.32</v>
      </c>
      <c r="E51" s="3203">
        <v>32.07</v>
      </c>
      <c r="F51" s="3206" t="s">
        <v>2548</v>
      </c>
    </row>
    <row r="52" spans="1:6">
      <c r="A52" s="3296"/>
      <c r="B52" s="3203" t="s">
        <v>3897</v>
      </c>
      <c r="C52" s="3205" t="s">
        <v>3875</v>
      </c>
      <c r="D52" s="3205">
        <v>132.32</v>
      </c>
      <c r="E52" s="3203">
        <v>32.07</v>
      </c>
      <c r="F52" s="3206" t="s">
        <v>2548</v>
      </c>
    </row>
    <row r="53" spans="1:6">
      <c r="A53" s="3296"/>
      <c r="B53" s="3203" t="s">
        <v>3897</v>
      </c>
      <c r="C53" s="3205" t="s">
        <v>3876</v>
      </c>
      <c r="D53" s="3205">
        <v>113.33</v>
      </c>
      <c r="E53" s="3203">
        <v>27.47</v>
      </c>
      <c r="F53" s="3206" t="s">
        <v>2548</v>
      </c>
    </row>
    <row r="54" spans="1:6">
      <c r="A54" s="3296"/>
      <c r="B54" s="3203" t="s">
        <v>3897</v>
      </c>
      <c r="C54" s="3205" t="s">
        <v>3877</v>
      </c>
      <c r="D54" s="3205">
        <v>132.32</v>
      </c>
      <c r="E54" s="3203">
        <v>32.07</v>
      </c>
      <c r="F54" s="3206" t="s">
        <v>2548</v>
      </c>
    </row>
    <row r="55" spans="1:6">
      <c r="A55" s="3296"/>
      <c r="B55" s="3203" t="s">
        <v>3897</v>
      </c>
      <c r="C55" s="3205" t="s">
        <v>3878</v>
      </c>
      <c r="D55" s="3205">
        <v>113.74</v>
      </c>
      <c r="E55" s="3203">
        <v>27.57</v>
      </c>
      <c r="F55" s="3206" t="s">
        <v>2548</v>
      </c>
    </row>
    <row r="56" spans="1:6">
      <c r="A56" s="3296"/>
      <c r="B56" s="3203" t="s">
        <v>3897</v>
      </c>
      <c r="C56" s="3205" t="s">
        <v>3879</v>
      </c>
      <c r="D56" s="3205">
        <v>132.32</v>
      </c>
      <c r="E56" s="3203">
        <v>32.07</v>
      </c>
      <c r="F56" s="3206" t="s">
        <v>2548</v>
      </c>
    </row>
    <row r="57" spans="1:6">
      <c r="A57" s="3296"/>
      <c r="B57" s="3203" t="s">
        <v>3897</v>
      </c>
      <c r="C57" s="3205" t="s">
        <v>3899</v>
      </c>
      <c r="D57" s="3205">
        <v>113.74</v>
      </c>
      <c r="E57" s="3203">
        <v>27.57</v>
      </c>
      <c r="F57" s="3206" t="s">
        <v>2548</v>
      </c>
    </row>
    <row r="58" spans="1:6">
      <c r="A58" s="3296"/>
      <c r="B58" s="3203" t="s">
        <v>3897</v>
      </c>
      <c r="C58" s="3205" t="s">
        <v>3880</v>
      </c>
      <c r="D58" s="3205">
        <v>132.32</v>
      </c>
      <c r="E58" s="3203">
        <v>32.07</v>
      </c>
      <c r="F58" s="3206" t="s">
        <v>2548</v>
      </c>
    </row>
    <row r="59" spans="1:6">
      <c r="A59" s="3296"/>
      <c r="B59" s="3203" t="s">
        <v>3897</v>
      </c>
      <c r="C59" s="3205" t="s">
        <v>3882</v>
      </c>
      <c r="D59" s="3205">
        <v>132.32</v>
      </c>
      <c r="E59" s="3203">
        <v>32.07</v>
      </c>
      <c r="F59" s="3206" t="s">
        <v>2548</v>
      </c>
    </row>
    <row r="60" spans="1:6">
      <c r="A60" s="3296"/>
      <c r="B60" s="3203" t="s">
        <v>3897</v>
      </c>
      <c r="C60" s="3205" t="s">
        <v>3900</v>
      </c>
      <c r="D60" s="3205">
        <v>113.74</v>
      </c>
      <c r="E60" s="3203">
        <v>27.57</v>
      </c>
      <c r="F60" s="3206" t="s">
        <v>2548</v>
      </c>
    </row>
    <row r="61" spans="1:6">
      <c r="A61" s="3296"/>
      <c r="B61" s="3203" t="s">
        <v>3897</v>
      </c>
      <c r="C61" s="3205" t="s">
        <v>3888</v>
      </c>
      <c r="D61" s="3205">
        <v>113.74</v>
      </c>
      <c r="E61" s="3203">
        <v>27.57</v>
      </c>
      <c r="F61" s="3206" t="s">
        <v>2548</v>
      </c>
    </row>
    <row r="62" spans="1:6">
      <c r="A62" s="3296"/>
      <c r="B62" s="3203" t="s">
        <v>3897</v>
      </c>
      <c r="C62" s="3205" t="s">
        <v>3894</v>
      </c>
      <c r="D62" s="3205">
        <v>113.74</v>
      </c>
      <c r="E62" s="3203">
        <v>27.57</v>
      </c>
      <c r="F62" s="3206" t="s">
        <v>2548</v>
      </c>
    </row>
    <row r="63" spans="1:6">
      <c r="A63" s="3296"/>
      <c r="B63" s="3203" t="s">
        <v>3897</v>
      </c>
      <c r="C63" s="3205" t="s">
        <v>3895</v>
      </c>
      <c r="D63" s="3205">
        <v>132.32</v>
      </c>
      <c r="E63" s="3203">
        <v>32.07</v>
      </c>
      <c r="F63" s="3206" t="s">
        <v>2548</v>
      </c>
    </row>
    <row r="64" spans="1:6">
      <c r="A64" s="3296"/>
      <c r="B64" s="3203" t="s">
        <v>3897</v>
      </c>
      <c r="C64" s="3205" t="s">
        <v>3896</v>
      </c>
      <c r="D64" s="3205">
        <v>113.74</v>
      </c>
      <c r="E64" s="3203">
        <v>27.57</v>
      </c>
      <c r="F64" s="3206" t="s">
        <v>2548</v>
      </c>
    </row>
    <row r="65" spans="1:6">
      <c r="A65" s="3296"/>
      <c r="B65" s="3203" t="s">
        <v>3897</v>
      </c>
      <c r="C65" s="3205">
        <v>-101</v>
      </c>
      <c r="D65" s="3205">
        <v>112.9</v>
      </c>
      <c r="E65" s="3203">
        <v>27.36</v>
      </c>
      <c r="F65" s="3206" t="s">
        <v>3923</v>
      </c>
    </row>
    <row r="66" spans="1:6">
      <c r="A66" s="3296"/>
      <c r="B66" s="3203" t="s">
        <v>3897</v>
      </c>
      <c r="C66" s="3205">
        <v>-102</v>
      </c>
      <c r="D66" s="3205">
        <v>43.36</v>
      </c>
      <c r="E66" s="3203">
        <v>10.51</v>
      </c>
      <c r="F66" s="3206" t="s">
        <v>3923</v>
      </c>
    </row>
    <row r="67" spans="1:6">
      <c r="A67" s="3296"/>
      <c r="B67" s="3203" t="s">
        <v>3897</v>
      </c>
      <c r="C67" s="3205">
        <v>-103</v>
      </c>
      <c r="D67" s="3205">
        <v>67.08</v>
      </c>
      <c r="E67" s="3203">
        <v>16.260000000000002</v>
      </c>
      <c r="F67" s="3206" t="s">
        <v>3923</v>
      </c>
    </row>
    <row r="68" spans="1:6">
      <c r="A68" s="3296"/>
      <c r="B68" s="3203" t="s">
        <v>3897</v>
      </c>
      <c r="C68" s="3205">
        <v>-104</v>
      </c>
      <c r="D68" s="3205">
        <v>67.08</v>
      </c>
      <c r="E68" s="3203">
        <v>16.260000000000002</v>
      </c>
      <c r="F68" s="3206" t="s">
        <v>3923</v>
      </c>
    </row>
    <row r="69" spans="1:6">
      <c r="A69" s="3296"/>
      <c r="B69" s="3203" t="s">
        <v>3897</v>
      </c>
      <c r="C69" s="3205">
        <v>-105</v>
      </c>
      <c r="D69" s="3205">
        <v>51.52</v>
      </c>
      <c r="E69" s="3203">
        <v>12.49</v>
      </c>
      <c r="F69" s="3206" t="s">
        <v>3923</v>
      </c>
    </row>
    <row r="70" spans="1:6">
      <c r="A70" s="3296"/>
      <c r="B70" s="3203" t="s">
        <v>3897</v>
      </c>
      <c r="C70" s="3205">
        <v>-106</v>
      </c>
      <c r="D70" s="3205">
        <v>129.03</v>
      </c>
      <c r="E70" s="3203">
        <v>31.27</v>
      </c>
      <c r="F70" s="3206" t="s">
        <v>3923</v>
      </c>
    </row>
    <row r="71" spans="1:6" ht="15" thickBot="1">
      <c r="A71" s="3299"/>
      <c r="B71" s="3203" t="s">
        <v>3927</v>
      </c>
      <c r="C71" s="3205"/>
      <c r="D71" s="3205">
        <f>SUM(D45:D70)</f>
        <v>2933.5599999999995</v>
      </c>
      <c r="E71" s="3205">
        <f>SUM(E45:E70)</f>
        <v>711.03</v>
      </c>
      <c r="F71" s="3206" t="s">
        <v>2548</v>
      </c>
    </row>
    <row r="72" spans="1:6">
      <c r="A72" s="3298">
        <v>4712185194097</v>
      </c>
      <c r="B72" s="3203" t="s">
        <v>3901</v>
      </c>
      <c r="C72" s="3205" t="s">
        <v>3861</v>
      </c>
      <c r="D72" s="3205">
        <v>88.62</v>
      </c>
      <c r="E72" s="3203">
        <v>21.48</v>
      </c>
      <c r="F72" s="3206" t="s">
        <v>2548</v>
      </c>
    </row>
    <row r="73" spans="1:6">
      <c r="A73" s="3296"/>
      <c r="B73" s="3203" t="s">
        <v>3901</v>
      </c>
      <c r="C73" s="3205" t="s">
        <v>3862</v>
      </c>
      <c r="D73" s="3205">
        <v>87.44</v>
      </c>
      <c r="E73" s="3203">
        <v>21.19</v>
      </c>
      <c r="F73" s="3206" t="s">
        <v>2548</v>
      </c>
    </row>
    <row r="74" spans="1:6">
      <c r="A74" s="3296"/>
      <c r="B74" s="3203" t="s">
        <v>3901</v>
      </c>
      <c r="C74" s="3205" t="s">
        <v>3863</v>
      </c>
      <c r="D74" s="3205">
        <v>87.44</v>
      </c>
      <c r="E74" s="3203">
        <v>21.19</v>
      </c>
      <c r="F74" s="3206" t="s">
        <v>2548</v>
      </c>
    </row>
    <row r="75" spans="1:6">
      <c r="A75" s="3296"/>
      <c r="B75" s="3203" t="s">
        <v>3901</v>
      </c>
      <c r="C75" s="3205" t="s">
        <v>3902</v>
      </c>
      <c r="D75" s="3205">
        <v>88.62</v>
      </c>
      <c r="E75" s="3203">
        <v>21.48</v>
      </c>
      <c r="F75" s="3206" t="s">
        <v>2548</v>
      </c>
    </row>
    <row r="76" spans="1:6">
      <c r="A76" s="3296"/>
      <c r="B76" s="3203" t="s">
        <v>3901</v>
      </c>
      <c r="C76" s="3205" t="s">
        <v>3875</v>
      </c>
      <c r="D76" s="3205">
        <v>87.44</v>
      </c>
      <c r="E76" s="3203">
        <v>21.19</v>
      </c>
      <c r="F76" s="3206" t="s">
        <v>2548</v>
      </c>
    </row>
    <row r="77" spans="1:6">
      <c r="A77" s="3296"/>
      <c r="B77" s="3203" t="s">
        <v>3901</v>
      </c>
      <c r="C77" s="3205" t="s">
        <v>3876</v>
      </c>
      <c r="D77" s="3205">
        <v>87.44</v>
      </c>
      <c r="E77" s="3203">
        <v>21.19</v>
      </c>
      <c r="F77" s="3206" t="s">
        <v>2548</v>
      </c>
    </row>
    <row r="78" spans="1:6">
      <c r="A78" s="3296"/>
      <c r="B78" s="3203" t="s">
        <v>3901</v>
      </c>
      <c r="C78" s="3205" t="s">
        <v>3885</v>
      </c>
      <c r="D78" s="3205">
        <v>87.44</v>
      </c>
      <c r="E78" s="3203">
        <v>21.19</v>
      </c>
      <c r="F78" s="3206" t="s">
        <v>2548</v>
      </c>
    </row>
    <row r="79" spans="1:6">
      <c r="A79" s="3296"/>
      <c r="B79" s="3203" t="s">
        <v>3901</v>
      </c>
      <c r="C79" s="3205" t="s">
        <v>3892</v>
      </c>
      <c r="D79" s="3205">
        <v>87.44</v>
      </c>
      <c r="E79" s="3203">
        <v>21.19</v>
      </c>
      <c r="F79" s="3206" t="s">
        <v>2548</v>
      </c>
    </row>
    <row r="80" spans="1:6">
      <c r="A80" s="3296"/>
      <c r="B80" s="3203" t="s">
        <v>3901</v>
      </c>
      <c r="C80" s="3205" t="s">
        <v>3903</v>
      </c>
      <c r="D80" s="3205">
        <v>87.44</v>
      </c>
      <c r="E80" s="3203">
        <v>21.19</v>
      </c>
      <c r="F80" s="3206" t="s">
        <v>2548</v>
      </c>
    </row>
    <row r="81" spans="1:6">
      <c r="A81" s="3296"/>
      <c r="B81" s="3203" t="s">
        <v>3901</v>
      </c>
      <c r="C81" s="3205" t="s">
        <v>3904</v>
      </c>
      <c r="D81" s="3205">
        <v>88.41</v>
      </c>
      <c r="E81" s="3203">
        <v>21.43</v>
      </c>
      <c r="F81" s="3206" t="s">
        <v>2548</v>
      </c>
    </row>
    <row r="82" spans="1:6">
      <c r="A82" s="3296"/>
      <c r="B82" s="3203" t="s">
        <v>3901</v>
      </c>
      <c r="C82" s="3205" t="s">
        <v>3905</v>
      </c>
      <c r="D82" s="3205">
        <v>87.44</v>
      </c>
      <c r="E82" s="3203">
        <v>21.19</v>
      </c>
      <c r="F82" s="3206" t="s">
        <v>2548</v>
      </c>
    </row>
    <row r="83" spans="1:6">
      <c r="A83" s="3296"/>
      <c r="B83" s="3203" t="s">
        <v>3901</v>
      </c>
      <c r="C83" s="3205">
        <v>-101</v>
      </c>
      <c r="D83" s="3205">
        <v>102.8</v>
      </c>
      <c r="E83" s="3203">
        <v>24.92</v>
      </c>
      <c r="F83" s="3206" t="s">
        <v>3923</v>
      </c>
    </row>
    <row r="84" spans="1:6">
      <c r="A84" s="3296"/>
      <c r="B84" s="3203" t="s">
        <v>3901</v>
      </c>
      <c r="C84" s="3205">
        <v>-102</v>
      </c>
      <c r="D84" s="3205">
        <v>68.790000000000006</v>
      </c>
      <c r="E84" s="3203">
        <v>16.670000000000002</v>
      </c>
      <c r="F84" s="3206" t="s">
        <v>3923</v>
      </c>
    </row>
    <row r="85" spans="1:6">
      <c r="A85" s="3296"/>
      <c r="B85" s="3203" t="s">
        <v>3901</v>
      </c>
      <c r="C85" s="3205">
        <v>-103</v>
      </c>
      <c r="D85" s="3205">
        <v>12.53</v>
      </c>
      <c r="E85" s="3203">
        <v>3.04</v>
      </c>
      <c r="F85" s="3206" t="s">
        <v>3923</v>
      </c>
    </row>
    <row r="86" spans="1:6">
      <c r="A86" s="3296"/>
      <c r="B86" s="3203" t="s">
        <v>3901</v>
      </c>
      <c r="C86" s="3205">
        <v>-104</v>
      </c>
      <c r="D86" s="3205">
        <v>7.4</v>
      </c>
      <c r="E86" s="3203">
        <v>1.79</v>
      </c>
      <c r="F86" s="3206" t="s">
        <v>3923</v>
      </c>
    </row>
    <row r="87" spans="1:6">
      <c r="A87" s="3296"/>
      <c r="B87" s="3203" t="s">
        <v>3901</v>
      </c>
      <c r="C87" s="3205">
        <v>-105</v>
      </c>
      <c r="D87" s="3205">
        <v>7.4</v>
      </c>
      <c r="E87" s="3203">
        <v>1.79</v>
      </c>
      <c r="F87" s="3206" t="s">
        <v>3923</v>
      </c>
    </row>
    <row r="88" spans="1:6">
      <c r="A88" s="3296"/>
      <c r="B88" s="3203" t="s">
        <v>3901</v>
      </c>
      <c r="C88" s="3205">
        <v>-106</v>
      </c>
      <c r="D88" s="3205">
        <v>12.53</v>
      </c>
      <c r="E88" s="3203">
        <v>3.04</v>
      </c>
      <c r="F88" s="3206" t="s">
        <v>3923</v>
      </c>
    </row>
    <row r="89" spans="1:6">
      <c r="A89" s="3296"/>
      <c r="B89" s="3203" t="s">
        <v>3901</v>
      </c>
      <c r="C89" s="3205">
        <v>-107</v>
      </c>
      <c r="D89" s="3205">
        <v>68.790000000000006</v>
      </c>
      <c r="E89" s="3203">
        <v>16.670000000000002</v>
      </c>
      <c r="F89" s="3206" t="s">
        <v>3923</v>
      </c>
    </row>
    <row r="90" spans="1:6">
      <c r="A90" s="3296"/>
      <c r="B90" s="3203" t="s">
        <v>3901</v>
      </c>
      <c r="C90" s="3205">
        <v>-108</v>
      </c>
      <c r="D90" s="3205">
        <v>68.989999999999995</v>
      </c>
      <c r="E90" s="3203">
        <v>16.72</v>
      </c>
      <c r="F90" s="3206" t="s">
        <v>3923</v>
      </c>
    </row>
    <row r="91" spans="1:6">
      <c r="A91" s="3296"/>
      <c r="B91" s="3203" t="s">
        <v>3901</v>
      </c>
      <c r="C91" s="3205">
        <v>-109</v>
      </c>
      <c r="D91" s="3205">
        <v>21.97</v>
      </c>
      <c r="E91" s="3203">
        <v>5.33</v>
      </c>
      <c r="F91" s="3206" t="s">
        <v>3923</v>
      </c>
    </row>
    <row r="92" spans="1:6">
      <c r="A92" s="3296"/>
      <c r="B92" s="3203" t="s">
        <v>3901</v>
      </c>
      <c r="C92" s="3205">
        <v>-110</v>
      </c>
      <c r="D92" s="3205">
        <v>12.53</v>
      </c>
      <c r="E92" s="3203">
        <v>3.04</v>
      </c>
      <c r="F92" s="3206" t="s">
        <v>3923</v>
      </c>
    </row>
    <row r="93" spans="1:6">
      <c r="A93" s="3296"/>
      <c r="B93" s="3203" t="s">
        <v>3901</v>
      </c>
      <c r="C93" s="3205">
        <v>-111</v>
      </c>
      <c r="D93" s="3205">
        <v>68.989999999999995</v>
      </c>
      <c r="E93" s="3203">
        <v>16.72</v>
      </c>
      <c r="F93" s="3206" t="s">
        <v>3923</v>
      </c>
    </row>
    <row r="94" spans="1:6">
      <c r="A94" s="3296"/>
      <c r="B94" s="3203" t="s">
        <v>3901</v>
      </c>
      <c r="C94" s="3205">
        <v>-112</v>
      </c>
      <c r="D94" s="3205">
        <v>103.63</v>
      </c>
      <c r="E94" s="3203">
        <v>25.12</v>
      </c>
      <c r="F94" s="3206" t="s">
        <v>3923</v>
      </c>
    </row>
    <row r="95" spans="1:6" ht="15" thickBot="1">
      <c r="A95" s="3299"/>
      <c r="B95" s="3203" t="s">
        <v>3928</v>
      </c>
      <c r="C95" s="3205"/>
      <c r="D95" s="3205">
        <f>SUM(D72:D94)</f>
        <v>1521.52</v>
      </c>
      <c r="E95" s="3205">
        <f>SUM(E72:E94)</f>
        <v>368.7600000000001</v>
      </c>
      <c r="F95" s="3206" t="s">
        <v>3933</v>
      </c>
    </row>
    <row r="96" spans="1:6">
      <c r="A96" s="3298">
        <v>4712185195094</v>
      </c>
      <c r="B96" s="3203" t="s">
        <v>3906</v>
      </c>
      <c r="C96" s="3205">
        <v>-101</v>
      </c>
      <c r="D96" s="3205">
        <v>110.86</v>
      </c>
      <c r="E96" s="3203">
        <v>26.87</v>
      </c>
      <c r="F96" s="3206" t="s">
        <v>3923</v>
      </c>
    </row>
    <row r="97" spans="1:6">
      <c r="A97" s="3296"/>
      <c r="B97" s="3203" t="s">
        <v>3906</v>
      </c>
      <c r="C97" s="3205">
        <v>101</v>
      </c>
      <c r="D97" s="3205">
        <v>117.3</v>
      </c>
      <c r="E97" s="3203">
        <v>28.43</v>
      </c>
      <c r="F97" s="3206" t="s">
        <v>2548</v>
      </c>
    </row>
    <row r="98" spans="1:6">
      <c r="A98" s="3296"/>
      <c r="B98" s="3203" t="s">
        <v>3906</v>
      </c>
      <c r="C98" s="3205">
        <v>102</v>
      </c>
      <c r="D98" s="3205">
        <v>73.099999999999994</v>
      </c>
      <c r="E98" s="3203">
        <v>17.72</v>
      </c>
      <c r="F98" s="3206" t="s">
        <v>2548</v>
      </c>
    </row>
    <row r="99" spans="1:6">
      <c r="A99" s="3296"/>
      <c r="B99" s="3203" t="s">
        <v>3906</v>
      </c>
      <c r="C99" s="3205">
        <v>103</v>
      </c>
      <c r="D99" s="3205">
        <v>74.900000000000006</v>
      </c>
      <c r="E99" s="3203">
        <v>18.149999999999999</v>
      </c>
      <c r="F99" s="3206" t="s">
        <v>2548</v>
      </c>
    </row>
    <row r="100" spans="1:6">
      <c r="A100" s="3296"/>
      <c r="B100" s="3203" t="s">
        <v>3906</v>
      </c>
      <c r="C100" s="3205">
        <v>104</v>
      </c>
      <c r="D100" s="3205">
        <v>117.53</v>
      </c>
      <c r="E100" s="3203">
        <v>28.49</v>
      </c>
      <c r="F100" s="3206" t="s">
        <v>2548</v>
      </c>
    </row>
    <row r="101" spans="1:6">
      <c r="A101" s="3296"/>
      <c r="B101" s="3203" t="s">
        <v>3906</v>
      </c>
      <c r="C101" s="3205">
        <v>201</v>
      </c>
      <c r="D101" s="3205">
        <v>117.3</v>
      </c>
      <c r="E101" s="3203">
        <v>28.43</v>
      </c>
      <c r="F101" s="3206" t="s">
        <v>2548</v>
      </c>
    </row>
    <row r="102" spans="1:6">
      <c r="A102" s="3296"/>
      <c r="B102" s="3203" t="s">
        <v>3906</v>
      </c>
      <c r="C102" s="3205">
        <v>204</v>
      </c>
      <c r="D102" s="3205">
        <v>117.53</v>
      </c>
      <c r="E102" s="3203">
        <v>28.49</v>
      </c>
      <c r="F102" s="3206" t="s">
        <v>2548</v>
      </c>
    </row>
    <row r="103" spans="1:6">
      <c r="A103" s="3296"/>
      <c r="B103" s="3203" t="s">
        <v>3906</v>
      </c>
      <c r="C103" s="3205">
        <v>301</v>
      </c>
      <c r="D103" s="3205">
        <v>117.56</v>
      </c>
      <c r="E103" s="3203">
        <v>28.49</v>
      </c>
      <c r="F103" s="3206" t="s">
        <v>2548</v>
      </c>
    </row>
    <row r="104" spans="1:6">
      <c r="A104" s="3296"/>
      <c r="B104" s="3203" t="s">
        <v>3906</v>
      </c>
      <c r="C104" s="3205">
        <v>304</v>
      </c>
      <c r="D104" s="3205">
        <v>117.53</v>
      </c>
      <c r="E104" s="3203">
        <v>28.49</v>
      </c>
      <c r="F104" s="3206" t="s">
        <v>2548</v>
      </c>
    </row>
    <row r="105" spans="1:6">
      <c r="A105" s="3296"/>
      <c r="B105" s="3203" t="s">
        <v>3906</v>
      </c>
      <c r="C105" s="3205">
        <v>401</v>
      </c>
      <c r="D105" s="3205">
        <v>117.56</v>
      </c>
      <c r="E105" s="3203">
        <v>28.49</v>
      </c>
      <c r="F105" s="3206" t="s">
        <v>2548</v>
      </c>
    </row>
    <row r="106" spans="1:6">
      <c r="A106" s="3296"/>
      <c r="B106" s="3203" t="s">
        <v>3906</v>
      </c>
      <c r="C106" s="3205">
        <v>403</v>
      </c>
      <c r="D106" s="3205">
        <v>74.900000000000006</v>
      </c>
      <c r="E106" s="3203">
        <v>18.149999999999999</v>
      </c>
      <c r="F106" s="3206" t="s">
        <v>2548</v>
      </c>
    </row>
    <row r="107" spans="1:6">
      <c r="A107" s="3296"/>
      <c r="B107" s="3203" t="s">
        <v>3906</v>
      </c>
      <c r="C107" s="3205">
        <v>404</v>
      </c>
      <c r="D107" s="3205">
        <v>117.53</v>
      </c>
      <c r="E107" s="3203">
        <v>28.49</v>
      </c>
      <c r="F107" s="3206" t="s">
        <v>2548</v>
      </c>
    </row>
    <row r="108" spans="1:6">
      <c r="A108" s="3296"/>
      <c r="B108" s="3203" t="s">
        <v>3906</v>
      </c>
      <c r="C108" s="3205">
        <v>501</v>
      </c>
      <c r="D108" s="3205">
        <v>117.56</v>
      </c>
      <c r="E108" s="3203">
        <v>28.49</v>
      </c>
      <c r="F108" s="3206" t="s">
        <v>2548</v>
      </c>
    </row>
    <row r="109" spans="1:6">
      <c r="A109" s="3296"/>
      <c r="B109" s="3203" t="s">
        <v>3906</v>
      </c>
      <c r="C109" s="3205">
        <v>504</v>
      </c>
      <c r="D109" s="3205">
        <v>117.53</v>
      </c>
      <c r="E109" s="3203">
        <v>28.49</v>
      </c>
      <c r="F109" s="3206" t="s">
        <v>2548</v>
      </c>
    </row>
    <row r="110" spans="1:6">
      <c r="A110" s="3296"/>
      <c r="B110" s="3203" t="s">
        <v>3906</v>
      </c>
      <c r="C110" s="3205">
        <v>601</v>
      </c>
      <c r="D110" s="3205">
        <v>117.56</v>
      </c>
      <c r="E110" s="3203">
        <v>28.49</v>
      </c>
      <c r="F110" s="3206" t="s">
        <v>2548</v>
      </c>
    </row>
    <row r="111" spans="1:6">
      <c r="A111" s="3296"/>
      <c r="B111" s="3203" t="s">
        <v>3906</v>
      </c>
      <c r="C111" s="3205">
        <v>701</v>
      </c>
      <c r="D111" s="3205">
        <v>117.56</v>
      </c>
      <c r="E111" s="3203">
        <v>28.49</v>
      </c>
      <c r="F111" s="3206" t="s">
        <v>2548</v>
      </c>
    </row>
    <row r="112" spans="1:6">
      <c r="A112" s="3296"/>
      <c r="B112" s="3203" t="s">
        <v>3906</v>
      </c>
      <c r="C112" s="3205">
        <v>801</v>
      </c>
      <c r="D112" s="3205">
        <v>117.56</v>
      </c>
      <c r="E112" s="3203">
        <v>28.49</v>
      </c>
      <c r="F112" s="3206" t="s">
        <v>2548</v>
      </c>
    </row>
    <row r="113" spans="1:6">
      <c r="A113" s="3296"/>
      <c r="B113" s="3203" t="s">
        <v>3906</v>
      </c>
      <c r="C113" s="3205">
        <v>804</v>
      </c>
      <c r="D113" s="3205">
        <v>117.53</v>
      </c>
      <c r="E113" s="3203">
        <v>28.49</v>
      </c>
      <c r="F113" s="3206" t="s">
        <v>2548</v>
      </c>
    </row>
    <row r="114" spans="1:6">
      <c r="A114" s="3296"/>
      <c r="B114" s="3203" t="s">
        <v>3906</v>
      </c>
      <c r="C114" s="3205">
        <v>901</v>
      </c>
      <c r="D114" s="3205">
        <v>117.56</v>
      </c>
      <c r="E114" s="3203">
        <v>28.49</v>
      </c>
      <c r="F114" s="3206" t="s">
        <v>2548</v>
      </c>
    </row>
    <row r="115" spans="1:6">
      <c r="A115" s="3296"/>
      <c r="B115" s="3203" t="s">
        <v>3906</v>
      </c>
      <c r="C115" s="3205">
        <v>904</v>
      </c>
      <c r="D115" s="3205">
        <v>117.53</v>
      </c>
      <c r="E115" s="3203">
        <v>28.49</v>
      </c>
      <c r="F115" s="3206" t="s">
        <v>2548</v>
      </c>
    </row>
    <row r="116" spans="1:6">
      <c r="A116" s="3296"/>
      <c r="B116" s="3203" t="s">
        <v>3906</v>
      </c>
      <c r="C116" s="3205">
        <v>1001</v>
      </c>
      <c r="D116" s="3205">
        <v>117.56</v>
      </c>
      <c r="E116" s="3203">
        <v>28.49</v>
      </c>
      <c r="F116" s="3206" t="s">
        <v>2548</v>
      </c>
    </row>
    <row r="117" spans="1:6">
      <c r="A117" s="3296"/>
      <c r="B117" s="3203" t="s">
        <v>3906</v>
      </c>
      <c r="C117" s="3205">
        <v>1101</v>
      </c>
      <c r="D117" s="3205">
        <v>117.56</v>
      </c>
      <c r="E117" s="3203">
        <v>28.49</v>
      </c>
      <c r="F117" s="3206" t="s">
        <v>2548</v>
      </c>
    </row>
    <row r="118" spans="1:6">
      <c r="A118" s="3296"/>
      <c r="B118" s="3203" t="s">
        <v>3906</v>
      </c>
      <c r="C118" s="3205">
        <v>1104</v>
      </c>
      <c r="D118" s="3205">
        <v>117.53</v>
      </c>
      <c r="E118" s="3203">
        <v>28.49</v>
      </c>
      <c r="F118" s="3206" t="s">
        <v>2548</v>
      </c>
    </row>
    <row r="119" spans="1:6">
      <c r="A119" s="3296"/>
      <c r="B119" s="3203" t="s">
        <v>3906</v>
      </c>
      <c r="C119" s="3205">
        <v>1201</v>
      </c>
      <c r="D119" s="3205">
        <v>117.56</v>
      </c>
      <c r="E119" s="3203">
        <v>28.49</v>
      </c>
      <c r="F119" s="3206" t="s">
        <v>2548</v>
      </c>
    </row>
    <row r="120" spans="1:6">
      <c r="A120" s="3296"/>
      <c r="B120" s="3203" t="s">
        <v>3906</v>
      </c>
      <c r="C120" s="3205">
        <v>1204</v>
      </c>
      <c r="D120" s="3205">
        <v>117.53</v>
      </c>
      <c r="E120" s="3203">
        <v>28.49</v>
      </c>
      <c r="F120" s="3206" t="s">
        <v>2548</v>
      </c>
    </row>
    <row r="121" spans="1:6">
      <c r="A121" s="3296"/>
      <c r="B121" s="3203" t="s">
        <v>3906</v>
      </c>
      <c r="C121" s="3205">
        <v>1301</v>
      </c>
      <c r="D121" s="3205">
        <v>117.56</v>
      </c>
      <c r="E121" s="3203">
        <v>28.49</v>
      </c>
      <c r="F121" s="3206" t="s">
        <v>2548</v>
      </c>
    </row>
    <row r="122" spans="1:6">
      <c r="A122" s="3296"/>
      <c r="B122" s="3203" t="s">
        <v>3906</v>
      </c>
      <c r="C122" s="3205">
        <v>1304</v>
      </c>
      <c r="D122" s="3205">
        <v>117.53</v>
      </c>
      <c r="E122" s="3203">
        <v>28.49</v>
      </c>
      <c r="F122" s="3206" t="s">
        <v>2548</v>
      </c>
    </row>
    <row r="123" spans="1:6">
      <c r="A123" s="3296"/>
      <c r="B123" s="3203" t="s">
        <v>3906</v>
      </c>
      <c r="C123" s="3205">
        <v>1401</v>
      </c>
      <c r="D123" s="3205">
        <v>117.56</v>
      </c>
      <c r="E123" s="3203">
        <v>28.49</v>
      </c>
      <c r="F123" s="3206" t="s">
        <v>2548</v>
      </c>
    </row>
    <row r="124" spans="1:6">
      <c r="A124" s="3296"/>
      <c r="B124" s="3203" t="s">
        <v>3906</v>
      </c>
      <c r="C124" s="3205">
        <v>1402</v>
      </c>
      <c r="D124" s="3205">
        <v>73.099999999999994</v>
      </c>
      <c r="E124" s="3203">
        <v>17.72</v>
      </c>
      <c r="F124" s="3206" t="s">
        <v>2548</v>
      </c>
    </row>
    <row r="125" spans="1:6">
      <c r="A125" s="3296"/>
      <c r="B125" s="3203" t="s">
        <v>3906</v>
      </c>
      <c r="C125" s="3205">
        <v>1403</v>
      </c>
      <c r="D125" s="3205">
        <v>74.900000000000006</v>
      </c>
      <c r="E125" s="3203">
        <v>18.149999999999999</v>
      </c>
      <c r="F125" s="3206" t="s">
        <v>2548</v>
      </c>
    </row>
    <row r="126" spans="1:6">
      <c r="A126" s="3296"/>
      <c r="B126" s="3203" t="s">
        <v>3906</v>
      </c>
      <c r="C126" s="3205">
        <v>1404</v>
      </c>
      <c r="D126" s="3205">
        <v>117.53</v>
      </c>
      <c r="E126" s="3203">
        <v>28.49</v>
      </c>
      <c r="F126" s="3206" t="s">
        <v>2548</v>
      </c>
    </row>
    <row r="127" spans="1:6">
      <c r="A127" s="3296"/>
      <c r="B127" s="3203" t="s">
        <v>3906</v>
      </c>
      <c r="C127" s="3205">
        <v>1501</v>
      </c>
      <c r="D127" s="3205">
        <v>117.56</v>
      </c>
      <c r="E127" s="3203">
        <v>28.49</v>
      </c>
      <c r="F127" s="3206" t="s">
        <v>2548</v>
      </c>
    </row>
    <row r="128" spans="1:6">
      <c r="A128" s="3296"/>
      <c r="B128" s="3203" t="s">
        <v>3906</v>
      </c>
      <c r="C128" s="3205">
        <v>1504</v>
      </c>
      <c r="D128" s="3205">
        <v>117.53</v>
      </c>
      <c r="E128" s="3203">
        <v>28.49</v>
      </c>
      <c r="F128" s="3206" t="s">
        <v>2548</v>
      </c>
    </row>
    <row r="129" spans="1:6">
      <c r="A129" s="3296"/>
      <c r="B129" s="3203" t="s">
        <v>3906</v>
      </c>
      <c r="C129" s="3205">
        <v>1601</v>
      </c>
      <c r="D129" s="3205">
        <v>117.56</v>
      </c>
      <c r="E129" s="3203">
        <v>28.49</v>
      </c>
      <c r="F129" s="3206" t="s">
        <v>2548</v>
      </c>
    </row>
    <row r="130" spans="1:6">
      <c r="A130" s="3296"/>
      <c r="B130" s="3203" t="s">
        <v>3906</v>
      </c>
      <c r="C130" s="3205">
        <v>1604</v>
      </c>
      <c r="D130" s="3205">
        <v>117.53</v>
      </c>
      <c r="E130" s="3203">
        <v>28.49</v>
      </c>
      <c r="F130" s="3206" t="s">
        <v>2548</v>
      </c>
    </row>
    <row r="131" spans="1:6">
      <c r="A131" s="3296"/>
      <c r="B131" s="3203" t="s">
        <v>3906</v>
      </c>
      <c r="C131" s="3205">
        <v>1701</v>
      </c>
      <c r="D131" s="3205">
        <v>117.56</v>
      </c>
      <c r="E131" s="3203">
        <v>28.49</v>
      </c>
      <c r="F131" s="3206" t="s">
        <v>2548</v>
      </c>
    </row>
    <row r="132" spans="1:6">
      <c r="A132" s="3296"/>
      <c r="B132" s="3203" t="s">
        <v>3906</v>
      </c>
      <c r="C132" s="3205">
        <v>1704</v>
      </c>
      <c r="D132" s="3205">
        <v>117.53</v>
      </c>
      <c r="E132" s="3203">
        <v>28.49</v>
      </c>
      <c r="F132" s="3206" t="s">
        <v>2548</v>
      </c>
    </row>
    <row r="133" spans="1:6">
      <c r="A133" s="3296"/>
      <c r="B133" s="3203" t="s">
        <v>3906</v>
      </c>
      <c r="C133" s="3205">
        <v>1801</v>
      </c>
      <c r="D133" s="3205">
        <v>117.56</v>
      </c>
      <c r="E133" s="3203">
        <v>28.49</v>
      </c>
      <c r="F133" s="3206" t="s">
        <v>2548</v>
      </c>
    </row>
    <row r="134" spans="1:6">
      <c r="A134" s="3296"/>
      <c r="B134" s="3203" t="s">
        <v>3906</v>
      </c>
      <c r="C134" s="3205">
        <v>1804</v>
      </c>
      <c r="D134" s="3205">
        <v>117.53</v>
      </c>
      <c r="E134" s="3203">
        <v>28.49</v>
      </c>
      <c r="F134" s="3206" t="s">
        <v>2548</v>
      </c>
    </row>
    <row r="135" spans="1:6">
      <c r="A135" s="3296"/>
      <c r="B135" s="3203" t="s">
        <v>3906</v>
      </c>
      <c r="C135" s="3205">
        <v>1901</v>
      </c>
      <c r="D135" s="3205">
        <v>117.56</v>
      </c>
      <c r="E135" s="3203">
        <v>28.49</v>
      </c>
      <c r="F135" s="3206" t="s">
        <v>2548</v>
      </c>
    </row>
    <row r="136" spans="1:6">
      <c r="A136" s="3296"/>
      <c r="B136" s="3203" t="s">
        <v>3906</v>
      </c>
      <c r="C136" s="3205">
        <v>2001</v>
      </c>
      <c r="D136" s="3205">
        <v>117.56</v>
      </c>
      <c r="E136" s="3203">
        <v>28.49</v>
      </c>
      <c r="F136" s="3206" t="s">
        <v>2548</v>
      </c>
    </row>
    <row r="137" spans="1:6">
      <c r="A137" s="3296"/>
      <c r="B137" s="3203" t="s">
        <v>3906</v>
      </c>
      <c r="C137" s="3205">
        <v>2003</v>
      </c>
      <c r="D137" s="3205">
        <v>74.900000000000006</v>
      </c>
      <c r="E137" s="3203">
        <v>18.149999999999999</v>
      </c>
      <c r="F137" s="3206" t="s">
        <v>2548</v>
      </c>
    </row>
    <row r="138" spans="1:6">
      <c r="A138" s="3296"/>
      <c r="B138" s="3203" t="s">
        <v>3906</v>
      </c>
      <c r="C138" s="3205">
        <v>2004</v>
      </c>
      <c r="D138" s="3205">
        <v>117.53</v>
      </c>
      <c r="E138" s="3203">
        <v>28.49</v>
      </c>
      <c r="F138" s="3206" t="s">
        <v>2548</v>
      </c>
    </row>
    <row r="139" spans="1:6">
      <c r="A139" s="3296"/>
      <c r="B139" s="3203" t="s">
        <v>3906</v>
      </c>
      <c r="C139" s="3205">
        <v>2101</v>
      </c>
      <c r="D139" s="3205">
        <v>117.56</v>
      </c>
      <c r="E139" s="3203">
        <v>28.49</v>
      </c>
      <c r="F139" s="3206" t="s">
        <v>2548</v>
      </c>
    </row>
    <row r="140" spans="1:6">
      <c r="A140" s="3296"/>
      <c r="B140" s="3203" t="s">
        <v>3906</v>
      </c>
      <c r="C140" s="3205">
        <v>2102</v>
      </c>
      <c r="D140" s="3205">
        <v>73.099999999999994</v>
      </c>
      <c r="E140" s="3203">
        <v>17.72</v>
      </c>
      <c r="F140" s="3206" t="s">
        <v>2548</v>
      </c>
    </row>
    <row r="141" spans="1:6">
      <c r="A141" s="3296"/>
      <c r="B141" s="3203" t="s">
        <v>3906</v>
      </c>
      <c r="C141" s="3205">
        <v>2104</v>
      </c>
      <c r="D141" s="3205">
        <v>117.53</v>
      </c>
      <c r="E141" s="3203">
        <v>28.49</v>
      </c>
      <c r="F141" s="3206" t="s">
        <v>2548</v>
      </c>
    </row>
    <row r="142" spans="1:6">
      <c r="A142" s="3296"/>
      <c r="B142" s="3203" t="s">
        <v>3906</v>
      </c>
      <c r="C142" s="3205">
        <v>2201</v>
      </c>
      <c r="D142" s="3205">
        <v>117.56</v>
      </c>
      <c r="E142" s="3203">
        <v>28.49</v>
      </c>
      <c r="F142" s="3206" t="s">
        <v>2548</v>
      </c>
    </row>
    <row r="143" spans="1:6">
      <c r="A143" s="3296"/>
      <c r="B143" s="3203" t="s">
        <v>3906</v>
      </c>
      <c r="C143" s="3205">
        <v>2202</v>
      </c>
      <c r="D143" s="3205">
        <v>73.099999999999994</v>
      </c>
      <c r="E143" s="3203">
        <v>17.72</v>
      </c>
      <c r="F143" s="3206" t="s">
        <v>2548</v>
      </c>
    </row>
    <row r="144" spans="1:6">
      <c r="A144" s="3296"/>
      <c r="B144" s="3203" t="s">
        <v>3906</v>
      </c>
      <c r="C144" s="3205">
        <v>2203</v>
      </c>
      <c r="D144" s="3205">
        <v>74.900000000000006</v>
      </c>
      <c r="E144" s="3203">
        <v>18.149999999999999</v>
      </c>
      <c r="F144" s="3206" t="s">
        <v>2548</v>
      </c>
    </row>
    <row r="145" spans="1:6">
      <c r="A145" s="3296"/>
      <c r="B145" s="3203" t="s">
        <v>3906</v>
      </c>
      <c r="C145" s="3205">
        <v>2204</v>
      </c>
      <c r="D145" s="3205">
        <v>117.53</v>
      </c>
      <c r="E145" s="3203">
        <v>28.49</v>
      </c>
      <c r="F145" s="3206" t="s">
        <v>2548</v>
      </c>
    </row>
    <row r="146" spans="1:6" ht="15" thickBot="1">
      <c r="A146" s="3297"/>
      <c r="B146" s="3203" t="s">
        <v>3929</v>
      </c>
      <c r="C146" s="3205"/>
      <c r="D146" s="3205">
        <f>SUM(D96:D145)</f>
        <v>5479.1000000000013</v>
      </c>
      <c r="E146" s="3205">
        <f>SUM(E96:E145)</f>
        <v>1327.9800000000005</v>
      </c>
      <c r="F146" s="3206" t="s">
        <v>3933</v>
      </c>
    </row>
    <row r="147" spans="1:6">
      <c r="A147" s="3295">
        <v>4712185196091</v>
      </c>
      <c r="B147" s="3203" t="s">
        <v>3907</v>
      </c>
      <c r="C147" s="3205" t="s">
        <v>3861</v>
      </c>
      <c r="D147" s="3205">
        <v>75.27</v>
      </c>
      <c r="E147" s="3203">
        <v>18.239999999999998</v>
      </c>
      <c r="F147" s="3206" t="s">
        <v>2548</v>
      </c>
    </row>
    <row r="148" spans="1:6">
      <c r="A148" s="3296"/>
      <c r="B148" s="3203" t="s">
        <v>3907</v>
      </c>
      <c r="C148" s="3205" t="s">
        <v>3862</v>
      </c>
      <c r="D148" s="3205">
        <v>73.7</v>
      </c>
      <c r="E148" s="3203">
        <v>17.86</v>
      </c>
      <c r="F148" s="3206" t="s">
        <v>2548</v>
      </c>
    </row>
    <row r="149" spans="1:6">
      <c r="A149" s="3296"/>
      <c r="B149" s="3203" t="s">
        <v>3907</v>
      </c>
      <c r="C149" s="3205" t="s">
        <v>3898</v>
      </c>
      <c r="D149" s="3205">
        <v>75.27</v>
      </c>
      <c r="E149" s="3203">
        <v>18.239999999999998</v>
      </c>
      <c r="F149" s="3206" t="s">
        <v>2548</v>
      </c>
    </row>
    <row r="150" spans="1:6">
      <c r="A150" s="3296"/>
      <c r="B150" s="3203" t="s">
        <v>3907</v>
      </c>
      <c r="C150" s="3205" t="s">
        <v>3863</v>
      </c>
      <c r="D150" s="3205">
        <v>73.7</v>
      </c>
      <c r="E150" s="3203">
        <v>17.86</v>
      </c>
      <c r="F150" s="3206" t="s">
        <v>2548</v>
      </c>
    </row>
    <row r="151" spans="1:6">
      <c r="A151" s="3296"/>
      <c r="B151" s="3203" t="s">
        <v>3907</v>
      </c>
      <c r="C151" s="3205" t="s">
        <v>3908</v>
      </c>
      <c r="D151" s="3205">
        <v>75.27</v>
      </c>
      <c r="E151" s="3203">
        <v>18.239999999999998</v>
      </c>
      <c r="F151" s="3206" t="s">
        <v>2548</v>
      </c>
    </row>
    <row r="152" spans="1:6">
      <c r="A152" s="3296"/>
      <c r="B152" s="3203" t="s">
        <v>3907</v>
      </c>
      <c r="C152" s="3205" t="s">
        <v>3909</v>
      </c>
      <c r="D152" s="3205">
        <v>75.27</v>
      </c>
      <c r="E152" s="3203">
        <v>18.239999999999998</v>
      </c>
      <c r="F152" s="3206" t="s">
        <v>2548</v>
      </c>
    </row>
    <row r="153" spans="1:6">
      <c r="A153" s="3296"/>
      <c r="B153" s="3203" t="s">
        <v>3907</v>
      </c>
      <c r="C153" s="3205" t="s">
        <v>3869</v>
      </c>
      <c r="D153" s="3205">
        <v>73.7</v>
      </c>
      <c r="E153" s="3203">
        <v>17.86</v>
      </c>
      <c r="F153" s="3206" t="s">
        <v>2548</v>
      </c>
    </row>
    <row r="154" spans="1:6">
      <c r="A154" s="3296"/>
      <c r="B154" s="3203" t="s">
        <v>3907</v>
      </c>
      <c r="C154" s="3205" t="s">
        <v>3910</v>
      </c>
      <c r="D154" s="3205">
        <v>75.27</v>
      </c>
      <c r="E154" s="3203">
        <v>18.239999999999998</v>
      </c>
      <c r="F154" s="3206" t="s">
        <v>2548</v>
      </c>
    </row>
    <row r="155" spans="1:6">
      <c r="A155" s="3296"/>
      <c r="B155" s="3203" t="s">
        <v>3907</v>
      </c>
      <c r="C155" s="3205" t="s">
        <v>3870</v>
      </c>
      <c r="D155" s="3205">
        <v>73.7</v>
      </c>
      <c r="E155" s="3203">
        <v>17.86</v>
      </c>
      <c r="F155" s="3206" t="s">
        <v>2548</v>
      </c>
    </row>
    <row r="156" spans="1:6">
      <c r="A156" s="3296"/>
      <c r="B156" s="3203" t="s">
        <v>3907</v>
      </c>
      <c r="C156" s="3205" t="s">
        <v>3911</v>
      </c>
      <c r="D156" s="3205">
        <v>75.27</v>
      </c>
      <c r="E156" s="3203">
        <v>18.239999999999998</v>
      </c>
      <c r="F156" s="3206" t="s">
        <v>2548</v>
      </c>
    </row>
    <row r="157" spans="1:6">
      <c r="A157" s="3296"/>
      <c r="B157" s="3203" t="s">
        <v>3907</v>
      </c>
      <c r="C157" s="3205" t="s">
        <v>3872</v>
      </c>
      <c r="D157" s="3205">
        <v>73.7</v>
      </c>
      <c r="E157" s="3203">
        <v>17.86</v>
      </c>
      <c r="F157" s="3206" t="s">
        <v>2548</v>
      </c>
    </row>
    <row r="158" spans="1:6">
      <c r="A158" s="3296"/>
      <c r="B158" s="3203" t="s">
        <v>3907</v>
      </c>
      <c r="C158" s="3205" t="s">
        <v>3875</v>
      </c>
      <c r="D158" s="3205">
        <v>73.7</v>
      </c>
      <c r="E158" s="3203">
        <v>17.86</v>
      </c>
      <c r="F158" s="3206" t="s">
        <v>2548</v>
      </c>
    </row>
    <row r="159" spans="1:6">
      <c r="A159" s="3296"/>
      <c r="B159" s="3203" t="s">
        <v>3907</v>
      </c>
      <c r="C159" s="3205" t="s">
        <v>3876</v>
      </c>
      <c r="D159" s="3205">
        <v>73.7</v>
      </c>
      <c r="E159" s="3203">
        <v>17.86</v>
      </c>
      <c r="F159" s="3206" t="s">
        <v>2548</v>
      </c>
    </row>
    <row r="160" spans="1:6">
      <c r="A160" s="3296"/>
      <c r="B160" s="3203" t="s">
        <v>3907</v>
      </c>
      <c r="C160" s="3205" t="s">
        <v>3877</v>
      </c>
      <c r="D160" s="3205">
        <v>73.7</v>
      </c>
      <c r="E160" s="3203">
        <v>17.86</v>
      </c>
      <c r="F160" s="3206" t="s">
        <v>2548</v>
      </c>
    </row>
    <row r="161" spans="1:6">
      <c r="A161" s="3296"/>
      <c r="B161" s="3203" t="s">
        <v>3907</v>
      </c>
      <c r="C161" s="3205" t="s">
        <v>3887</v>
      </c>
      <c r="D161" s="3205">
        <v>73.7</v>
      </c>
      <c r="E161" s="3203">
        <v>17.86</v>
      </c>
      <c r="F161" s="3206" t="s">
        <v>2548</v>
      </c>
    </row>
    <row r="162" spans="1:6">
      <c r="A162" s="3296"/>
      <c r="B162" s="3203" t="s">
        <v>3907</v>
      </c>
      <c r="C162" s="3205" t="s">
        <v>3893</v>
      </c>
      <c r="D162" s="3205">
        <v>74.239999999999995</v>
      </c>
      <c r="E162" s="3203">
        <v>17.989999999999998</v>
      </c>
      <c r="F162" s="3206" t="s">
        <v>2548</v>
      </c>
    </row>
    <row r="163" spans="1:6">
      <c r="A163" s="3296"/>
      <c r="B163" s="3203" t="s">
        <v>3907</v>
      </c>
      <c r="C163" s="3205" t="s">
        <v>3903</v>
      </c>
      <c r="D163" s="3205">
        <v>73.7</v>
      </c>
      <c r="E163" s="3203">
        <v>17.86</v>
      </c>
      <c r="F163" s="3206" t="s">
        <v>2548</v>
      </c>
    </row>
    <row r="164" spans="1:6">
      <c r="A164" s="3296"/>
      <c r="B164" s="3203" t="s">
        <v>3907</v>
      </c>
      <c r="C164" s="3205" t="s">
        <v>3904</v>
      </c>
      <c r="D164" s="3205">
        <v>75.27</v>
      </c>
      <c r="E164" s="3203">
        <v>18.239999999999998</v>
      </c>
      <c r="F164" s="3206" t="s">
        <v>2548</v>
      </c>
    </row>
    <row r="165" spans="1:6">
      <c r="A165" s="3296"/>
      <c r="B165" s="3203" t="s">
        <v>3907</v>
      </c>
      <c r="C165" s="3205" t="s">
        <v>3912</v>
      </c>
      <c r="D165" s="3205">
        <v>75.27</v>
      </c>
      <c r="E165" s="3203">
        <v>18.239999999999998</v>
      </c>
      <c r="F165" s="3206" t="s">
        <v>2548</v>
      </c>
    </row>
    <row r="166" spans="1:6">
      <c r="A166" s="3296"/>
      <c r="B166" s="3203" t="s">
        <v>3907</v>
      </c>
      <c r="C166" s="3205" t="s">
        <v>3913</v>
      </c>
      <c r="D166" s="3205">
        <v>75.27</v>
      </c>
      <c r="E166" s="3203">
        <v>18.239999999999998</v>
      </c>
      <c r="F166" s="3206" t="s">
        <v>2548</v>
      </c>
    </row>
    <row r="167" spans="1:6">
      <c r="A167" s="3296"/>
      <c r="B167" s="3203" t="s">
        <v>3907</v>
      </c>
      <c r="C167" s="3205" t="s">
        <v>3914</v>
      </c>
      <c r="D167" s="3205">
        <v>73.7</v>
      </c>
      <c r="E167" s="3203">
        <v>17.86</v>
      </c>
      <c r="F167" s="3206" t="s">
        <v>2548</v>
      </c>
    </row>
    <row r="168" spans="1:6">
      <c r="A168" s="3296"/>
      <c r="B168" s="3203" t="s">
        <v>3907</v>
      </c>
      <c r="C168" s="3205" t="s">
        <v>3915</v>
      </c>
      <c r="D168" s="3205">
        <v>75.27</v>
      </c>
      <c r="E168" s="3203">
        <v>18.239999999999998</v>
      </c>
      <c r="F168" s="3206" t="s">
        <v>2548</v>
      </c>
    </row>
    <row r="169" spans="1:6">
      <c r="A169" s="3296"/>
      <c r="B169" s="3203" t="s">
        <v>3907</v>
      </c>
      <c r="C169" s="3205" t="s">
        <v>3916</v>
      </c>
      <c r="D169" s="3205">
        <v>73.7</v>
      </c>
      <c r="E169" s="3203">
        <v>17.86</v>
      </c>
      <c r="F169" s="3206" t="s">
        <v>2548</v>
      </c>
    </row>
    <row r="170" spans="1:6" ht="15" thickBot="1">
      <c r="A170" s="3299"/>
      <c r="B170" s="3203" t="s">
        <v>3930</v>
      </c>
      <c r="C170" s="3205"/>
      <c r="D170" s="3205">
        <f>SUM(D147:D169)</f>
        <v>1711.3400000000001</v>
      </c>
      <c r="E170" s="3205">
        <f>SUM(E147:E169)</f>
        <v>414.71000000000015</v>
      </c>
      <c r="F170" s="3206" t="s">
        <v>3933</v>
      </c>
    </row>
    <row r="171" spans="1:6">
      <c r="A171" s="3298">
        <v>4712185198095</v>
      </c>
      <c r="B171" s="3203" t="s">
        <v>3917</v>
      </c>
      <c r="C171" s="3205">
        <v>-101</v>
      </c>
      <c r="D171" s="3205">
        <v>137.21</v>
      </c>
      <c r="E171" s="3203">
        <v>33.26</v>
      </c>
      <c r="F171" s="3206" t="s">
        <v>3923</v>
      </c>
    </row>
    <row r="172" spans="1:6">
      <c r="A172" s="3296"/>
      <c r="B172" s="3203" t="s">
        <v>3917</v>
      </c>
      <c r="C172" s="3205">
        <v>-102</v>
      </c>
      <c r="D172" s="3205">
        <v>155.53</v>
      </c>
      <c r="E172" s="3203">
        <v>37.700000000000003</v>
      </c>
      <c r="F172" s="3206" t="s">
        <v>3923</v>
      </c>
    </row>
    <row r="173" spans="1:6">
      <c r="A173" s="3296"/>
      <c r="B173" s="3203" t="s">
        <v>3917</v>
      </c>
      <c r="C173" s="3205">
        <v>101</v>
      </c>
      <c r="D173" s="3205">
        <v>144.41999999999999</v>
      </c>
      <c r="E173" s="3203">
        <v>35</v>
      </c>
      <c r="F173" s="3206" t="s">
        <v>2548</v>
      </c>
    </row>
    <row r="174" spans="1:6">
      <c r="A174" s="3296"/>
      <c r="B174" s="3203" t="s">
        <v>3917</v>
      </c>
      <c r="C174" s="3205">
        <v>102</v>
      </c>
      <c r="D174" s="3205">
        <v>143.65</v>
      </c>
      <c r="E174" s="3203">
        <v>34.82</v>
      </c>
      <c r="F174" s="3206" t="s">
        <v>2548</v>
      </c>
    </row>
    <row r="175" spans="1:6">
      <c r="A175" s="3296"/>
      <c r="B175" s="3203" t="s">
        <v>3917</v>
      </c>
      <c r="C175" s="3205">
        <v>201</v>
      </c>
      <c r="D175" s="3205">
        <v>144.41999999999999</v>
      </c>
      <c r="E175" s="3203">
        <v>35</v>
      </c>
      <c r="F175" s="3206" t="s">
        <v>2548</v>
      </c>
    </row>
    <row r="176" spans="1:6">
      <c r="A176" s="3296"/>
      <c r="B176" s="3203" t="s">
        <v>3917</v>
      </c>
      <c r="C176" s="3205">
        <v>202</v>
      </c>
      <c r="D176" s="3205">
        <v>143.65</v>
      </c>
      <c r="E176" s="3203">
        <v>34.82</v>
      </c>
      <c r="F176" s="3206" t="s">
        <v>2548</v>
      </c>
    </row>
    <row r="177" spans="1:6">
      <c r="A177" s="3296"/>
      <c r="B177" s="3203" t="s">
        <v>3917</v>
      </c>
      <c r="C177" s="3205">
        <v>301</v>
      </c>
      <c r="D177" s="3205">
        <v>144.41999999999999</v>
      </c>
      <c r="E177" s="3203">
        <v>35</v>
      </c>
      <c r="F177" s="3206" t="s">
        <v>2548</v>
      </c>
    </row>
    <row r="178" spans="1:6">
      <c r="A178" s="3296"/>
      <c r="B178" s="3203" t="s">
        <v>3917</v>
      </c>
      <c r="C178" s="3205">
        <v>302</v>
      </c>
      <c r="D178" s="3205">
        <v>143.65</v>
      </c>
      <c r="E178" s="3203">
        <v>34.82</v>
      </c>
      <c r="F178" s="3206" t="s">
        <v>2548</v>
      </c>
    </row>
    <row r="179" spans="1:6">
      <c r="A179" s="3296"/>
      <c r="B179" s="3203" t="s">
        <v>3917</v>
      </c>
      <c r="C179" s="3205">
        <v>401</v>
      </c>
      <c r="D179" s="3205">
        <v>144.41999999999999</v>
      </c>
      <c r="E179" s="3203">
        <v>35</v>
      </c>
      <c r="F179" s="3206" t="s">
        <v>2548</v>
      </c>
    </row>
    <row r="180" spans="1:6">
      <c r="A180" s="3296"/>
      <c r="B180" s="3203" t="s">
        <v>3917</v>
      </c>
      <c r="C180" s="3205">
        <v>402</v>
      </c>
      <c r="D180" s="3205">
        <v>143.65</v>
      </c>
      <c r="E180" s="3203">
        <v>34.82</v>
      </c>
      <c r="F180" s="3206" t="s">
        <v>2548</v>
      </c>
    </row>
    <row r="181" spans="1:6">
      <c r="A181" s="3296"/>
      <c r="B181" s="3203" t="s">
        <v>3917</v>
      </c>
      <c r="C181" s="3205">
        <v>501</v>
      </c>
      <c r="D181" s="3205">
        <v>144.41999999999999</v>
      </c>
      <c r="E181" s="3203">
        <v>35</v>
      </c>
      <c r="F181" s="3206" t="s">
        <v>2548</v>
      </c>
    </row>
    <row r="182" spans="1:6">
      <c r="A182" s="3296"/>
      <c r="B182" s="3203" t="s">
        <v>3917</v>
      </c>
      <c r="C182" s="3205">
        <v>502</v>
      </c>
      <c r="D182" s="3205">
        <v>143.65</v>
      </c>
      <c r="E182" s="3203">
        <v>34.82</v>
      </c>
      <c r="F182" s="3206" t="s">
        <v>2548</v>
      </c>
    </row>
    <row r="183" spans="1:6">
      <c r="A183" s="3296"/>
      <c r="B183" s="3203" t="s">
        <v>3917</v>
      </c>
      <c r="C183" s="3205">
        <v>601</v>
      </c>
      <c r="D183" s="3205">
        <v>144.41999999999999</v>
      </c>
      <c r="E183" s="3203">
        <v>35</v>
      </c>
      <c r="F183" s="3206" t="s">
        <v>2548</v>
      </c>
    </row>
    <row r="184" spans="1:6">
      <c r="A184" s="3296"/>
      <c r="B184" s="3203" t="s">
        <v>3917</v>
      </c>
      <c r="C184" s="3205">
        <v>602</v>
      </c>
      <c r="D184" s="3205">
        <v>143.65</v>
      </c>
      <c r="E184" s="3203">
        <v>34.82</v>
      </c>
      <c r="F184" s="3206" t="s">
        <v>2548</v>
      </c>
    </row>
    <row r="185" spans="1:6">
      <c r="A185" s="3296"/>
      <c r="B185" s="3203" t="s">
        <v>3917</v>
      </c>
      <c r="C185" s="3205">
        <v>701</v>
      </c>
      <c r="D185" s="3205">
        <v>144.41999999999999</v>
      </c>
      <c r="E185" s="3203">
        <v>35</v>
      </c>
      <c r="F185" s="3206" t="s">
        <v>2548</v>
      </c>
    </row>
    <row r="186" spans="1:6">
      <c r="A186" s="3296"/>
      <c r="B186" s="3203" t="s">
        <v>3917</v>
      </c>
      <c r="C186" s="3205">
        <v>702</v>
      </c>
      <c r="D186" s="3205">
        <v>143.65</v>
      </c>
      <c r="E186" s="3203">
        <v>34.82</v>
      </c>
      <c r="F186" s="3206" t="s">
        <v>2548</v>
      </c>
    </row>
    <row r="187" spans="1:6">
      <c r="A187" s="3296"/>
      <c r="B187" s="3203" t="s">
        <v>3917</v>
      </c>
      <c r="C187" s="3205">
        <v>801</v>
      </c>
      <c r="D187" s="3205">
        <v>144.41999999999999</v>
      </c>
      <c r="E187" s="3203">
        <v>35</v>
      </c>
      <c r="F187" s="3206" t="s">
        <v>2548</v>
      </c>
    </row>
    <row r="188" spans="1:6">
      <c r="A188" s="3296"/>
      <c r="B188" s="3203" t="s">
        <v>3917</v>
      </c>
      <c r="C188" s="3205">
        <v>802</v>
      </c>
      <c r="D188" s="3205">
        <v>143.65</v>
      </c>
      <c r="E188" s="3203">
        <v>34.82</v>
      </c>
      <c r="F188" s="3206" t="s">
        <v>2548</v>
      </c>
    </row>
    <row r="189" spans="1:6">
      <c r="A189" s="3296"/>
      <c r="B189" s="3203" t="s">
        <v>3917</v>
      </c>
      <c r="C189" s="3205">
        <v>901</v>
      </c>
      <c r="D189" s="3205">
        <v>144.41999999999999</v>
      </c>
      <c r="E189" s="3203">
        <v>35</v>
      </c>
      <c r="F189" s="3206" t="s">
        <v>2548</v>
      </c>
    </row>
    <row r="190" spans="1:6">
      <c r="A190" s="3296"/>
      <c r="B190" s="3203" t="s">
        <v>3917</v>
      </c>
      <c r="C190" s="3205">
        <v>902</v>
      </c>
      <c r="D190" s="3205">
        <v>143.65</v>
      </c>
      <c r="E190" s="3203">
        <v>34.82</v>
      </c>
      <c r="F190" s="3206" t="s">
        <v>2548</v>
      </c>
    </row>
    <row r="191" spans="1:6">
      <c r="A191" s="3296"/>
      <c r="B191" s="3203" t="s">
        <v>3917</v>
      </c>
      <c r="C191" s="3205">
        <v>1001</v>
      </c>
      <c r="D191" s="3205">
        <v>144.41999999999999</v>
      </c>
      <c r="E191" s="3203">
        <v>35</v>
      </c>
      <c r="F191" s="3206" t="s">
        <v>2548</v>
      </c>
    </row>
    <row r="192" spans="1:6">
      <c r="A192" s="3296"/>
      <c r="B192" s="3203" t="s">
        <v>3917</v>
      </c>
      <c r="C192" s="3205">
        <v>1002</v>
      </c>
      <c r="D192" s="3205">
        <v>143.65</v>
      </c>
      <c r="E192" s="3203">
        <v>34.82</v>
      </c>
      <c r="F192" s="3206" t="s">
        <v>2548</v>
      </c>
    </row>
    <row r="193" spans="1:6">
      <c r="A193" s="3296"/>
      <c r="B193" s="3203" t="s">
        <v>3917</v>
      </c>
      <c r="C193" s="3205">
        <v>1101</v>
      </c>
      <c r="D193" s="3205">
        <v>144.41999999999999</v>
      </c>
      <c r="E193" s="3203">
        <v>35</v>
      </c>
      <c r="F193" s="3206" t="s">
        <v>2548</v>
      </c>
    </row>
    <row r="194" spans="1:6">
      <c r="A194" s="3296"/>
      <c r="B194" s="3203" t="s">
        <v>3917</v>
      </c>
      <c r="C194" s="3205">
        <v>1102</v>
      </c>
      <c r="D194" s="3205">
        <v>143.65</v>
      </c>
      <c r="E194" s="3203">
        <v>34.82</v>
      </c>
      <c r="F194" s="3206" t="s">
        <v>2548</v>
      </c>
    </row>
    <row r="195" spans="1:6">
      <c r="A195" s="3296"/>
      <c r="B195" s="3203" t="s">
        <v>3917</v>
      </c>
      <c r="C195" s="3205">
        <v>1201</v>
      </c>
      <c r="D195" s="3205">
        <v>144.41999999999999</v>
      </c>
      <c r="E195" s="3203">
        <v>35</v>
      </c>
      <c r="F195" s="3206" t="s">
        <v>2548</v>
      </c>
    </row>
    <row r="196" spans="1:6">
      <c r="A196" s="3296"/>
      <c r="B196" s="3203" t="s">
        <v>3917</v>
      </c>
      <c r="C196" s="3205">
        <v>1202</v>
      </c>
      <c r="D196" s="3205">
        <v>143.65</v>
      </c>
      <c r="E196" s="3203">
        <v>34.82</v>
      </c>
      <c r="F196" s="3206" t="s">
        <v>2548</v>
      </c>
    </row>
    <row r="197" spans="1:6">
      <c r="A197" s="3296"/>
      <c r="B197" s="3203" t="s">
        <v>3917</v>
      </c>
      <c r="C197" s="3205">
        <v>1301</v>
      </c>
      <c r="D197" s="3205">
        <v>144.41999999999999</v>
      </c>
      <c r="E197" s="3203">
        <v>35</v>
      </c>
      <c r="F197" s="3206" t="s">
        <v>2548</v>
      </c>
    </row>
    <row r="198" spans="1:6">
      <c r="A198" s="3296"/>
      <c r="B198" s="3203" t="s">
        <v>3917</v>
      </c>
      <c r="C198" s="3205">
        <v>1302</v>
      </c>
      <c r="D198" s="3205">
        <v>143.65</v>
      </c>
      <c r="E198" s="3203">
        <v>34.82</v>
      </c>
      <c r="F198" s="3206" t="s">
        <v>2548</v>
      </c>
    </row>
    <row r="199" spans="1:6">
      <c r="A199" s="3296"/>
      <c r="B199" s="3203" t="s">
        <v>3917</v>
      </c>
      <c r="C199" s="3205">
        <v>1401</v>
      </c>
      <c r="D199" s="3205">
        <v>144.41999999999999</v>
      </c>
      <c r="E199" s="3203">
        <v>35</v>
      </c>
      <c r="F199" s="3206" t="s">
        <v>2548</v>
      </c>
    </row>
    <row r="200" spans="1:6">
      <c r="A200" s="3296"/>
      <c r="B200" s="3203" t="s">
        <v>3917</v>
      </c>
      <c r="C200" s="3205">
        <v>1402</v>
      </c>
      <c r="D200" s="3205">
        <v>143.65</v>
      </c>
      <c r="E200" s="3203">
        <v>34.82</v>
      </c>
      <c r="F200" s="3206" t="s">
        <v>2548</v>
      </c>
    </row>
    <row r="201" spans="1:6">
      <c r="A201" s="3296"/>
      <c r="B201" s="3203" t="s">
        <v>3917</v>
      </c>
      <c r="C201" s="3205">
        <v>1501</v>
      </c>
      <c r="D201" s="3205">
        <v>144.41999999999999</v>
      </c>
      <c r="E201" s="3203">
        <v>35</v>
      </c>
      <c r="F201" s="3206" t="s">
        <v>2548</v>
      </c>
    </row>
    <row r="202" spans="1:6">
      <c r="A202" s="3296"/>
      <c r="B202" s="3203" t="s">
        <v>3917</v>
      </c>
      <c r="C202" s="3205">
        <v>1502</v>
      </c>
      <c r="D202" s="3205">
        <v>143.65</v>
      </c>
      <c r="E202" s="3203">
        <v>34.82</v>
      </c>
      <c r="F202" s="3206" t="s">
        <v>2548</v>
      </c>
    </row>
    <row r="203" spans="1:6">
      <c r="A203" s="3296"/>
      <c r="B203" s="3203" t="s">
        <v>3917</v>
      </c>
      <c r="C203" s="3205">
        <v>1601</v>
      </c>
      <c r="D203" s="3205">
        <v>144.41999999999999</v>
      </c>
      <c r="E203" s="3203">
        <v>35</v>
      </c>
      <c r="F203" s="3206" t="s">
        <v>2548</v>
      </c>
    </row>
    <row r="204" spans="1:6">
      <c r="A204" s="3296"/>
      <c r="B204" s="3203" t="s">
        <v>3917</v>
      </c>
      <c r="C204" s="3205">
        <v>1602</v>
      </c>
      <c r="D204" s="3205">
        <v>143.65</v>
      </c>
      <c r="E204" s="3203">
        <v>34.82</v>
      </c>
      <c r="F204" s="3206" t="s">
        <v>2548</v>
      </c>
    </row>
    <row r="205" spans="1:6">
      <c r="A205" s="3296"/>
      <c r="B205" s="3203" t="s">
        <v>3917</v>
      </c>
      <c r="C205" s="3205">
        <v>1701</v>
      </c>
      <c r="D205" s="3205">
        <v>144.41999999999999</v>
      </c>
      <c r="E205" s="3203">
        <v>35</v>
      </c>
      <c r="F205" s="3206" t="s">
        <v>2548</v>
      </c>
    </row>
    <row r="206" spans="1:6">
      <c r="A206" s="3296"/>
      <c r="B206" s="3203" t="s">
        <v>3917</v>
      </c>
      <c r="C206" s="3205">
        <v>1702</v>
      </c>
      <c r="D206" s="3205">
        <v>143.65</v>
      </c>
      <c r="E206" s="3203">
        <v>34.82</v>
      </c>
      <c r="F206" s="3206" t="s">
        <v>2548</v>
      </c>
    </row>
    <row r="207" spans="1:6">
      <c r="A207" s="3296"/>
      <c r="B207" s="3203" t="s">
        <v>3917</v>
      </c>
      <c r="C207" s="3205">
        <v>1801</v>
      </c>
      <c r="D207" s="3205">
        <v>144.41999999999999</v>
      </c>
      <c r="E207" s="3203">
        <v>35</v>
      </c>
      <c r="F207" s="3206" t="s">
        <v>2548</v>
      </c>
    </row>
    <row r="208" spans="1:6">
      <c r="A208" s="3296"/>
      <c r="B208" s="3203" t="s">
        <v>3917</v>
      </c>
      <c r="C208" s="3205">
        <v>1802</v>
      </c>
      <c r="D208" s="3205">
        <v>143.65</v>
      </c>
      <c r="E208" s="3203">
        <v>34.82</v>
      </c>
      <c r="F208" s="3206" t="s">
        <v>2548</v>
      </c>
    </row>
    <row r="209" spans="1:6">
      <c r="A209" s="3296"/>
      <c r="B209" s="3203" t="s">
        <v>3917</v>
      </c>
      <c r="C209" s="3205">
        <v>1901</v>
      </c>
      <c r="D209" s="3205">
        <v>144.41999999999999</v>
      </c>
      <c r="E209" s="3203">
        <v>35</v>
      </c>
      <c r="F209" s="3206" t="s">
        <v>2548</v>
      </c>
    </row>
    <row r="210" spans="1:6">
      <c r="A210" s="3296"/>
      <c r="B210" s="3203" t="s">
        <v>3917</v>
      </c>
      <c r="C210" s="3205">
        <v>1902</v>
      </c>
      <c r="D210" s="3205">
        <v>143.65</v>
      </c>
      <c r="E210" s="3203">
        <v>34.82</v>
      </c>
      <c r="F210" s="3206" t="s">
        <v>2548</v>
      </c>
    </row>
    <row r="211" spans="1:6">
      <c r="A211" s="3296"/>
      <c r="B211" s="3203" t="s">
        <v>3917</v>
      </c>
      <c r="C211" s="3205">
        <v>2001</v>
      </c>
      <c r="D211" s="3205">
        <v>144.41999999999999</v>
      </c>
      <c r="E211" s="3203">
        <v>35</v>
      </c>
      <c r="F211" s="3206" t="s">
        <v>2548</v>
      </c>
    </row>
    <row r="212" spans="1:6">
      <c r="A212" s="3296"/>
      <c r="B212" s="3203" t="s">
        <v>3917</v>
      </c>
      <c r="C212" s="3205">
        <v>2002</v>
      </c>
      <c r="D212" s="3205">
        <v>143.65</v>
      </c>
      <c r="E212" s="3203">
        <v>34.82</v>
      </c>
      <c r="F212" s="3206" t="s">
        <v>2548</v>
      </c>
    </row>
    <row r="213" spans="1:6">
      <c r="A213" s="3296"/>
      <c r="B213" s="3203" t="s">
        <v>3917</v>
      </c>
      <c r="C213" s="3205">
        <v>2101</v>
      </c>
      <c r="D213" s="3205">
        <v>144.41999999999999</v>
      </c>
      <c r="E213" s="3203">
        <v>35</v>
      </c>
      <c r="F213" s="3206" t="s">
        <v>2548</v>
      </c>
    </row>
    <row r="214" spans="1:6">
      <c r="A214" s="3296"/>
      <c r="B214" s="3203" t="s">
        <v>3917</v>
      </c>
      <c r="C214" s="3205">
        <v>2102</v>
      </c>
      <c r="D214" s="3205">
        <v>143.65</v>
      </c>
      <c r="E214" s="3203">
        <v>34.82</v>
      </c>
      <c r="F214" s="3206" t="s">
        <v>2548</v>
      </c>
    </row>
    <row r="215" spans="1:6">
      <c r="A215" s="3296"/>
      <c r="B215" s="3203" t="s">
        <v>3917</v>
      </c>
      <c r="C215" s="3205">
        <v>2201</v>
      </c>
      <c r="D215" s="3205">
        <v>144.41999999999999</v>
      </c>
      <c r="E215" s="3203">
        <v>35</v>
      </c>
      <c r="F215" s="3206" t="s">
        <v>2548</v>
      </c>
    </row>
    <row r="216" spans="1:6">
      <c r="A216" s="3296"/>
      <c r="B216" s="3203" t="s">
        <v>3917</v>
      </c>
      <c r="C216" s="3205">
        <v>2202</v>
      </c>
      <c r="D216" s="3205">
        <v>143.65</v>
      </c>
      <c r="E216" s="3203">
        <v>34.82</v>
      </c>
      <c r="F216" s="3206" t="s">
        <v>2548</v>
      </c>
    </row>
    <row r="217" spans="1:6">
      <c r="A217" s="3296"/>
      <c r="B217" s="3203" t="s">
        <v>3917</v>
      </c>
      <c r="C217" s="3205">
        <v>2301</v>
      </c>
      <c r="D217" s="3205">
        <v>144.41999999999999</v>
      </c>
      <c r="E217" s="3203">
        <v>35</v>
      </c>
      <c r="F217" s="3206" t="s">
        <v>2548</v>
      </c>
    </row>
    <row r="218" spans="1:6">
      <c r="A218" s="3296"/>
      <c r="B218" s="3203" t="s">
        <v>3917</v>
      </c>
      <c r="C218" s="3205">
        <v>2302</v>
      </c>
      <c r="D218" s="3205">
        <v>143.65</v>
      </c>
      <c r="E218" s="3203">
        <v>34.82</v>
      </c>
      <c r="F218" s="3206" t="s">
        <v>2548</v>
      </c>
    </row>
    <row r="219" spans="1:6">
      <c r="A219" s="3296"/>
      <c r="B219" s="3203" t="s">
        <v>3917</v>
      </c>
      <c r="C219" s="3205">
        <v>2401</v>
      </c>
      <c r="D219" s="3205">
        <v>144.41999999999999</v>
      </c>
      <c r="E219" s="3203">
        <v>35</v>
      </c>
      <c r="F219" s="3206" t="s">
        <v>2548</v>
      </c>
    </row>
    <row r="220" spans="1:6">
      <c r="A220" s="3296"/>
      <c r="B220" s="3203" t="s">
        <v>3917</v>
      </c>
      <c r="C220" s="3205">
        <v>2402</v>
      </c>
      <c r="D220" s="3205">
        <v>143.65</v>
      </c>
      <c r="E220" s="3203">
        <v>34.82</v>
      </c>
      <c r="F220" s="3206" t="s">
        <v>2548</v>
      </c>
    </row>
    <row r="221" spans="1:6">
      <c r="A221" s="3296"/>
      <c r="B221" s="3203" t="s">
        <v>3917</v>
      </c>
      <c r="C221" s="3205">
        <v>2501</v>
      </c>
      <c r="D221" s="3205">
        <v>144.41999999999999</v>
      </c>
      <c r="E221" s="3203">
        <v>35</v>
      </c>
      <c r="F221" s="3206" t="s">
        <v>2548</v>
      </c>
    </row>
    <row r="222" spans="1:6">
      <c r="A222" s="3296"/>
      <c r="B222" s="3203" t="s">
        <v>3917</v>
      </c>
      <c r="C222" s="3205">
        <v>2502</v>
      </c>
      <c r="D222" s="3205">
        <v>144.41999999999999</v>
      </c>
      <c r="E222" s="3203">
        <v>35</v>
      </c>
      <c r="F222" s="3206" t="s">
        <v>2548</v>
      </c>
    </row>
    <row r="223" spans="1:6">
      <c r="A223" s="3296"/>
      <c r="B223" s="3203" t="s">
        <v>3917</v>
      </c>
      <c r="C223" s="3205">
        <v>2601</v>
      </c>
      <c r="D223" s="3205">
        <v>144.41999999999999</v>
      </c>
      <c r="E223" s="3203">
        <v>35</v>
      </c>
      <c r="F223" s="3206" t="s">
        <v>2548</v>
      </c>
    </row>
    <row r="224" spans="1:6">
      <c r="A224" s="3296"/>
      <c r="B224" s="3203" t="s">
        <v>3917</v>
      </c>
      <c r="C224" s="3205">
        <v>2602</v>
      </c>
      <c r="D224" s="3205">
        <v>144.41999999999999</v>
      </c>
      <c r="E224" s="3203">
        <v>35</v>
      </c>
      <c r="F224" s="3206" t="s">
        <v>2548</v>
      </c>
    </row>
    <row r="225" spans="1:6" ht="15" thickBot="1">
      <c r="A225" s="3297"/>
      <c r="B225" s="3203" t="s">
        <v>3931</v>
      </c>
      <c r="C225" s="3205"/>
      <c r="D225" s="3205">
        <f>SUM(D171:D224)</f>
        <v>7784.0999999999985</v>
      </c>
      <c r="E225" s="3205">
        <f>SUM(E171:E224)</f>
        <v>1886.6399999999996</v>
      </c>
      <c r="F225" s="3206" t="s">
        <v>3933</v>
      </c>
    </row>
    <row r="226" spans="1:6">
      <c r="A226" s="3295">
        <v>4712185199092</v>
      </c>
      <c r="B226" s="3203" t="s">
        <v>3918</v>
      </c>
      <c r="C226" s="3205" t="s">
        <v>3919</v>
      </c>
      <c r="D226" s="3205">
        <v>3791.83</v>
      </c>
      <c r="E226" s="3203">
        <v>919.07</v>
      </c>
      <c r="F226" s="3206" t="s">
        <v>3924</v>
      </c>
    </row>
    <row r="227" spans="1:6">
      <c r="A227" s="3296"/>
      <c r="B227" s="3203" t="s">
        <v>3918</v>
      </c>
      <c r="C227" s="3205" t="s">
        <v>3920</v>
      </c>
      <c r="D227" s="3205">
        <v>7623.19</v>
      </c>
      <c r="E227" s="3203">
        <v>1847.93</v>
      </c>
      <c r="F227" s="3206" t="s">
        <v>3924</v>
      </c>
    </row>
    <row r="228" spans="1:6" ht="15" thickBot="1">
      <c r="A228" s="3297"/>
      <c r="B228" s="3205" t="s">
        <v>3932</v>
      </c>
      <c r="C228" s="3205"/>
      <c r="D228" s="3205">
        <f>SUM(D226:D227)</f>
        <v>11415.02</v>
      </c>
      <c r="E228" s="3205">
        <f>SUM(E226:E227)</f>
        <v>2767</v>
      </c>
      <c r="F228" s="3206" t="s">
        <v>3933</v>
      </c>
    </row>
    <row r="229" spans="1:6" ht="16.2" thickBot="1">
      <c r="A229" s="3202" t="s">
        <v>3921</v>
      </c>
      <c r="B229" s="3203" t="s">
        <v>2588</v>
      </c>
      <c r="C229" s="3203"/>
      <c r="D229" s="3205">
        <f>D228+D225+D170+D146+D95+D71+D44</f>
        <v>35822.61</v>
      </c>
      <c r="E229" s="3205">
        <f>E228+E225+E170+E146+E95+E71+E44</f>
        <v>8682.75</v>
      </c>
      <c r="F229" s="3206"/>
    </row>
  </sheetData>
  <autoFilter ref="A1:F229"/>
  <mergeCells count="7">
    <mergeCell ref="A226:A228"/>
    <mergeCell ref="A2:A44"/>
    <mergeCell ref="A45:A71"/>
    <mergeCell ref="A72:A95"/>
    <mergeCell ref="A96:A146"/>
    <mergeCell ref="A147:A170"/>
    <mergeCell ref="A171:A225"/>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21"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4" width="11.88671875" style="1556" customWidth="1"/>
    <col min="15" max="15" width="8.44140625" style="1556" customWidth="1"/>
    <col min="16" max="17" width="10.88671875" style="1556" customWidth="1"/>
    <col min="18" max="19" width="12.44140625" style="1556" customWidth="1"/>
    <col min="20" max="20" width="12.109375" style="1556" customWidth="1"/>
    <col min="21" max="21" width="7.44140625" style="1556" customWidth="1"/>
    <col min="22" max="22" width="6.33203125" style="1556" customWidth="1"/>
    <col min="23" max="30" width="6.77734375" style="1556" customWidth="1"/>
    <col min="31" max="31" width="8" style="1556" customWidth="1"/>
    <col min="32" max="34" width="7.21875" style="1556" customWidth="1"/>
    <col min="35" max="39" width="8" style="1556" customWidth="1"/>
    <col min="40" max="40" width="13.77734375" style="120"/>
    <col min="41" max="41" width="11.6640625" style="120" customWidth="1"/>
    <col min="42" max="42" width="9.77734375" style="120" customWidth="1"/>
    <col min="43" max="67" width="13.77734375" style="120"/>
    <col min="68" max="16384" width="13.77734375" style="1556"/>
  </cols>
  <sheetData>
    <row r="1" spans="1:67" ht="18" thickBot="1">
      <c r="A1" s="1554" t="s">
        <v>1160</v>
      </c>
      <c r="B1" s="643"/>
      <c r="C1" s="119"/>
      <c r="D1" s="1555"/>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6" customFormat="1" ht="15" thickBot="1">
      <c r="A2" s="1557" t="s">
        <v>1161</v>
      </c>
      <c r="B2" s="979">
        <f>项目基本情况!D3</f>
        <v>45029</v>
      </c>
      <c r="C2" s="1066"/>
      <c r="D2" s="1558"/>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6"/>
      <c r="D3" s="1558"/>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0"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57.6">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3375</v>
      </c>
      <c r="O5" s="1572" t="s">
        <v>1181</v>
      </c>
      <c r="P5" s="1575" t="s">
        <v>1182</v>
      </c>
      <c r="Q5" s="57" t="s">
        <v>1183</v>
      </c>
      <c r="R5" s="1576" t="s">
        <v>1184</v>
      </c>
      <c r="S5" s="1577" t="s">
        <v>1185</v>
      </c>
      <c r="T5" s="1578" t="s">
        <v>1186</v>
      </c>
      <c r="U5" s="980" t="s">
        <v>1187</v>
      </c>
      <c r="V5" s="502" t="s">
        <v>1188</v>
      </c>
      <c r="W5" s="502" t="s">
        <v>1189</v>
      </c>
      <c r="X5" s="59"/>
      <c r="Y5" s="58" t="s">
        <v>1190</v>
      </c>
      <c r="Z5" s="1096" t="s">
        <v>1187</v>
      </c>
      <c r="AA5" s="502" t="s">
        <v>1188</v>
      </c>
      <c r="AB5" s="502" t="s">
        <v>1189</v>
      </c>
      <c r="AC5" s="59"/>
      <c r="AD5" s="59" t="s">
        <v>1190</v>
      </c>
      <c r="AE5" s="980" t="s">
        <v>1191</v>
      </c>
      <c r="AF5" s="502" t="s">
        <v>1192</v>
      </c>
      <c r="AG5" s="58" t="s">
        <v>1193</v>
      </c>
      <c r="AH5" s="980" t="s">
        <v>1194</v>
      </c>
      <c r="AI5" s="1096" t="s">
        <v>1195</v>
      </c>
      <c r="AJ5" s="1096" t="s">
        <v>1196</v>
      </c>
      <c r="AK5" s="502" t="s">
        <v>1197</v>
      </c>
      <c r="AL5" s="502" t="s">
        <v>1198</v>
      </c>
      <c r="AM5" s="58" t="s">
        <v>1199</v>
      </c>
      <c r="AN5" s="1579" t="s">
        <v>1200</v>
      </c>
      <c r="AO5" s="1449" t="s">
        <v>1201</v>
      </c>
      <c r="AP5" s="963"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3.8">
      <c r="A6" s="1581" t="str">
        <f>'数据-汇总表'!C19</f>
        <v>住宅</v>
      </c>
      <c r="B6" s="1582" t="str">
        <f>IF(A6=0,"","经营性")</f>
        <v>经营性</v>
      </c>
      <c r="C6" s="1583" t="s">
        <v>3373</v>
      </c>
      <c r="D6" s="800">
        <f>SUMIF(项目基本情况!C$12:I$12,C6,项目基本情况!C$14:I$14)</f>
        <v>70</v>
      </c>
      <c r="E6" s="799">
        <f>IF(B6="","",SUMIF(项目基本情况!C$12:H$12,C6,项目基本情况!C$13:H$13))</f>
        <v>69899</v>
      </c>
      <c r="F6" s="60">
        <f>SUMIF(项目基本情况!C$12:I$12,C6,项目基本情况!C$15:I$15)</f>
        <v>68.13</v>
      </c>
      <c r="G6" s="61">
        <f>IF(ISERROR(ROUND(POWER(1+H6,D6-F6)*(POWER(1+H6,F6)-1)/(POWER(1+H6,D6)-1),3)),0,ROUND(POWER(1+H6,D6-F6)*(POWER(1+H6,F6)-1)/(POWER(1+H6,D6)-1),3))</f>
        <v>0.995</v>
      </c>
      <c r="H6" s="3184">
        <v>0.04</v>
      </c>
      <c r="I6" s="3184">
        <v>4.4999999999999998E-2</v>
      </c>
      <c r="J6" s="62"/>
      <c r="K6" s="965">
        <f>SUMIF('数据-汇总表'!C$19:C$33,A6,'数据-汇总表'!E$19:E$33)</f>
        <v>22498.01</v>
      </c>
      <c r="L6" s="3185">
        <v>6500</v>
      </c>
      <c r="M6" s="63">
        <f t="shared" ref="M6:M14" si="0">ROUND(K6*L6/10000,0)</f>
        <v>14624</v>
      </c>
      <c r="N6" s="3186">
        <v>0.75</v>
      </c>
      <c r="O6" s="63">
        <f>IF($N$5="成新度","——",ROUND(M6*N6,0))</f>
        <v>10968</v>
      </c>
      <c r="P6" s="64">
        <f>IF($N$5="成新度","——",M6-O6)</f>
        <v>3656</v>
      </c>
      <c r="Q6" s="3187">
        <v>0.18</v>
      </c>
      <c r="R6" s="65">
        <f ca="1">SUMIF('数据-汇总表'!C$19:C$33,A6,'数据-汇总表'!R$19:R$27)</f>
        <v>5453.11</v>
      </c>
      <c r="S6" s="48">
        <f>IF('数据-汇总表'!$I$17="按面积比例",SUMIF('数据-汇总表'!C$19:C$33,A6,'数据-汇总表'!K$19:K$33),SUMIF('数据-汇总表'!C$19:C$33,A6,'数据-汇总表'!N$19:N$33))</f>
        <v>0</v>
      </c>
      <c r="T6" s="1087">
        <f>ROUND($L$14*S6/10000,0)</f>
        <v>0</v>
      </c>
      <c r="U6" s="3120"/>
      <c r="V6" s="66"/>
      <c r="W6" s="66"/>
      <c r="X6" s="974"/>
      <c r="Y6" s="67"/>
      <c r="Z6" s="68"/>
      <c r="AA6" s="62"/>
      <c r="AB6" s="62"/>
      <c r="AC6" s="974"/>
      <c r="AD6" s="69"/>
      <c r="AE6" s="975">
        <f ca="1">IF(AN6="",0,SUMIF(INDIRECT("'"&amp;AN6&amp;"'"&amp;"!E:E"),$AE$5,INDIRECT("'"&amp;AN6&amp;"'"&amp;"!F:F")))</f>
        <v>0</v>
      </c>
      <c r="AF6" s="73"/>
      <c r="AG6" s="128">
        <f>IF(AF6="",0,AE6-AF6)</f>
        <v>0</v>
      </c>
      <c r="AH6" s="70"/>
      <c r="AI6" s="72"/>
      <c r="AJ6" s="73"/>
      <c r="AK6" s="74"/>
      <c r="AL6" s="75"/>
      <c r="AM6" s="76"/>
      <c r="AN6" s="1584"/>
      <c r="AO6" s="49" t="e">
        <f ca="1">SUMIF(INDIRECT("'"&amp;AN6&amp;"'"&amp;"!A:A"),"总价",INDIRECT("'"&amp;AN6&amp;"'"&amp;"!B:B"))</f>
        <v>#REF!</v>
      </c>
      <c r="AP6" s="1585">
        <f>IF(C6="住宅",K6*L6,0)</f>
        <v>146237065</v>
      </c>
      <c r="AQ6" s="49">
        <f>ROUND($L$14*$N$14*S6/10000,0)</f>
        <v>0</v>
      </c>
      <c r="AR6" s="49">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t="str">
        <f>'数据-汇总表'!C20</f>
        <v>仓储</v>
      </c>
      <c r="B7" s="1582" t="str">
        <f t="shared" ref="B7:B13" si="1">IF(A7=0,"","经营性")</f>
        <v>经营性</v>
      </c>
      <c r="C7" s="1583" t="s">
        <v>3336</v>
      </c>
      <c r="D7" s="800">
        <f>SUMIF(项目基本情况!C$12:I$12,C7,项目基本情况!C$14:I$14)</f>
        <v>50</v>
      </c>
      <c r="E7" s="799">
        <f>IF(B7="","",SUMIF(项目基本情况!C$12:H$12,C7,项目基本情况!C$13:H$13))</f>
        <v>62594</v>
      </c>
      <c r="F7" s="60">
        <f>SUMIF(项目基本情况!C$12:I$12,C7,项目基本情况!C$15:I$15)</f>
        <v>48.12</v>
      </c>
      <c r="G7" s="61">
        <f t="shared" ref="G7:G11" si="2">IF(ISERROR(ROUND(POWER(1+H7,D7-F7)*(POWER(1+H7,F7)-1)/(POWER(1+H7,D7)-1),3)),0,ROUND(POWER(1+H7,D7-F7)*(POWER(1+H7,F7)-1)/(POWER(1+H7,D7)-1),3))</f>
        <v>0.98899999999999999</v>
      </c>
      <c r="H7" s="3184">
        <v>4.4999999999999998E-2</v>
      </c>
      <c r="I7" s="3184">
        <v>0.05</v>
      </c>
      <c r="J7" s="62"/>
      <c r="K7" s="965">
        <f>SUMIF('数据-汇总表'!C$19:C$33,A7,'数据-汇总表'!E$19:E$33)</f>
        <v>1909.58</v>
      </c>
      <c r="L7" s="688">
        <v>4000</v>
      </c>
      <c r="M7" s="63">
        <f t="shared" si="0"/>
        <v>764</v>
      </c>
      <c r="N7" s="3186">
        <v>0.8</v>
      </c>
      <c r="O7" s="63">
        <f t="shared" ref="O7:O14" si="3">IF($N$5="成新度","——",ROUND(M7*N7,0))</f>
        <v>611</v>
      </c>
      <c r="P7" s="64">
        <f t="shared" ref="P7:P14" si="4">IF($N$5="成新度","——",M7-O7)</f>
        <v>153</v>
      </c>
      <c r="Q7" s="3187">
        <v>0.1</v>
      </c>
      <c r="R7" s="65">
        <f ca="1">SUMIF('数据-汇总表'!C$19:C$33,A7,'数据-汇总表'!R$19:R$27)</f>
        <v>462.85</v>
      </c>
      <c r="S7" s="48">
        <f>IF('数据-汇总表'!$I$17="按面积比例",SUMIF('数据-汇总表'!C$19:C$33,A7,'数据-汇总表'!K$19:K$33),SUMIF('数据-汇总表'!C$19:C$33,A7,'数据-汇总表'!N$19:N$33))</f>
        <v>0</v>
      </c>
      <c r="T7" s="1087">
        <f t="shared" ref="T7:T13" si="5">ROUND($L$14*S7/10000,0)</f>
        <v>0</v>
      </c>
      <c r="U7" s="3120"/>
      <c r="V7" s="66"/>
      <c r="W7" s="66"/>
      <c r="X7" s="974"/>
      <c r="Y7" s="67"/>
      <c r="Z7" s="68"/>
      <c r="AA7" s="62"/>
      <c r="AB7" s="62"/>
      <c r="AC7" s="974"/>
      <c r="AD7" s="69"/>
      <c r="AE7" s="975">
        <f t="shared" ref="AE7:AE13" ca="1" si="6">IF(AN7="",0,SUMIF(INDIRECT("'"&amp;AN7&amp;"'"&amp;"!E:E"),$AE$5,INDIRECT("'"&amp;AN7&amp;"'"&amp;"!F:F")))</f>
        <v>0</v>
      </c>
      <c r="AF7" s="73"/>
      <c r="AG7" s="128">
        <f t="shared" ref="AG7:AG13" si="7">IF(AF7="",0,AE7-AF7)</f>
        <v>0</v>
      </c>
      <c r="AH7" s="70"/>
      <c r="AI7" s="72"/>
      <c r="AJ7" s="73"/>
      <c r="AK7" s="74"/>
      <c r="AL7" s="75"/>
      <c r="AM7" s="76"/>
      <c r="AN7" s="1584"/>
      <c r="AO7" s="49" t="e">
        <f t="shared" ref="AO7:AO13" ca="1" si="8">SUMIF(INDIRECT("'"&amp;AN7&amp;"'"&amp;"!A:A"),"总价",INDIRECT("'"&amp;AN7&amp;"'"&amp;"!B:B"))</f>
        <v>#REF!</v>
      </c>
      <c r="AP7" s="1585">
        <f t="shared" ref="AP7:AP13" si="9">IF(C7="住宅",K7*L7,0)</f>
        <v>0</v>
      </c>
      <c r="AQ7" s="49">
        <f t="shared" ref="AQ7:AQ13" si="10">ROUND($L$14*$N$14*S7/10000,0)</f>
        <v>0</v>
      </c>
      <c r="AR7" s="49">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t="str">
        <f>'数据-汇总表'!C21</f>
        <v>车位</v>
      </c>
      <c r="B8" s="1582" t="str">
        <f t="shared" si="1"/>
        <v>经营性</v>
      </c>
      <c r="C8" s="1583" t="s">
        <v>3335</v>
      </c>
      <c r="D8" s="800">
        <f>SUMIF(项目基本情况!C$12:I$12,C8,项目基本情况!C$14:I$14)</f>
        <v>50</v>
      </c>
      <c r="E8" s="799">
        <f>IF(B8="","",SUMIF(项目基本情况!C$12:H$12,C8,项目基本情况!C$13:H$13))</f>
        <v>62594</v>
      </c>
      <c r="F8" s="60">
        <f>SUMIF(项目基本情况!C$12:I$12,C8,项目基本情况!C$15:I$15)</f>
        <v>48.12</v>
      </c>
      <c r="G8" s="61">
        <f t="shared" si="2"/>
        <v>0.98899999999999999</v>
      </c>
      <c r="H8" s="3184">
        <v>4.4999999999999998E-2</v>
      </c>
      <c r="I8" s="3184">
        <v>0.05</v>
      </c>
      <c r="J8" s="62"/>
      <c r="K8" s="965">
        <f>SUMIF('数据-汇总表'!C$19:C$33,A8,'数据-汇总表'!E$19:E$33)</f>
        <v>11415.02</v>
      </c>
      <c r="L8" s="688">
        <v>4000</v>
      </c>
      <c r="M8" s="63">
        <f>ROUND(K8*L8/10000,0)</f>
        <v>4566</v>
      </c>
      <c r="N8" s="3186">
        <f>N7</f>
        <v>0.8</v>
      </c>
      <c r="O8" s="63">
        <f t="shared" si="3"/>
        <v>3653</v>
      </c>
      <c r="P8" s="64">
        <f t="shared" si="4"/>
        <v>913</v>
      </c>
      <c r="Q8" s="3187">
        <v>0.08</v>
      </c>
      <c r="R8" s="65">
        <f ca="1">SUMIF('数据-汇总表'!C$19:C$33,A8,'数据-汇总表'!R$19:R$27)</f>
        <v>2766.79</v>
      </c>
      <c r="S8" s="48">
        <f>IF('数据-汇总表'!$I$17="按面积比例",SUMIF('数据-汇总表'!C$19:C$33,A8,'数据-汇总表'!K$19:K$33),SUMIF('数据-汇总表'!C$19:C$33,A8,'数据-汇总表'!N$19:N$33))</f>
        <v>0</v>
      </c>
      <c r="T8" s="1087">
        <f t="shared" si="5"/>
        <v>0</v>
      </c>
      <c r="U8" s="3121"/>
      <c r="V8" s="689"/>
      <c r="W8" s="689"/>
      <c r="X8" s="974"/>
      <c r="Y8" s="67"/>
      <c r="Z8" s="68"/>
      <c r="AA8" s="62"/>
      <c r="AB8" s="62"/>
      <c r="AC8" s="974"/>
      <c r="AD8" s="69"/>
      <c r="AE8" s="975">
        <f t="shared" ca="1" si="6"/>
        <v>0</v>
      </c>
      <c r="AF8" s="73"/>
      <c r="AG8" s="128">
        <f t="shared" si="7"/>
        <v>0</v>
      </c>
      <c r="AH8" s="690">
        <v>396</v>
      </c>
      <c r="AI8" s="72"/>
      <c r="AJ8" s="73"/>
      <c r="AK8" s="691"/>
      <c r="AL8" s="692"/>
      <c r="AM8" s="104"/>
      <c r="AN8" s="1584"/>
      <c r="AO8" s="49" t="e">
        <f t="shared" ca="1" si="8"/>
        <v>#REF!</v>
      </c>
      <c r="AP8" s="1585">
        <f t="shared" si="9"/>
        <v>0</v>
      </c>
      <c r="AQ8" s="49">
        <f t="shared" si="10"/>
        <v>0</v>
      </c>
      <c r="AR8" s="49">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f>'数据-汇总表'!C22</f>
        <v>0</v>
      </c>
      <c r="B9" s="1582" t="str">
        <f t="shared" si="1"/>
        <v/>
      </c>
      <c r="C9" s="1583"/>
      <c r="D9" s="800">
        <f>SUMIF(项目基本情况!C$12:I$12,C9,项目基本情况!C$14:I$14)</f>
        <v>0</v>
      </c>
      <c r="E9" s="799" t="str">
        <f>IF(B9="","",SUMIF(项目基本情况!C$12:H$12,C9,项目基本情况!C$13:H$13))</f>
        <v/>
      </c>
      <c r="F9" s="60">
        <f>SUMIF(项目基本情况!C$12:I$12,C9,项目基本情况!C$15:I$15)</f>
        <v>0</v>
      </c>
      <c r="G9" s="61">
        <f t="shared" si="2"/>
        <v>0</v>
      </c>
      <c r="H9" s="62"/>
      <c r="I9" s="62"/>
      <c r="J9" s="62"/>
      <c r="K9" s="965">
        <f>SUMIF('数据-汇总表'!C$19:C$33,A9,'数据-汇总表'!E$19:E$33)</f>
        <v>0</v>
      </c>
      <c r="L9" s="688"/>
      <c r="M9" s="63">
        <f t="shared" si="0"/>
        <v>0</v>
      </c>
      <c r="N9" s="687"/>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7">
        <f t="shared" si="5"/>
        <v>0</v>
      </c>
      <c r="U9" s="3120"/>
      <c r="V9" s="66"/>
      <c r="W9" s="66"/>
      <c r="X9" s="974"/>
      <c r="Y9" s="67"/>
      <c r="Z9" s="68"/>
      <c r="AA9" s="62"/>
      <c r="AB9" s="62"/>
      <c r="AC9" s="974"/>
      <c r="AD9" s="69"/>
      <c r="AE9" s="975">
        <f t="shared" ca="1" si="6"/>
        <v>0</v>
      </c>
      <c r="AF9" s="73"/>
      <c r="AG9" s="128">
        <f t="shared" si="7"/>
        <v>0</v>
      </c>
      <c r="AH9" s="70"/>
      <c r="AI9" s="72"/>
      <c r="AJ9" s="73"/>
      <c r="AK9" s="74"/>
      <c r="AL9" s="75"/>
      <c r="AM9" s="76"/>
      <c r="AN9" s="1584"/>
      <c r="AO9" s="49" t="e">
        <f t="shared" ca="1" si="8"/>
        <v>#REF!</v>
      </c>
      <c r="AP9" s="1585">
        <f t="shared" si="9"/>
        <v>0</v>
      </c>
      <c r="AQ9" s="49">
        <f t="shared" si="10"/>
        <v>0</v>
      </c>
      <c r="AR9" s="49">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0">
        <f>SUMIF(项目基本情况!C$12:I$12,C10,项目基本情况!C$14:I$14)</f>
        <v>0</v>
      </c>
      <c r="E10" s="799" t="str">
        <f>IF(B10="","",SUMIF(项目基本情况!C$12:H$12,C10,项目基本情况!C$13:H$13))</f>
        <v/>
      </c>
      <c r="F10" s="60">
        <f>SUMIF(项目基本情况!C$12:I$12,C10,项目基本情况!C$15:I$15)</f>
        <v>0</v>
      </c>
      <c r="G10" s="61">
        <f t="shared" si="2"/>
        <v>0</v>
      </c>
      <c r="H10" s="62"/>
      <c r="I10" s="62"/>
      <c r="J10" s="62"/>
      <c r="K10" s="965">
        <f>SUMIF('数据-汇总表'!C$19:C$33,A10,'数据-汇总表'!E$19:E$33)</f>
        <v>0</v>
      </c>
      <c r="L10" s="688"/>
      <c r="M10" s="63">
        <f t="shared" si="0"/>
        <v>0</v>
      </c>
      <c r="N10" s="687"/>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7">
        <f t="shared" si="5"/>
        <v>0</v>
      </c>
      <c r="U10" s="3120"/>
      <c r="V10" s="66"/>
      <c r="W10" s="66"/>
      <c r="X10" s="974"/>
      <c r="Y10" s="67"/>
      <c r="Z10" s="68"/>
      <c r="AA10" s="62"/>
      <c r="AB10" s="62"/>
      <c r="AC10" s="974"/>
      <c r="AD10" s="69"/>
      <c r="AE10" s="975">
        <f t="shared" ca="1" si="6"/>
        <v>0</v>
      </c>
      <c r="AF10" s="73"/>
      <c r="AG10" s="128">
        <f t="shared" si="7"/>
        <v>0</v>
      </c>
      <c r="AH10" s="70"/>
      <c r="AI10" s="72"/>
      <c r="AJ10" s="73"/>
      <c r="AK10" s="74"/>
      <c r="AL10" s="75"/>
      <c r="AM10" s="76"/>
      <c r="AN10" s="1584"/>
      <c r="AO10" s="49" t="e">
        <f t="shared" ca="1" si="8"/>
        <v>#REF!</v>
      </c>
      <c r="AP10" s="1585">
        <f t="shared" si="9"/>
        <v>0</v>
      </c>
      <c r="AQ10" s="49">
        <f t="shared" si="10"/>
        <v>0</v>
      </c>
      <c r="AR10" s="49">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0">
        <f>SUMIF(项目基本情况!C$12:I$12,C11,项目基本情况!C$14:I$14)</f>
        <v>0</v>
      </c>
      <c r="E11" s="799" t="str">
        <f>IF(B11="","",SUMIF(项目基本情况!C$12:H$12,C11,项目基本情况!C$13:H$13))</f>
        <v/>
      </c>
      <c r="F11" s="60">
        <f>SUMIF(项目基本情况!C$12:I$12,C11,项目基本情况!C$15:I$15)</f>
        <v>0</v>
      </c>
      <c r="G11" s="61">
        <f t="shared" si="2"/>
        <v>0</v>
      </c>
      <c r="H11" s="62"/>
      <c r="I11" s="62"/>
      <c r="J11" s="62"/>
      <c r="K11" s="965">
        <f>SUMIF('数据-汇总表'!C$19:C$33,A11,'数据-汇总表'!E$19:E$33)</f>
        <v>0</v>
      </c>
      <c r="L11" s="78"/>
      <c r="M11" s="63">
        <f t="shared" si="0"/>
        <v>0</v>
      </c>
      <c r="N11" s="687"/>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7">
        <f t="shared" si="5"/>
        <v>0</v>
      </c>
      <c r="U11" s="3120"/>
      <c r="V11" s="62"/>
      <c r="W11" s="62"/>
      <c r="X11" s="974"/>
      <c r="Y11" s="67"/>
      <c r="Z11" s="80"/>
      <c r="AA11" s="62"/>
      <c r="AB11" s="62"/>
      <c r="AC11" s="974"/>
      <c r="AD11" s="69"/>
      <c r="AE11" s="975">
        <f t="shared" ca="1" si="6"/>
        <v>0</v>
      </c>
      <c r="AF11" s="73"/>
      <c r="AG11" s="128">
        <f t="shared" si="7"/>
        <v>0</v>
      </c>
      <c r="AH11" s="70"/>
      <c r="AI11" s="72"/>
      <c r="AJ11" s="73"/>
      <c r="AK11" s="74"/>
      <c r="AL11" s="75"/>
      <c r="AM11" s="76"/>
      <c r="AN11" s="1584"/>
      <c r="AO11" s="49" t="e">
        <f t="shared" ca="1" si="8"/>
        <v>#REF!</v>
      </c>
      <c r="AP11" s="1585">
        <f t="shared" si="9"/>
        <v>0</v>
      </c>
      <c r="AQ11" s="49">
        <f t="shared" si="10"/>
        <v>0</v>
      </c>
      <c r="AR11" s="49">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0">
        <f>SUMIF(项目基本情况!C$12:I$12,C12,项目基本情况!C$14:I$14)</f>
        <v>0</v>
      </c>
      <c r="E12" s="799" t="str">
        <f>IF(B12="","",SUMIF(项目基本情况!C$12:H$12,C12,项目基本情况!C$13:H$13))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7"/>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7">
        <f t="shared" si="5"/>
        <v>0</v>
      </c>
      <c r="U12" s="3120"/>
      <c r="V12" s="62"/>
      <c r="W12" s="62"/>
      <c r="X12" s="974"/>
      <c r="Y12" s="67"/>
      <c r="Z12" s="80"/>
      <c r="AA12" s="62"/>
      <c r="AB12" s="62"/>
      <c r="AC12" s="974"/>
      <c r="AD12" s="69"/>
      <c r="AE12" s="975">
        <f t="shared" ca="1" si="6"/>
        <v>0</v>
      </c>
      <c r="AF12" s="73"/>
      <c r="AG12" s="128">
        <f t="shared" si="7"/>
        <v>0</v>
      </c>
      <c r="AH12" s="70"/>
      <c r="AI12" s="72"/>
      <c r="AJ12" s="73"/>
      <c r="AK12" s="74"/>
      <c r="AL12" s="75"/>
      <c r="AM12" s="76"/>
      <c r="AN12" s="1584"/>
      <c r="AO12" s="49" t="e">
        <f t="shared" ca="1" si="8"/>
        <v>#REF!</v>
      </c>
      <c r="AP12" s="1585">
        <f t="shared" si="9"/>
        <v>0</v>
      </c>
      <c r="AQ12" s="49">
        <f t="shared" si="10"/>
        <v>0</v>
      </c>
      <c r="AR12" s="49">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0">
        <f>SUMIF(项目基本情况!C$12:I$12,C13,项目基本情况!C$14:I$14)</f>
        <v>0</v>
      </c>
      <c r="E13" s="799" t="str">
        <f>IF(B13="","",SUMIF(项目基本情况!C$12:H$12,C13,项目基本情况!C$13:H$13))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7">
        <f t="shared" si="5"/>
        <v>0</v>
      </c>
      <c r="U13" s="3122"/>
      <c r="V13" s="66"/>
      <c r="W13" s="66"/>
      <c r="X13" s="974"/>
      <c r="Y13" s="67"/>
      <c r="Z13" s="68"/>
      <c r="AA13" s="62"/>
      <c r="AB13" s="62"/>
      <c r="AC13" s="974"/>
      <c r="AD13" s="69"/>
      <c r="AE13" s="975">
        <f t="shared" ca="1" si="6"/>
        <v>0</v>
      </c>
      <c r="AF13" s="73"/>
      <c r="AG13" s="128">
        <f t="shared" si="7"/>
        <v>0</v>
      </c>
      <c r="AH13" s="70"/>
      <c r="AI13" s="72"/>
      <c r="AJ13" s="73"/>
      <c r="AK13" s="74"/>
      <c r="AL13" s="75"/>
      <c r="AM13" s="76"/>
      <c r="AN13" s="1584"/>
      <c r="AO13" s="49" t="e">
        <f t="shared" ca="1" si="8"/>
        <v>#REF!</v>
      </c>
      <c r="AP13" s="1585">
        <f t="shared" si="9"/>
        <v>0</v>
      </c>
      <c r="AQ13" s="49">
        <f t="shared" si="10"/>
        <v>0</v>
      </c>
      <c r="AR13" s="49">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1205</v>
      </c>
      <c r="B14" s="1582" t="s">
        <v>1206</v>
      </c>
      <c r="C14" s="1587" t="s">
        <v>1205</v>
      </c>
      <c r="D14" s="800"/>
      <c r="E14" s="799"/>
      <c r="F14" s="60"/>
      <c r="G14" s="61"/>
      <c r="H14" s="964"/>
      <c r="I14" s="964"/>
      <c r="J14" s="964"/>
      <c r="K14" s="965">
        <f>SUMIF('数据-汇总表'!C$19:C$33,A14,'数据-汇总表'!E$19:E$33)</f>
        <v>0</v>
      </c>
      <c r="L14" s="78"/>
      <c r="M14" s="63">
        <f t="shared" si="0"/>
        <v>0</v>
      </c>
      <c r="N14" s="79"/>
      <c r="O14" s="63">
        <f t="shared" si="3"/>
        <v>0</v>
      </c>
      <c r="P14" s="64">
        <f t="shared" si="4"/>
        <v>0</v>
      </c>
      <c r="Q14" s="968"/>
      <c r="R14" s="65"/>
      <c r="S14" s="48"/>
      <c r="T14" s="1087"/>
      <c r="U14" s="635"/>
      <c r="V14" s="970"/>
      <c r="W14" s="970"/>
      <c r="X14" s="971"/>
      <c r="Y14" s="972"/>
      <c r="Z14" s="53"/>
      <c r="AA14" s="973"/>
      <c r="AB14" s="973"/>
      <c r="AC14" s="974"/>
      <c r="AD14" s="971"/>
      <c r="AE14" s="975"/>
      <c r="AF14" s="49"/>
      <c r="AG14" s="128"/>
      <c r="AH14" s="975"/>
      <c r="AI14" s="1261"/>
      <c r="AJ14" s="49"/>
      <c r="AK14" s="976"/>
      <c r="AL14" s="977"/>
      <c r="AM14" s="978"/>
      <c r="AN14" s="2441"/>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1207</v>
      </c>
      <c r="B15" s="1582" t="s">
        <v>1206</v>
      </c>
      <c r="C15" s="1587" t="s">
        <v>1208</v>
      </c>
      <c r="D15" s="800"/>
      <c r="E15" s="799"/>
      <c r="F15" s="60"/>
      <c r="G15" s="61"/>
      <c r="H15" s="964"/>
      <c r="I15" s="964"/>
      <c r="J15" s="964"/>
      <c r="K15" s="965">
        <f>SUMIF('数据-汇总表'!C$19:C$33,A15,'数据-汇总表'!E$19:E$33)</f>
        <v>0</v>
      </c>
      <c r="L15" s="966"/>
      <c r="M15" s="63"/>
      <c r="N15" s="967"/>
      <c r="O15" s="63"/>
      <c r="P15" s="64"/>
      <c r="Q15" s="968"/>
      <c r="R15" s="65"/>
      <c r="S15" s="48"/>
      <c r="T15" s="1087"/>
      <c r="U15" s="635"/>
      <c r="V15" s="970"/>
      <c r="W15" s="970"/>
      <c r="X15" s="971"/>
      <c r="Y15" s="972"/>
      <c r="Z15" s="53"/>
      <c r="AA15" s="973"/>
      <c r="AB15" s="973"/>
      <c r="AC15" s="974"/>
      <c r="AD15" s="971"/>
      <c r="AE15" s="975"/>
      <c r="AF15" s="49"/>
      <c r="AG15" s="128"/>
      <c r="AH15" s="975"/>
      <c r="AI15" s="1261"/>
      <c r="AJ15" s="49"/>
      <c r="AK15" s="976"/>
      <c r="AL15" s="977"/>
      <c r="AM15" s="978"/>
      <c r="AN15" s="2441"/>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1209</v>
      </c>
      <c r="B16" s="81"/>
      <c r="C16" s="778"/>
      <c r="D16" s="1589"/>
      <c r="E16" s="81"/>
      <c r="F16" s="81"/>
      <c r="G16" s="82">
        <f>ROUND(SUMPRODUCT(G6:G13,K6:K13)/SUMPRODUCT((G6:G13&gt;0)*(K6:K13)),3)</f>
        <v>0.99299999999999999</v>
      </c>
      <c r="H16" s="83">
        <f>ROUND(SUMPRODUCT(H6:H13,K6:K13)/SUMPRODUCT((H6:H13&gt;0)*(K6:K13)),3)</f>
        <v>4.2000000000000003E-2</v>
      </c>
      <c r="I16" s="84"/>
      <c r="J16" s="84"/>
      <c r="K16" s="85">
        <f>SUM(K6:K15)</f>
        <v>35822.61</v>
      </c>
      <c r="L16" s="86">
        <f>ROUND(M16*10000/SUM(K6:K14),0)</f>
        <v>5570</v>
      </c>
      <c r="M16" s="86">
        <f>SUM(M6:M14)</f>
        <v>19954</v>
      </c>
      <c r="N16" s="87">
        <f>ROUND(SUMPRODUCT(M6:M14,N6:N14)/M16,3)</f>
        <v>0.76300000000000001</v>
      </c>
      <c r="O16" s="86">
        <f>SUM(O6:O14)</f>
        <v>15232</v>
      </c>
      <c r="P16" s="86">
        <f>SUM(P6:P14)</f>
        <v>4722</v>
      </c>
      <c r="Q16" s="88">
        <f>ROUND(SUMPRODUCT(Q6:Q13,K6:K13)/SUMPRODUCT((Q6:Q13&gt;0)*(K6:K13)),2)</f>
        <v>0.14000000000000001</v>
      </c>
      <c r="R16" s="969">
        <f ca="1">SUM(R6:R13)</f>
        <v>8682.75</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1"/>
      <c r="D18" s="2444"/>
      <c r="E18" s="2431"/>
      <c r="F18" s="2431"/>
      <c r="G18" s="2431"/>
      <c r="H18" s="2431"/>
      <c r="I18" s="2431"/>
      <c r="J18" s="2431"/>
      <c r="K18" s="2442"/>
      <c r="L18" s="2442"/>
      <c r="M18" s="2441"/>
      <c r="N18" s="2441"/>
      <c r="O18" s="2441"/>
      <c r="P18" s="2441"/>
      <c r="Q18" s="2441">
        <f>Q6/B20</f>
        <v>7.1999999999999995E-2</v>
      </c>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1" t="s">
        <v>1211</v>
      </c>
      <c r="B19" s="96">
        <v>0</v>
      </c>
      <c r="C19" s="2553" t="s">
        <v>2298</v>
      </c>
      <c r="D19" s="2444"/>
      <c r="E19" s="2431"/>
      <c r="F19" s="2431"/>
      <c r="G19" s="2431"/>
      <c r="H19" s="2431"/>
      <c r="I19" s="2431"/>
      <c r="J19" s="2431"/>
      <c r="K19" s="2442"/>
      <c r="L19" s="2442"/>
      <c r="M19" s="2441"/>
      <c r="N19" s="3183" t="s">
        <v>3559</v>
      </c>
      <c r="O19" s="2441"/>
      <c r="P19" s="2441"/>
      <c r="Q19" s="2441">
        <f>Q7/B20</f>
        <v>0.04</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2" t="s">
        <v>1212</v>
      </c>
      <c r="B20" s="3178">
        <v>2.5</v>
      </c>
      <c r="C20" s="2554" t="s">
        <v>2296</v>
      </c>
      <c r="D20" s="2444"/>
      <c r="E20" s="2431"/>
      <c r="F20" s="2431"/>
      <c r="G20" s="2431"/>
      <c r="H20" s="2431">
        <f>(0.995*22498.01+0.989*(1909.58+11415.02))/35822.61</f>
        <v>0.99276823631778921</v>
      </c>
      <c r="I20" s="2431"/>
      <c r="J20" s="2431"/>
      <c r="K20" s="2442"/>
      <c r="L20" s="2442"/>
      <c r="M20" s="2441"/>
      <c r="N20" s="2441"/>
      <c r="O20" s="2441"/>
      <c r="P20" s="2441"/>
      <c r="Q20" s="2441">
        <f>Q8/B20</f>
        <v>3.2000000000000001E-2</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3" t="s">
        <v>1213</v>
      </c>
      <c r="B21" s="3178">
        <f>ROUND(B20*N16,1)</f>
        <v>1.9</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2" t="s">
        <v>1214</v>
      </c>
      <c r="B22" s="97">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3" t="s">
        <v>1215</v>
      </c>
      <c r="B23" s="97">
        <f>B19+B21</f>
        <v>1.9</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98">
        <f>B20-B21</f>
        <v>0.60000000000000009</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4"/>
      <c r="B25" s="1537"/>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6" t="s">
        <v>1220</v>
      </c>
      <c r="B27" s="99">
        <v>160</v>
      </c>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7" t="s">
        <v>1221</v>
      </c>
      <c r="B28" s="101">
        <v>200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8" t="s">
        <v>1222</v>
      </c>
      <c r="B29" s="103">
        <f ca="1">成本法!C9+成本法!C10</f>
        <v>626</v>
      </c>
      <c r="C29" s="2556" t="s">
        <v>2287</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599" t="s">
        <v>1223</v>
      </c>
      <c r="B30" s="636">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7" t="s">
        <v>1224</v>
      </c>
      <c r="B31" s="102">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0" t="s">
        <v>1225</v>
      </c>
      <c r="B32" s="637">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6" t="s">
        <v>1226</v>
      </c>
      <c r="B33" s="3188">
        <v>0.03</v>
      </c>
      <c r="C33" s="2557" t="s">
        <v>2288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7" t="s">
        <v>1227</v>
      </c>
      <c r="B34" s="3189">
        <v>0.03</v>
      </c>
      <c r="C34" s="2557" t="s">
        <v>2289</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7" t="s">
        <v>1228</v>
      </c>
      <c r="B35" s="101">
        <v>200</v>
      </c>
      <c r="C35" s="2557" t="s">
        <v>2290</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5">
        <v>1.4999999999999999E-2</v>
      </c>
      <c r="C36" s="2557" t="s">
        <v>2291</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599" t="s">
        <v>1230</v>
      </c>
      <c r="B37" s="106">
        <v>0.03</v>
      </c>
      <c r="C37" s="2557" t="s">
        <v>2292</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7" t="s">
        <v>1231</v>
      </c>
      <c r="B38" s="104">
        <v>0.03</v>
      </c>
      <c r="C38" s="2557" t="s">
        <v>2292</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0" t="s">
        <v>1232</v>
      </c>
      <c r="B39" s="307">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8.2" thickBot="1">
      <c r="A40" s="2566" t="s">
        <v>3376</v>
      </c>
      <c r="B40" s="1010">
        <f ca="1">IF(A40="利息：取LPR",存贷款利率!G1,存贷款利率!G1+C40)</f>
        <v>4.1499999999999995E-2</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6" t="s">
        <v>1233</v>
      </c>
      <c r="B41" s="107">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1"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1" t="s">
        <v>1235</v>
      </c>
      <c r="B43" s="109">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2" t="s">
        <v>1236</v>
      </c>
      <c r="B44" s="110">
        <v>7.0000000000000007E-2</v>
      </c>
      <c r="C44" s="2557" t="s">
        <v>2301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2" t="s">
        <v>1237</v>
      </c>
      <c r="B45" s="108">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2" t="s">
        <v>1238</v>
      </c>
      <c r="B46" s="108">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1"/>
      <c r="C47" s="2559" t="s">
        <v>2302</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4" t="s">
        <v>1240</v>
      </c>
      <c r="B48" s="112">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108">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5"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5" t="s">
        <v>1244</v>
      </c>
      <c r="B52" s="115">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7" t="s">
        <v>1245</v>
      </c>
      <c r="B53" s="1606"/>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7" t="s">
        <v>1247</v>
      </c>
      <c r="B54" s="71"/>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7" t="s">
        <v>1248</v>
      </c>
      <c r="B55" s="71"/>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7" t="s">
        <v>1249</v>
      </c>
      <c r="B56" s="71"/>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7" t="s">
        <v>1250</v>
      </c>
      <c r="B57" s="71"/>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7" t="s">
        <v>1251</v>
      </c>
      <c r="B58" s="71"/>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7" t="s">
        <v>1252</v>
      </c>
      <c r="B59" s="71"/>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7" t="s">
        <v>1253</v>
      </c>
      <c r="B60" s="71"/>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7" t="s">
        <v>1254</v>
      </c>
      <c r="B61" s="71"/>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7" t="s">
        <v>1255</v>
      </c>
      <c r="B62" s="71"/>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09"/>
      <c r="D69" s="1610"/>
      <c r="K69" s="684"/>
      <c r="L69" s="684"/>
    </row>
    <row r="70" spans="1:44" s="681" customFormat="1">
      <c r="A70" s="1609"/>
      <c r="D70" s="1610"/>
      <c r="K70" s="684"/>
      <c r="L70" s="684"/>
    </row>
    <row r="71" spans="1:44" s="681" customFormat="1">
      <c r="A71" s="1609"/>
      <c r="D71" s="1610"/>
      <c r="K71" s="684"/>
      <c r="L71" s="684"/>
    </row>
    <row r="72" spans="1:44" s="681" customFormat="1">
      <c r="A72" s="1609"/>
      <c r="D72" s="1610"/>
      <c r="K72" s="684"/>
      <c r="L72" s="684"/>
    </row>
    <row r="73" spans="1:44" s="681" customFormat="1">
      <c r="A73" s="1609"/>
      <c r="D73" s="1610"/>
      <c r="K73" s="684"/>
      <c r="L73" s="684"/>
    </row>
    <row r="74" spans="1:44" s="681" customFormat="1">
      <c r="A74" s="1609"/>
      <c r="D74" s="1610"/>
      <c r="K74" s="684"/>
      <c r="L74" s="684"/>
    </row>
    <row r="75" spans="1:44" s="681" customFormat="1">
      <c r="A75" s="1609"/>
      <c r="D75" s="1610"/>
      <c r="K75" s="684"/>
      <c r="L75" s="684"/>
    </row>
    <row r="76" spans="1:44" s="681" customFormat="1">
      <c r="A76" s="1609"/>
      <c r="D76" s="1610"/>
      <c r="K76" s="684"/>
      <c r="L76" s="684"/>
    </row>
    <row r="77" spans="1:44" s="681" customFormat="1">
      <c r="A77" s="1609"/>
      <c r="D77" s="1610"/>
      <c r="K77" s="684"/>
      <c r="L77" s="684"/>
    </row>
    <row r="78" spans="1:44" s="681" customFormat="1">
      <c r="A78" s="1609"/>
      <c r="D78" s="1610"/>
      <c r="K78" s="684"/>
      <c r="L78" s="684"/>
    </row>
    <row r="79" spans="1:44" s="681" customFormat="1">
      <c r="A79" s="1609"/>
      <c r="D79" s="1610"/>
      <c r="K79" s="684"/>
      <c r="L79" s="684"/>
    </row>
    <row r="80" spans="1:44" s="681" customFormat="1">
      <c r="A80" s="1609"/>
      <c r="D80" s="1610"/>
      <c r="K80" s="684"/>
      <c r="L80" s="684"/>
    </row>
    <row r="81" spans="1:12" s="681" customFormat="1">
      <c r="A81" s="1609"/>
      <c r="D81" s="1610"/>
      <c r="K81" s="684"/>
      <c r="L81" s="684"/>
    </row>
    <row r="82" spans="1:12" s="681" customFormat="1">
      <c r="A82" s="1609"/>
      <c r="D82" s="1610"/>
      <c r="K82" s="684"/>
      <c r="L82" s="684"/>
    </row>
    <row r="83" spans="1:12" s="681" customFormat="1">
      <c r="A83" s="1609"/>
      <c r="D83" s="1610"/>
      <c r="K83" s="684"/>
      <c r="L83" s="684"/>
    </row>
    <row r="84" spans="1:12" s="681" customFormat="1">
      <c r="A84" s="1609"/>
      <c r="D84" s="1610"/>
      <c r="K84" s="684"/>
      <c r="L84" s="684"/>
    </row>
    <row r="85" spans="1:12" s="681" customFormat="1">
      <c r="A85" s="1609"/>
      <c r="D85" s="1610"/>
      <c r="K85" s="684"/>
      <c r="L85" s="684"/>
    </row>
    <row r="86" spans="1:12" s="681" customFormat="1">
      <c r="A86" s="1609"/>
      <c r="D86" s="1610"/>
      <c r="K86" s="684"/>
      <c r="L86" s="684"/>
    </row>
    <row r="87" spans="1:12" s="681" customFormat="1">
      <c r="A87" s="1609"/>
      <c r="D87" s="1610"/>
      <c r="K87" s="684"/>
      <c r="L87" s="684"/>
    </row>
    <row r="88" spans="1:12" s="681" customFormat="1">
      <c r="A88" s="1609"/>
      <c r="D88" s="1610"/>
      <c r="K88" s="684"/>
      <c r="L88" s="684"/>
    </row>
    <row r="89" spans="1:12" s="681" customFormat="1">
      <c r="A89" s="1609"/>
      <c r="D89" s="1610"/>
      <c r="K89" s="684"/>
      <c r="L89" s="684"/>
    </row>
    <row r="90" spans="1:12" s="681" customFormat="1">
      <c r="A90" s="1609"/>
      <c r="D90" s="1610"/>
      <c r="K90" s="684"/>
      <c r="L90" s="684"/>
    </row>
    <row r="91" spans="1:12" s="681" customFormat="1">
      <c r="A91" s="1609"/>
      <c r="D91" s="1610"/>
      <c r="K91" s="684"/>
      <c r="L91" s="684"/>
    </row>
    <row r="92" spans="1:12" s="681" customFormat="1">
      <c r="A92" s="1609"/>
      <c r="D92" s="1610"/>
      <c r="K92" s="684"/>
      <c r="L92" s="684"/>
    </row>
    <row r="93" spans="1:12" s="681" customFormat="1">
      <c r="A93" s="1609"/>
      <c r="D93" s="1610"/>
      <c r="K93" s="684"/>
      <c r="L93" s="684"/>
    </row>
    <row r="94" spans="1:12" s="681" customFormat="1">
      <c r="A94" s="1609"/>
      <c r="D94" s="1610"/>
      <c r="K94" s="684"/>
      <c r="L94" s="684"/>
    </row>
    <row r="95" spans="1:12" s="681" customFormat="1">
      <c r="A95" s="1609"/>
      <c r="D95" s="1610"/>
      <c r="K95" s="684"/>
      <c r="L95" s="684"/>
    </row>
    <row r="96" spans="1:12" s="681" customFormat="1">
      <c r="A96" s="1609"/>
      <c r="D96" s="1610"/>
      <c r="K96" s="684"/>
      <c r="L96" s="684"/>
    </row>
    <row r="97" spans="1:12" s="681" customFormat="1">
      <c r="A97" s="1609"/>
      <c r="D97" s="1610"/>
      <c r="K97" s="684"/>
      <c r="L97" s="684"/>
    </row>
    <row r="98" spans="1:12" s="681" customFormat="1">
      <c r="A98" s="1609"/>
      <c r="D98" s="1610"/>
      <c r="K98" s="684"/>
      <c r="L98" s="684"/>
    </row>
    <row r="99" spans="1:12" s="681" customFormat="1">
      <c r="A99" s="1609"/>
      <c r="D99" s="1610"/>
      <c r="K99" s="684"/>
      <c r="L99" s="684"/>
    </row>
    <row r="100" spans="1:12" s="681" customFormat="1">
      <c r="A100" s="1609"/>
      <c r="D100" s="1610"/>
      <c r="K100" s="684"/>
      <c r="L100" s="684"/>
    </row>
    <row r="101" spans="1:12" s="681" customFormat="1">
      <c r="A101" s="1609"/>
      <c r="D101" s="1610"/>
      <c r="K101" s="684"/>
      <c r="L101" s="684"/>
    </row>
    <row r="102" spans="1:12" s="681" customFormat="1">
      <c r="A102" s="1609"/>
      <c r="D102" s="1610"/>
      <c r="K102" s="684"/>
      <c r="L102" s="684"/>
    </row>
    <row r="103" spans="1:12" s="681" customFormat="1">
      <c r="A103" s="1609"/>
      <c r="D103" s="1610"/>
      <c r="K103" s="684"/>
      <c r="L103" s="684"/>
    </row>
    <row r="104" spans="1:12" s="681" customFormat="1">
      <c r="A104" s="1609"/>
      <c r="D104" s="1610"/>
      <c r="K104" s="684"/>
      <c r="L104" s="684"/>
    </row>
    <row r="105" spans="1:12" s="681" customFormat="1">
      <c r="A105" s="1609"/>
      <c r="D105" s="1610"/>
      <c r="K105" s="684"/>
      <c r="L105" s="684"/>
    </row>
    <row r="106" spans="1:12" s="681" customFormat="1">
      <c r="A106" s="1609"/>
      <c r="D106" s="1610"/>
      <c r="K106" s="684"/>
      <c r="L106" s="684"/>
    </row>
    <row r="107" spans="1:12" s="681" customFormat="1">
      <c r="A107" s="1609"/>
      <c r="D107" s="1610"/>
      <c r="K107" s="684"/>
      <c r="L107" s="684"/>
    </row>
    <row r="108" spans="1:12" s="681" customFormat="1">
      <c r="A108" s="1609"/>
      <c r="D108" s="1610"/>
      <c r="K108" s="684"/>
      <c r="L108" s="684"/>
    </row>
    <row r="109" spans="1:12" s="681" customFormat="1">
      <c r="A109" s="1609"/>
      <c r="D109" s="1610"/>
      <c r="K109" s="684"/>
      <c r="L109" s="684"/>
    </row>
    <row r="110" spans="1:12" s="681" customFormat="1">
      <c r="A110" s="1609"/>
      <c r="D110" s="1610"/>
      <c r="K110" s="684"/>
      <c r="L110" s="684"/>
    </row>
    <row r="111" spans="1:12" s="681" customFormat="1">
      <c r="A111" s="1609"/>
      <c r="D111" s="1610"/>
      <c r="K111" s="684"/>
      <c r="L111" s="684"/>
    </row>
    <row r="112" spans="1:12" s="681" customFormat="1">
      <c r="A112" s="1609"/>
      <c r="D112" s="1610"/>
      <c r="K112" s="684"/>
      <c r="L112" s="684"/>
    </row>
    <row r="113" spans="1:12" s="681" customFormat="1">
      <c r="A113" s="1609"/>
      <c r="D113" s="1610"/>
      <c r="K113" s="684"/>
      <c r="L113" s="684"/>
    </row>
    <row r="114" spans="1:12" s="681" customFormat="1">
      <c r="A114" s="1609"/>
      <c r="D114" s="1610"/>
      <c r="K114" s="684"/>
      <c r="L114" s="684"/>
    </row>
    <row r="115" spans="1:12" s="681" customFormat="1">
      <c r="A115" s="1609"/>
      <c r="D115" s="1610"/>
      <c r="K115" s="684"/>
      <c r="L115" s="684"/>
    </row>
    <row r="116" spans="1:12" s="681" customFormat="1">
      <c r="A116" s="1609"/>
      <c r="D116" s="1610"/>
      <c r="K116" s="684"/>
      <c r="L116" s="684"/>
    </row>
    <row r="117" spans="1:12" s="681" customFormat="1">
      <c r="A117" s="1609"/>
      <c r="D117" s="1610"/>
      <c r="K117" s="684"/>
      <c r="L117" s="684"/>
    </row>
    <row r="118" spans="1:12" s="681" customFormat="1">
      <c r="A118" s="1609"/>
      <c r="D118" s="1610"/>
      <c r="K118" s="684"/>
      <c r="L118" s="684"/>
    </row>
    <row r="119" spans="1:12" s="681" customFormat="1">
      <c r="A119" s="1609"/>
      <c r="D119" s="1610"/>
      <c r="K119" s="684"/>
      <c r="L119" s="684"/>
    </row>
    <row r="120" spans="1:12" s="681" customFormat="1">
      <c r="A120" s="1609"/>
      <c r="D120" s="1610"/>
      <c r="K120" s="684"/>
      <c r="L120" s="684"/>
    </row>
    <row r="121" spans="1:12" s="681" customFormat="1">
      <c r="A121" s="1609"/>
      <c r="D121" s="1610"/>
      <c r="K121" s="684"/>
      <c r="L121" s="684"/>
    </row>
    <row r="122" spans="1:12" s="681" customFormat="1">
      <c r="A122" s="1609"/>
      <c r="D122" s="1610"/>
      <c r="K122" s="684"/>
      <c r="L122" s="684"/>
    </row>
    <row r="123" spans="1:12" s="681" customFormat="1">
      <c r="A123" s="1609"/>
      <c r="D123" s="1610"/>
      <c r="K123" s="684"/>
      <c r="L123" s="684"/>
    </row>
    <row r="124" spans="1:12" s="681" customFormat="1">
      <c r="A124" s="1609"/>
      <c r="D124" s="1610"/>
      <c r="K124" s="684"/>
      <c r="L124" s="684"/>
    </row>
    <row r="125" spans="1:12" s="681" customFormat="1">
      <c r="A125" s="1609"/>
      <c r="D125" s="1610"/>
      <c r="K125" s="684"/>
      <c r="L125" s="684"/>
    </row>
    <row r="126" spans="1:12" s="681" customFormat="1">
      <c r="A126" s="1609"/>
      <c r="D126" s="1610"/>
      <c r="K126" s="684"/>
      <c r="L126" s="684"/>
    </row>
    <row r="127" spans="1:12" s="681" customFormat="1">
      <c r="A127" s="1609"/>
      <c r="D127" s="1610"/>
      <c r="K127" s="684"/>
      <c r="L127" s="684"/>
    </row>
    <row r="128" spans="1:12" s="681" customFormat="1">
      <c r="A128" s="1609"/>
      <c r="D128" s="1610"/>
      <c r="K128" s="684"/>
      <c r="L128" s="684"/>
    </row>
    <row r="129" spans="1:12" s="681" customFormat="1">
      <c r="A129" s="1609"/>
      <c r="D129" s="1610"/>
      <c r="K129" s="684"/>
      <c r="L129" s="684"/>
    </row>
    <row r="130" spans="1:12" s="681" customFormat="1">
      <c r="A130" s="1609"/>
      <c r="D130" s="1610"/>
      <c r="K130" s="684"/>
      <c r="L130" s="684"/>
    </row>
    <row r="131" spans="1:12" s="681" customFormat="1">
      <c r="A131" s="1609"/>
      <c r="D131" s="1610"/>
      <c r="K131" s="684"/>
      <c r="L131" s="684"/>
    </row>
    <row r="132" spans="1:12" s="681" customFormat="1">
      <c r="A132" s="1609"/>
      <c r="D132" s="1610"/>
      <c r="K132" s="684"/>
      <c r="L132" s="684"/>
    </row>
    <row r="133" spans="1:12" s="681" customFormat="1">
      <c r="A133" s="1609"/>
      <c r="D133" s="1610"/>
      <c r="K133" s="684"/>
      <c r="L133" s="684"/>
    </row>
    <row r="134" spans="1:12" s="120" customFormat="1">
      <c r="A134" s="1611"/>
      <c r="D134" s="1612"/>
      <c r="K134" s="23"/>
      <c r="L134" s="23"/>
    </row>
    <row r="135" spans="1:12" s="120" customFormat="1">
      <c r="A135" s="1611"/>
      <c r="D135" s="1612"/>
      <c r="K135" s="23"/>
      <c r="L135" s="23"/>
    </row>
    <row r="136" spans="1:12" s="120" customFormat="1">
      <c r="A136" s="1611"/>
      <c r="D136" s="1612"/>
      <c r="K136" s="23"/>
      <c r="L136" s="23"/>
    </row>
    <row r="137" spans="1:12" s="120" customFormat="1">
      <c r="A137" s="1611"/>
      <c r="D137" s="1612"/>
      <c r="K137" s="23"/>
      <c r="L137" s="23"/>
    </row>
    <row r="138" spans="1:12" s="120" customFormat="1">
      <c r="A138" s="1611"/>
      <c r="D138" s="1612"/>
      <c r="K138" s="23"/>
      <c r="L138" s="23"/>
    </row>
    <row r="139" spans="1:12" s="120" customFormat="1">
      <c r="A139" s="1611"/>
      <c r="D139" s="1612"/>
      <c r="K139" s="23"/>
      <c r="L139" s="23"/>
    </row>
    <row r="140" spans="1:12" s="120" customFormat="1">
      <c r="A140" s="1611"/>
      <c r="D140" s="1612"/>
      <c r="K140" s="23"/>
      <c r="L140" s="23"/>
    </row>
    <row r="141" spans="1:12" s="120" customFormat="1">
      <c r="A141" s="1611"/>
      <c r="D141" s="1612"/>
      <c r="K141" s="23"/>
      <c r="L141" s="23"/>
    </row>
    <row r="142" spans="1:12" s="120" customFormat="1">
      <c r="A142" s="1611"/>
      <c r="D142" s="1612"/>
      <c r="K142" s="23"/>
      <c r="L142" s="23"/>
    </row>
    <row r="143" spans="1:12" s="120" customFormat="1">
      <c r="A143" s="1611"/>
      <c r="D143" s="1612"/>
      <c r="K143" s="23"/>
      <c r="L143" s="23"/>
    </row>
    <row r="144" spans="1:12" s="120" customFormat="1">
      <c r="A144" s="1611"/>
      <c r="D144" s="1612"/>
      <c r="K144" s="23"/>
      <c r="L144" s="23"/>
    </row>
    <row r="145" spans="1:12" s="120" customFormat="1">
      <c r="A145" s="1611"/>
      <c r="D145" s="1612"/>
      <c r="K145" s="23"/>
      <c r="L145" s="23"/>
    </row>
    <row r="146" spans="1:12" s="120" customFormat="1">
      <c r="A146" s="1611"/>
      <c r="D146" s="1612"/>
      <c r="K146" s="23"/>
      <c r="L146" s="23"/>
    </row>
    <row r="147" spans="1:12" s="120" customFormat="1">
      <c r="A147" s="1611"/>
      <c r="D147" s="1612"/>
      <c r="K147" s="23"/>
      <c r="L147" s="23"/>
    </row>
    <row r="148" spans="1:12" s="120" customFormat="1">
      <c r="A148" s="1611"/>
      <c r="D148" s="1612"/>
      <c r="K148" s="23"/>
      <c r="L148" s="23"/>
    </row>
    <row r="149" spans="1:12" s="120" customFormat="1">
      <c r="A149" s="1611"/>
      <c r="D149" s="1612"/>
      <c r="K149" s="23"/>
      <c r="L149" s="23"/>
    </row>
    <row r="150" spans="1:12" s="120" customFormat="1">
      <c r="A150" s="1611"/>
      <c r="D150" s="1612"/>
      <c r="K150" s="23"/>
      <c r="L150" s="23"/>
    </row>
    <row r="151" spans="1:12" s="120" customFormat="1">
      <c r="A151" s="1611"/>
      <c r="D151" s="1612"/>
      <c r="K151" s="23"/>
      <c r="L151" s="23"/>
    </row>
    <row r="152" spans="1:12" s="120" customFormat="1">
      <c r="A152" s="1611"/>
      <c r="D152" s="1612"/>
      <c r="K152" s="23"/>
      <c r="L152" s="23"/>
    </row>
    <row r="153" spans="1:12" s="120" customFormat="1">
      <c r="A153" s="1611"/>
      <c r="D153" s="1612"/>
      <c r="K153" s="23"/>
      <c r="L153" s="23"/>
    </row>
    <row r="154" spans="1:12" s="120" customFormat="1">
      <c r="A154" s="1611"/>
      <c r="D154" s="1612"/>
      <c r="K154" s="23"/>
      <c r="L154" s="23"/>
    </row>
    <row r="155" spans="1:12" s="120" customFormat="1">
      <c r="A155" s="1611"/>
      <c r="D155" s="1612"/>
      <c r="K155" s="23"/>
      <c r="L155" s="23"/>
    </row>
    <row r="156" spans="1:12" s="120" customFormat="1">
      <c r="A156" s="1611"/>
      <c r="D156" s="1612"/>
      <c r="K156" s="23"/>
      <c r="L156" s="23"/>
    </row>
    <row r="157" spans="1:12" s="120" customFormat="1">
      <c r="A157" s="1611"/>
      <c r="D157" s="1612"/>
      <c r="K157" s="23"/>
      <c r="L157" s="23"/>
    </row>
    <row r="158" spans="1:12" s="120" customFormat="1">
      <c r="A158" s="1611"/>
      <c r="D158" s="1612"/>
      <c r="K158" s="23"/>
      <c r="L158" s="23"/>
    </row>
    <row r="159" spans="1:12" s="120" customFormat="1">
      <c r="A159" s="1611"/>
      <c r="D159" s="1612"/>
      <c r="K159" s="23"/>
      <c r="L159" s="23"/>
    </row>
    <row r="160" spans="1:12" s="120" customFormat="1">
      <c r="A160" s="1611"/>
      <c r="D160" s="1612"/>
      <c r="K160" s="23"/>
      <c r="L160" s="23"/>
    </row>
    <row r="161" spans="1:12" s="120" customFormat="1">
      <c r="A161" s="1611"/>
      <c r="D161" s="1612"/>
      <c r="K161" s="23"/>
      <c r="L161" s="23"/>
    </row>
    <row r="162" spans="1:12" s="120" customFormat="1">
      <c r="A162" s="1611"/>
      <c r="D162" s="1612"/>
      <c r="K162" s="23"/>
      <c r="L162" s="23"/>
    </row>
    <row r="163" spans="1:12" s="120" customFormat="1">
      <c r="A163" s="1611"/>
      <c r="D163" s="1612"/>
      <c r="K163" s="23"/>
      <c r="L163" s="23"/>
    </row>
    <row r="164" spans="1:12" s="120" customFormat="1">
      <c r="A164" s="1611"/>
      <c r="D164" s="1612"/>
      <c r="K164" s="23"/>
      <c r="L164" s="23"/>
    </row>
    <row r="165" spans="1:12" s="120" customFormat="1">
      <c r="A165" s="1611"/>
      <c r="D165" s="1612"/>
      <c r="K165" s="23"/>
      <c r="L165" s="23"/>
    </row>
    <row r="166" spans="1:12" s="120" customFormat="1">
      <c r="A166" s="1611"/>
      <c r="D166" s="1612"/>
      <c r="K166" s="23"/>
      <c r="L166" s="23"/>
    </row>
    <row r="167" spans="1:12" s="120" customFormat="1">
      <c r="A167" s="1611"/>
      <c r="D167" s="1612"/>
      <c r="K167" s="23"/>
      <c r="L167" s="23"/>
    </row>
    <row r="168" spans="1:12" s="120" customFormat="1">
      <c r="A168" s="1611"/>
      <c r="D168" s="1612"/>
      <c r="K168" s="23"/>
      <c r="L168" s="23"/>
    </row>
    <row r="169" spans="1:12" s="120" customFormat="1">
      <c r="A169" s="1611"/>
      <c r="D169" s="1612"/>
      <c r="K169" s="23"/>
      <c r="L169" s="23"/>
    </row>
    <row r="170" spans="1:12" s="120" customFormat="1">
      <c r="A170" s="1611"/>
      <c r="D170" s="1612"/>
      <c r="K170" s="23"/>
      <c r="L170" s="23"/>
    </row>
    <row r="171" spans="1:12" s="120" customFormat="1">
      <c r="A171" s="1611"/>
      <c r="D171" s="1612"/>
      <c r="K171" s="23"/>
      <c r="L171" s="23"/>
    </row>
    <row r="172" spans="1:12" s="120" customFormat="1">
      <c r="A172" s="1611"/>
      <c r="D172" s="1612"/>
      <c r="K172" s="23"/>
      <c r="L172" s="23"/>
    </row>
    <row r="173" spans="1:12" s="120" customFormat="1">
      <c r="A173" s="1611"/>
      <c r="D173" s="1612"/>
      <c r="K173" s="23"/>
      <c r="L173" s="23"/>
    </row>
    <row r="174" spans="1:12" s="120" customFormat="1">
      <c r="A174" s="1611"/>
      <c r="D174" s="1612"/>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3.8"/>
  <cols>
    <col min="1" max="1" width="9.44140625" style="1517" customWidth="1"/>
    <col min="2" max="3" width="24.44140625" style="506" customWidth="1"/>
    <col min="4" max="4" width="2.6640625" style="506" customWidth="1"/>
    <col min="5" max="5" width="5.88671875" style="506" customWidth="1"/>
    <col min="6" max="7" width="27" style="506"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6" customWidth="1"/>
    <col min="19" max="29" width="9" style="746"/>
    <col min="30" max="16384" width="9" style="1517"/>
  </cols>
  <sheetData>
    <row r="1" spans="1:29" s="2252" customFormat="1" ht="18" thickBot="1">
      <c r="A1" s="3300" t="s">
        <v>2279</v>
      </c>
      <c r="B1" s="3301"/>
      <c r="C1" s="3301"/>
      <c r="D1" s="3301"/>
      <c r="E1" s="3301"/>
      <c r="F1" s="3301"/>
      <c r="G1" s="3301"/>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4.4" thickBot="1">
      <c r="A2" s="2253"/>
      <c r="B2" s="2254"/>
      <c r="C2" s="2255" t="s">
        <v>2275</v>
      </c>
      <c r="D2" s="1590"/>
      <c r="E2" s="2253"/>
      <c r="F2" s="2256"/>
      <c r="G2" s="2255" t="s">
        <v>2276</v>
      </c>
      <c r="H2" s="746"/>
      <c r="I2" s="746"/>
      <c r="J2" s="746"/>
      <c r="K2" s="746"/>
      <c r="L2" s="746"/>
      <c r="M2" s="746"/>
      <c r="N2" s="746"/>
      <c r="O2" s="746"/>
      <c r="P2" s="746"/>
      <c r="Q2" s="746"/>
    </row>
    <row r="3" spans="1:29" ht="39.6">
      <c r="A3" s="2240" t="s">
        <v>2277</v>
      </c>
      <c r="B3" s="2257" t="s">
        <v>2249</v>
      </c>
      <c r="C3" s="3137" t="s">
        <v>3388</v>
      </c>
      <c r="D3" s="2258"/>
      <c r="E3" s="2241" t="s">
        <v>2277</v>
      </c>
      <c r="F3" s="2259" t="s">
        <v>2250</v>
      </c>
      <c r="G3" s="2260" t="s">
        <v>2278</v>
      </c>
      <c r="H3" s="746"/>
      <c r="I3" s="746"/>
      <c r="J3" s="746"/>
      <c r="K3" s="746"/>
      <c r="L3" s="746"/>
      <c r="M3" s="746"/>
      <c r="N3" s="746"/>
      <c r="O3" s="746"/>
      <c r="P3" s="746"/>
      <c r="Q3" s="746"/>
    </row>
    <row r="4" spans="1:29" ht="36">
      <c r="A4" s="2241"/>
      <c r="B4" s="313" t="s">
        <v>2251</v>
      </c>
      <c r="C4" s="2261"/>
      <c r="D4" s="2258"/>
      <c r="E4" s="2262"/>
      <c r="F4" s="1276" t="s">
        <v>2252</v>
      </c>
      <c r="G4" s="2263" t="s">
        <v>2253</v>
      </c>
      <c r="H4" s="746"/>
      <c r="I4" s="746"/>
      <c r="J4" s="746"/>
      <c r="K4" s="746"/>
      <c r="L4" s="746"/>
      <c r="M4" s="746"/>
      <c r="N4" s="746"/>
      <c r="O4" s="746"/>
      <c r="P4" s="746"/>
      <c r="Q4" s="746"/>
    </row>
    <row r="5" spans="1:29" ht="24">
      <c r="A5" s="2241"/>
      <c r="B5" s="313" t="s">
        <v>2254</v>
      </c>
      <c r="C5" s="2261"/>
      <c r="D5" s="2258"/>
      <c r="E5" s="2262"/>
      <c r="F5" s="313" t="s">
        <v>2255</v>
      </c>
      <c r="G5" s="2263" t="s">
        <v>2256</v>
      </c>
      <c r="H5" s="746"/>
      <c r="I5" s="746"/>
      <c r="J5" s="746"/>
      <c r="K5" s="746"/>
      <c r="L5" s="746"/>
      <c r="M5" s="746"/>
      <c r="N5" s="746"/>
      <c r="O5" s="746"/>
      <c r="P5" s="746"/>
      <c r="Q5" s="746"/>
    </row>
    <row r="6" spans="1:29" ht="24">
      <c r="A6" s="2241"/>
      <c r="B6" s="313" t="s">
        <v>2257</v>
      </c>
      <c r="C6" s="3138" t="s">
        <v>3388</v>
      </c>
      <c r="D6" s="2258"/>
      <c r="E6" s="2262"/>
      <c r="F6" s="313" t="s">
        <v>2258</v>
      </c>
      <c r="G6" s="2263" t="s">
        <v>2259</v>
      </c>
      <c r="H6" s="746"/>
      <c r="I6" s="746"/>
      <c r="J6" s="746"/>
      <c r="K6" s="746"/>
      <c r="L6" s="746"/>
      <c r="M6" s="746"/>
      <c r="N6" s="746"/>
      <c r="O6" s="746"/>
      <c r="P6" s="746"/>
      <c r="Q6" s="746"/>
    </row>
    <row r="7" spans="1:29" ht="36.6" thickBot="1">
      <c r="A7" s="2241"/>
      <c r="B7" s="313" t="s">
        <v>2255</v>
      </c>
      <c r="C7" s="3138" t="s">
        <v>3547</v>
      </c>
      <c r="D7" s="2238"/>
      <c r="E7" s="2264"/>
      <c r="F7" s="2265" t="s">
        <v>2260</v>
      </c>
      <c r="G7" s="2266" t="s">
        <v>2261</v>
      </c>
      <c r="H7" s="746"/>
      <c r="I7" s="746"/>
      <c r="J7" s="746"/>
      <c r="K7" s="746"/>
      <c r="L7" s="746"/>
      <c r="M7" s="746"/>
      <c r="N7" s="746"/>
      <c r="O7" s="746"/>
      <c r="P7" s="746"/>
      <c r="Q7" s="746"/>
    </row>
    <row r="8" spans="1:29">
      <c r="A8" s="2241"/>
      <c r="B8" s="313" t="s">
        <v>2258</v>
      </c>
      <c r="C8" s="3138" t="s">
        <v>3390</v>
      </c>
      <c r="D8" s="2238"/>
      <c r="E8" s="2238"/>
      <c r="F8" s="119"/>
      <c r="G8" s="119"/>
      <c r="H8" s="746"/>
      <c r="I8" s="746"/>
      <c r="J8" s="746"/>
      <c r="K8" s="746"/>
      <c r="L8" s="746"/>
      <c r="M8" s="746"/>
      <c r="N8" s="746"/>
      <c r="O8" s="746"/>
      <c r="P8" s="746"/>
      <c r="Q8" s="746"/>
    </row>
    <row r="9" spans="1:29">
      <c r="A9" s="2241"/>
      <c r="B9" s="313" t="s">
        <v>2262</v>
      </c>
      <c r="C9" s="3139" t="s">
        <v>3388</v>
      </c>
      <c r="D9" s="2258"/>
      <c r="E9" s="2238"/>
      <c r="F9" s="119"/>
      <c r="G9" s="119"/>
      <c r="H9" s="746"/>
      <c r="I9" s="746"/>
      <c r="J9" s="746"/>
      <c r="K9" s="746"/>
      <c r="L9" s="746"/>
      <c r="M9" s="746"/>
      <c r="N9" s="746"/>
      <c r="O9" s="746"/>
      <c r="P9" s="746"/>
      <c r="Q9" s="746"/>
    </row>
    <row r="10" spans="1:29" ht="14.4" thickBot="1">
      <c r="A10" s="2242"/>
      <c r="B10" s="2267" t="s">
        <v>2263</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7.399999999999999">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 thickBot="1">
      <c r="A13" s="2276" t="s">
        <v>2280</v>
      </c>
      <c r="B13" s="2272"/>
      <c r="C13" s="2272"/>
      <c r="D13" s="2271"/>
      <c r="E13" s="2272"/>
      <c r="F13" s="2272"/>
      <c r="G13" s="2272"/>
    </row>
    <row r="14" spans="1:29" ht="14.4" thickBot="1">
      <c r="A14" s="2277"/>
      <c r="B14" s="2277"/>
      <c r="C14" s="2278" t="s">
        <v>2264</v>
      </c>
      <c r="D14" s="2258"/>
      <c r="E14" s="2279"/>
      <c r="F14" s="2279"/>
      <c r="G14" s="2255" t="s">
        <v>2265</v>
      </c>
    </row>
    <row r="15" spans="1:29" ht="39.6">
      <c r="A15" s="2243" t="s">
        <v>2266</v>
      </c>
      <c r="B15" s="2280" t="s">
        <v>2249</v>
      </c>
      <c r="C15" s="2281" t="str">
        <f>C3</f>
        <v>一般</v>
      </c>
      <c r="D15" s="2258"/>
      <c r="E15" s="2244" t="s">
        <v>2267</v>
      </c>
      <c r="F15" s="2280" t="s">
        <v>2268</v>
      </c>
      <c r="G15" s="2282" t="str">
        <f>G3</f>
        <v>估价对象位于XX开发区，园区建设成熟度XX，产业集聚程度XX</v>
      </c>
    </row>
    <row r="16" spans="1:29" ht="39.6">
      <c r="A16" s="2245"/>
      <c r="B16" s="2283" t="s">
        <v>2251</v>
      </c>
      <c r="C16" s="2284">
        <f>C4</f>
        <v>0</v>
      </c>
      <c r="D16" s="2258"/>
      <c r="E16" s="2246"/>
      <c r="F16" s="2285" t="s">
        <v>2252</v>
      </c>
      <c r="G16" s="2286" t="str">
        <f>G4</f>
        <v>估价对象周边道路状况、公共交通通达情况、停车便捷程度，综合评价交通便捷度较好</v>
      </c>
    </row>
    <row r="17" spans="1:17">
      <c r="A17" s="2245"/>
      <c r="B17" s="2283" t="s">
        <v>2254</v>
      </c>
      <c r="C17" s="2284">
        <f>C5</f>
        <v>0</v>
      </c>
      <c r="D17" s="2238"/>
      <c r="E17" s="2246"/>
      <c r="F17" s="2285" t="s">
        <v>2269</v>
      </c>
      <c r="G17" s="2287"/>
    </row>
    <row r="18" spans="1:17" ht="39.6">
      <c r="A18" s="2245"/>
      <c r="B18" s="2285" t="s">
        <v>2257</v>
      </c>
      <c r="C18" s="2286" t="str">
        <f>C6</f>
        <v>一般</v>
      </c>
      <c r="D18" s="2238"/>
      <c r="E18" s="2246"/>
      <c r="F18" s="2285" t="s">
        <v>2260</v>
      </c>
      <c r="G18" s="2286" t="str">
        <f>G7</f>
        <v>该园区内是否有污染型企业，绿化情况，卫生条件，整体环境状况判断</v>
      </c>
    </row>
    <row r="19" spans="1:17" ht="26.4">
      <c r="A19" s="2245"/>
      <c r="B19" s="2285" t="s">
        <v>2270</v>
      </c>
      <c r="C19" s="2287"/>
      <c r="D19" s="2258"/>
      <c r="E19" s="2246"/>
      <c r="F19" s="313" t="s">
        <v>2255</v>
      </c>
      <c r="G19" s="2286" t="str">
        <f>G5</f>
        <v>估价对象所在区域公共配套设施齐备情况</v>
      </c>
    </row>
    <row r="20" spans="1:17" ht="26.4">
      <c r="A20" s="2245"/>
      <c r="B20" s="2285" t="s">
        <v>2271</v>
      </c>
      <c r="C20" s="2284" t="str">
        <f>C9</f>
        <v>一般</v>
      </c>
      <c r="D20" s="2238"/>
      <c r="E20" s="2246"/>
      <c r="F20" s="313" t="s">
        <v>2258</v>
      </c>
      <c r="G20" s="2286" t="str">
        <f>G6</f>
        <v>估价对象所在区域基础设施水平</v>
      </c>
    </row>
    <row r="21" spans="1:17">
      <c r="A21" s="2245"/>
      <c r="B21" s="313" t="s">
        <v>2255</v>
      </c>
      <c r="C21" s="2286" t="str">
        <f>C7</f>
        <v>较差</v>
      </c>
      <c r="D21" s="2258"/>
      <c r="E21" s="2246"/>
      <c r="F21" s="2285" t="s">
        <v>2272</v>
      </c>
      <c r="G21" s="2288"/>
    </row>
    <row r="22" spans="1:17" ht="13.5" customHeight="1">
      <c r="A22" s="2245"/>
      <c r="B22" s="313" t="s">
        <v>2258</v>
      </c>
      <c r="C22" s="2286" t="str">
        <f>C8</f>
        <v>七通</v>
      </c>
      <c r="D22" s="2258"/>
      <c r="E22" s="2246"/>
      <c r="F22" s="2285" t="s">
        <v>2263</v>
      </c>
      <c r="G22" s="2287"/>
    </row>
    <row r="23" spans="1:17" s="746" customFormat="1" ht="14.4" thickBot="1">
      <c r="A23" s="2245"/>
      <c r="B23" s="2285" t="s">
        <v>2272</v>
      </c>
      <c r="C23" s="2288"/>
      <c r="D23" s="1609"/>
      <c r="E23" s="2247"/>
      <c r="F23" s="2289" t="s">
        <v>2273</v>
      </c>
      <c r="G23" s="2290"/>
      <c r="H23" s="2269"/>
      <c r="I23" s="2269"/>
      <c r="J23" s="2269"/>
      <c r="K23" s="2269"/>
      <c r="L23" s="2269"/>
      <c r="M23" s="2269"/>
      <c r="N23" s="2269"/>
      <c r="O23" s="2269"/>
      <c r="P23" s="2269"/>
      <c r="Q23" s="2269"/>
    </row>
    <row r="24" spans="1:17" s="746" customFormat="1" ht="14.4" thickBot="1">
      <c r="A24" s="2248"/>
      <c r="B24" s="2289" t="s">
        <v>2274</v>
      </c>
      <c r="C24" s="2291">
        <f>C10</f>
        <v>0</v>
      </c>
      <c r="D24" s="1609"/>
      <c r="E24" s="2238"/>
      <c r="F24" s="2238"/>
      <c r="G24" s="2238"/>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C14" sqref="C14"/>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35822.61</v>
      </c>
      <c r="C1" s="2454"/>
      <c r="D1" s="2454"/>
      <c r="E1" s="2454"/>
      <c r="F1" s="2454"/>
      <c r="G1" s="2455"/>
      <c r="H1" s="2455"/>
      <c r="I1" s="2455"/>
      <c r="J1" s="2455"/>
      <c r="K1" s="2455"/>
    </row>
    <row r="2" spans="1:11" ht="16.2">
      <c r="A2" s="2292" t="s">
        <v>653</v>
      </c>
      <c r="B2" s="2292">
        <f>SUM(C14:C23)</f>
        <v>8682.75</v>
      </c>
      <c r="C2" s="2454"/>
      <c r="D2" s="2454"/>
      <c r="E2" s="2454"/>
      <c r="F2" s="2454"/>
      <c r="G2" s="2455"/>
      <c r="H2" s="2455"/>
      <c r="I2" s="2455"/>
      <c r="J2" s="2455"/>
      <c r="K2" s="2455"/>
    </row>
    <row r="3" spans="1:11" ht="15.6">
      <c r="A3" s="2292" t="s">
        <v>662</v>
      </c>
      <c r="B3" s="2294">
        <f>项目基本情况!D3</f>
        <v>45029</v>
      </c>
      <c r="C3" s="2454"/>
      <c r="D3" s="2454"/>
      <c r="E3" s="2454"/>
      <c r="F3" s="2454"/>
      <c r="G3" s="2455"/>
      <c r="H3" s="2455"/>
      <c r="I3" s="2455"/>
      <c r="J3" s="2455"/>
      <c r="K3" s="2455"/>
    </row>
    <row r="4" spans="1:11" ht="31.2">
      <c r="A4" s="2292" t="s">
        <v>661</v>
      </c>
      <c r="B4" s="2292" t="s">
        <v>660</v>
      </c>
      <c r="C4" s="2292" t="s">
        <v>659</v>
      </c>
      <c r="D4" s="2292" t="s">
        <v>658</v>
      </c>
      <c r="E4" s="2454"/>
      <c r="F4" s="2455"/>
      <c r="G4" s="2455"/>
      <c r="H4" s="2455"/>
      <c r="I4" s="2455"/>
      <c r="J4" s="2455"/>
      <c r="K4" s="2455"/>
    </row>
    <row r="5" spans="1:11" ht="15.6">
      <c r="A5" s="2292" t="s">
        <v>657</v>
      </c>
      <c r="B5" s="2292">
        <f ca="1">SUM(D14:D23)</f>
        <v>175495</v>
      </c>
      <c r="C5" s="2292">
        <f ca="1">IF(B5=D14,结果表!H102,ROUND(B5*10000/$B$1,0))</f>
        <v>48990</v>
      </c>
      <c r="D5" s="2292">
        <f ca="1">ROUND(B5*10000/$B$2,0)</f>
        <v>202119</v>
      </c>
      <c r="E5" s="2454"/>
      <c r="F5" s="2455"/>
      <c r="G5" s="2455"/>
      <c r="H5" s="2455"/>
      <c r="I5" s="2455"/>
      <c r="J5" s="2455"/>
      <c r="K5" s="2455"/>
    </row>
    <row r="6" spans="1:11" ht="15.6">
      <c r="A6" s="2292" t="s">
        <v>656</v>
      </c>
      <c r="B6" s="2292">
        <f ca="1">SUM(G14:G23)</f>
        <v>175495</v>
      </c>
      <c r="C6" s="2292">
        <f ca="1">IF(B6=G14,结果表!H108,ROUND(B6*10000/$B$1,0))</f>
        <v>48990</v>
      </c>
      <c r="D6" s="2292">
        <f ca="1">ROUND(B6*10000/$B$2,0)</f>
        <v>202119</v>
      </c>
      <c r="E6" s="2454"/>
      <c r="F6" s="2455"/>
      <c r="G6" s="2455"/>
      <c r="H6" s="2455"/>
      <c r="I6" s="2455"/>
      <c r="J6" s="2455"/>
      <c r="K6" s="2455"/>
    </row>
    <row r="7" spans="1:11" ht="15.6">
      <c r="A7" s="2292" t="s">
        <v>664</v>
      </c>
      <c r="B7" s="2292">
        <f>SUM(H14:H23)</f>
        <v>0</v>
      </c>
      <c r="C7" s="2292" t="str">
        <f>IF(B7=H14,结果表!H110,ROUND(B7*10000/$B$1,0))</f>
        <v>——</v>
      </c>
      <c r="D7" s="2292">
        <f>ROUND(B7*10000/$B$2,0)</f>
        <v>0</v>
      </c>
      <c r="E7" s="2454"/>
      <c r="F7" s="2455"/>
      <c r="G7" s="2455"/>
      <c r="H7" s="2455"/>
      <c r="I7" s="2455"/>
      <c r="J7" s="2455"/>
      <c r="K7" s="2455"/>
    </row>
    <row r="8" spans="1:11" ht="15.6">
      <c r="A8" s="2292" t="s">
        <v>587</v>
      </c>
      <c r="B8" s="2292">
        <f>SUM(I14:I23)</f>
        <v>0</v>
      </c>
      <c r="C8" s="2292" t="str">
        <f>IF(B8=I14,结果表!H112,ROUND(B8*10000/$B$1,0))</f>
        <v>——</v>
      </c>
      <c r="D8" s="2292">
        <f>ROUND(B8*10000/$B$2,0)</f>
        <v>0</v>
      </c>
      <c r="E8" s="2454"/>
      <c r="F8" s="2455"/>
      <c r="G8" s="2455"/>
      <c r="H8" s="2455"/>
      <c r="I8" s="2455"/>
      <c r="J8" s="2455"/>
      <c r="K8" s="2455"/>
    </row>
    <row r="9" spans="1:11" ht="15.6">
      <c r="A9" s="2292" t="s">
        <v>655</v>
      </c>
      <c r="B9" s="1239"/>
      <c r="C9" s="2454"/>
      <c r="D9" s="2454"/>
      <c r="E9" s="2454"/>
      <c r="F9" s="2455"/>
      <c r="G9" s="2455"/>
      <c r="H9" s="2455"/>
      <c r="I9" s="2455"/>
      <c r="J9" s="2455"/>
      <c r="K9" s="2455"/>
    </row>
    <row r="10" spans="1:11" ht="15.6">
      <c r="A10" s="2292" t="s">
        <v>654</v>
      </c>
      <c r="B10" s="2292">
        <f>IF(E10="",0,ROUND(B1*(E10*365/G10)/10000,0))</f>
        <v>0</v>
      </c>
      <c r="C10" s="2292" t="s">
        <v>3359</v>
      </c>
      <c r="D10" s="2292" t="s">
        <v>3360</v>
      </c>
      <c r="E10" s="3130"/>
      <c r="F10" s="3134" t="s">
        <v>3361</v>
      </c>
      <c r="G10" s="3131"/>
      <c r="H10" s="2455"/>
      <c r="I10" s="2455"/>
      <c r="J10" s="2455"/>
      <c r="K10" s="2455"/>
    </row>
    <row r="11" spans="1:11" ht="15.6">
      <c r="A11" s="2292" t="s">
        <v>670</v>
      </c>
      <c r="B11" s="1239"/>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5" t="s">
        <v>669</v>
      </c>
      <c r="B13" s="2296" t="s">
        <v>666</v>
      </c>
      <c r="C13" s="2296" t="s">
        <v>668</v>
      </c>
      <c r="D13" s="2296" t="s">
        <v>667</v>
      </c>
      <c r="E13" s="2292" t="s">
        <v>659</v>
      </c>
      <c r="F13" s="2292" t="s">
        <v>658</v>
      </c>
      <c r="G13" s="2296" t="s">
        <v>652</v>
      </c>
      <c r="H13" s="2296" t="s">
        <v>663</v>
      </c>
      <c r="I13" s="2296" t="s">
        <v>651</v>
      </c>
      <c r="J13" s="2455"/>
      <c r="K13" s="2455"/>
    </row>
    <row r="14" spans="1:11" ht="15.6">
      <c r="A14" s="2297" t="s">
        <v>650</v>
      </c>
      <c r="B14" s="2298">
        <f>'数据-汇总表'!E3</f>
        <v>35822.61</v>
      </c>
      <c r="C14" s="2298">
        <f>'数据-基础表'!A3</f>
        <v>8682.75</v>
      </c>
      <c r="D14" s="2298">
        <f ca="1">结果表!G19</f>
        <v>175495</v>
      </c>
      <c r="E14" s="2298">
        <f ca="1">ROUND(D14*10000/B14,0)</f>
        <v>48990</v>
      </c>
      <c r="F14" s="2298">
        <f ca="1">ROUND(D14*10000/C14,0)</f>
        <v>202119</v>
      </c>
      <c r="G14" s="2298">
        <f ca="1">D14</f>
        <v>175495</v>
      </c>
      <c r="H14" s="2298"/>
      <c r="I14" s="2298"/>
      <c r="J14" s="2455"/>
      <c r="K14" s="2455"/>
    </row>
    <row r="15" spans="1:11" ht="15.6">
      <c r="A15" s="2297" t="s">
        <v>649</v>
      </c>
      <c r="B15" s="2299"/>
      <c r="C15" s="2299"/>
      <c r="D15" s="2299"/>
      <c r="E15" s="2298" t="e">
        <f t="shared" ref="E15:E23" si="0">ROUND(D15*10000/B15,0)</f>
        <v>#DIV/0!</v>
      </c>
      <c r="F15" s="2298" t="e">
        <f t="shared" ref="F15:F23" si="1">ROUND(D15*10000/C15,0)</f>
        <v>#DIV/0!</v>
      </c>
      <c r="G15" s="1239"/>
      <c r="H15" s="1239"/>
      <c r="I15" s="2299"/>
      <c r="J15" s="2455"/>
      <c r="K15" s="2455"/>
    </row>
    <row r="16" spans="1:11" ht="15.6">
      <c r="A16" s="2297" t="s">
        <v>648</v>
      </c>
      <c r="B16" s="2299"/>
      <c r="C16" s="2299"/>
      <c r="D16" s="2299"/>
      <c r="E16" s="2298" t="e">
        <f t="shared" si="0"/>
        <v>#DIV/0!</v>
      </c>
      <c r="F16" s="2298" t="e">
        <f t="shared" si="1"/>
        <v>#DIV/0!</v>
      </c>
      <c r="G16" s="1239"/>
      <c r="H16" s="1239"/>
      <c r="I16" s="2299"/>
      <c r="J16" s="2455"/>
      <c r="K16" s="2455"/>
    </row>
    <row r="17" spans="1:11" ht="15.6">
      <c r="A17" s="2297" t="s">
        <v>647</v>
      </c>
      <c r="B17" s="2299"/>
      <c r="C17" s="2299"/>
      <c r="D17" s="2299"/>
      <c r="E17" s="2298" t="e">
        <f t="shared" si="0"/>
        <v>#DIV/0!</v>
      </c>
      <c r="F17" s="2298" t="e">
        <f t="shared" si="1"/>
        <v>#DIV/0!</v>
      </c>
      <c r="G17" s="1239"/>
      <c r="H17" s="1239"/>
      <c r="I17" s="2299"/>
      <c r="J17" s="2455"/>
      <c r="K17" s="2455"/>
    </row>
    <row r="18" spans="1:11" ht="15.6">
      <c r="A18" s="2297" t="s">
        <v>646</v>
      </c>
      <c r="B18" s="2299"/>
      <c r="C18" s="2299"/>
      <c r="D18" s="2299"/>
      <c r="E18" s="2298" t="e">
        <f t="shared" si="0"/>
        <v>#DIV/0!</v>
      </c>
      <c r="F18" s="2298" t="e">
        <f t="shared" si="1"/>
        <v>#DIV/0!</v>
      </c>
      <c r="G18" s="2299"/>
      <c r="H18" s="2299"/>
      <c r="I18" s="2299"/>
      <c r="J18" s="2455"/>
      <c r="K18" s="2455"/>
    </row>
    <row r="19" spans="1:11" ht="15.6">
      <c r="A19" s="2297" t="s">
        <v>645</v>
      </c>
      <c r="B19" s="2299"/>
      <c r="C19" s="2299"/>
      <c r="D19" s="2299"/>
      <c r="E19" s="2298" t="e">
        <f t="shared" si="0"/>
        <v>#DIV/0!</v>
      </c>
      <c r="F19" s="2298" t="e">
        <f t="shared" si="1"/>
        <v>#DIV/0!</v>
      </c>
      <c r="G19" s="2299"/>
      <c r="H19" s="2299"/>
      <c r="I19" s="2299"/>
      <c r="J19" s="2455"/>
      <c r="K19" s="2455"/>
    </row>
    <row r="20" spans="1:11" ht="15.6">
      <c r="A20" s="2297" t="s">
        <v>644</v>
      </c>
      <c r="B20" s="2299"/>
      <c r="C20" s="2299"/>
      <c r="D20" s="2299"/>
      <c r="E20" s="2298" t="e">
        <f t="shared" si="0"/>
        <v>#DIV/0!</v>
      </c>
      <c r="F20" s="2298" t="e">
        <f t="shared" si="1"/>
        <v>#DIV/0!</v>
      </c>
      <c r="G20" s="2299"/>
      <c r="H20" s="2299"/>
      <c r="I20" s="2299"/>
      <c r="J20" s="2455"/>
      <c r="K20" s="2455"/>
    </row>
    <row r="21" spans="1:11" ht="15.6">
      <c r="A21" s="2297" t="s">
        <v>643</v>
      </c>
      <c r="B21" s="2299"/>
      <c r="C21" s="2299"/>
      <c r="D21" s="2299"/>
      <c r="E21" s="2298" t="e">
        <f t="shared" si="0"/>
        <v>#DIV/0!</v>
      </c>
      <c r="F21" s="2298" t="e">
        <f t="shared" si="1"/>
        <v>#DIV/0!</v>
      </c>
      <c r="G21" s="2299"/>
      <c r="H21" s="2299"/>
      <c r="I21" s="2299"/>
      <c r="J21" s="2455"/>
      <c r="K21" s="2455"/>
    </row>
    <row r="22" spans="1:11" ht="15.6">
      <c r="A22" s="2297" t="s">
        <v>642</v>
      </c>
      <c r="B22" s="2299"/>
      <c r="C22" s="2299"/>
      <c r="D22" s="2299"/>
      <c r="E22" s="2298" t="e">
        <f t="shared" si="0"/>
        <v>#DIV/0!</v>
      </c>
      <c r="F22" s="2298" t="e">
        <f t="shared" si="1"/>
        <v>#DIV/0!</v>
      </c>
      <c r="G22" s="2299"/>
      <c r="H22" s="2299"/>
      <c r="I22" s="2299"/>
      <c r="J22" s="2455"/>
      <c r="K22" s="2455"/>
    </row>
    <row r="23" spans="1:11" ht="15.6">
      <c r="A23" s="2297" t="s">
        <v>641</v>
      </c>
      <c r="B23" s="2299"/>
      <c r="C23" s="2299"/>
      <c r="D23" s="2299"/>
      <c r="E23" s="1239" t="e">
        <f t="shared" si="0"/>
        <v>#DIV/0!</v>
      </c>
      <c r="F23" s="1239"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0" spans="1:11">
      <c r="D30" s="2293">
        <f>19/B14*10000</f>
        <v>5.303912808139887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
  <sheetViews>
    <sheetView workbookViewId="0">
      <selection activeCell="I18" sqref="I18"/>
    </sheetView>
  </sheetViews>
  <sheetFormatPr defaultRowHeight="14.4"/>
  <cols>
    <col min="3" max="3" width="8.21875" customWidth="1"/>
    <col min="4" max="8" width="5.6640625" customWidth="1"/>
    <col min="9" max="9" width="6.6640625" customWidth="1"/>
    <col min="10" max="10" width="7.77734375" customWidth="1"/>
    <col min="11" max="11" width="6.6640625" customWidth="1"/>
  </cols>
  <sheetData>
    <row r="2" spans="1:11">
      <c r="A2" s="3305" t="s">
        <v>3941</v>
      </c>
      <c r="B2" s="3308" t="s">
        <v>2588</v>
      </c>
      <c r="C2" s="3306" t="s">
        <v>3958</v>
      </c>
      <c r="D2" s="3305"/>
      <c r="E2" s="3305"/>
      <c r="F2" s="3305"/>
      <c r="G2" s="3306" t="s">
        <v>3959</v>
      </c>
      <c r="H2" s="3305"/>
      <c r="I2" s="3305"/>
      <c r="J2" s="3241" t="s">
        <v>3940</v>
      </c>
      <c r="K2" s="3307" t="s">
        <v>3950</v>
      </c>
    </row>
    <row r="3" spans="1:11" ht="62.4">
      <c r="A3" s="3305"/>
      <c r="B3" s="3308"/>
      <c r="C3" s="3207" t="s">
        <v>3942</v>
      </c>
      <c r="D3" s="3207" t="s">
        <v>3943</v>
      </c>
      <c r="E3" s="3207" t="s">
        <v>3944</v>
      </c>
      <c r="F3" s="3207" t="s">
        <v>3945</v>
      </c>
      <c r="G3" s="3207" t="s">
        <v>3946</v>
      </c>
      <c r="H3" s="3207" t="s">
        <v>3947</v>
      </c>
      <c r="I3" s="3207" t="s">
        <v>3945</v>
      </c>
      <c r="J3" s="3241"/>
      <c r="K3" s="3307"/>
    </row>
    <row r="4" spans="1:11" ht="28.8">
      <c r="A4" s="3207" t="s">
        <v>3934</v>
      </c>
      <c r="B4" s="3207">
        <f>C4+G4+I4</f>
        <v>6328.74</v>
      </c>
      <c r="C4" s="3207">
        <v>5617.9</v>
      </c>
      <c r="D4" s="3207" t="s">
        <v>3933</v>
      </c>
      <c r="E4" s="3207" t="s">
        <v>43</v>
      </c>
      <c r="F4" s="3207" t="s">
        <v>43</v>
      </c>
      <c r="G4" s="3207">
        <v>473.89</v>
      </c>
      <c r="H4" s="3207" t="s">
        <v>43</v>
      </c>
      <c r="I4" s="3207">
        <v>236.95</v>
      </c>
      <c r="J4" s="3207" t="s">
        <v>3951</v>
      </c>
      <c r="K4" s="3208">
        <v>48</v>
      </c>
    </row>
    <row r="5" spans="1:11" ht="28.8">
      <c r="A5" s="3207" t="s">
        <v>3935</v>
      </c>
      <c r="B5" s="3207">
        <f>C5+G5+I5</f>
        <v>6363.1</v>
      </c>
      <c r="C5" s="3207">
        <v>5652.26</v>
      </c>
      <c r="D5" s="3207" t="s">
        <v>43</v>
      </c>
      <c r="E5" s="3207" t="s">
        <v>43</v>
      </c>
      <c r="F5" s="3207" t="s">
        <v>43</v>
      </c>
      <c r="G5" s="3207">
        <v>473.89</v>
      </c>
      <c r="H5" s="3207" t="s">
        <v>43</v>
      </c>
      <c r="I5" s="3207">
        <v>236.95</v>
      </c>
      <c r="J5" s="3207" t="s">
        <v>3951</v>
      </c>
      <c r="K5" s="3208">
        <v>48</v>
      </c>
    </row>
    <row r="6" spans="1:11" ht="28.8">
      <c r="A6" s="3207" t="s">
        <v>3936</v>
      </c>
      <c r="B6" s="3207">
        <f>C6+G6+I6</f>
        <v>6002.3899999999994</v>
      </c>
      <c r="C6" s="3207">
        <v>5169.6899999999996</v>
      </c>
      <c r="D6" s="3207" t="s">
        <v>43</v>
      </c>
      <c r="E6" s="3207" t="s">
        <v>43</v>
      </c>
      <c r="F6" s="3207" t="s">
        <v>43</v>
      </c>
      <c r="G6" s="3207">
        <v>560.66</v>
      </c>
      <c r="H6" s="3207" t="s">
        <v>43</v>
      </c>
      <c r="I6" s="3207">
        <v>272.04000000000002</v>
      </c>
      <c r="J6" s="3207" t="s">
        <v>3952</v>
      </c>
      <c r="K6" s="3208">
        <v>60</v>
      </c>
    </row>
    <row r="7" spans="1:11" ht="28.8">
      <c r="A7" s="3207" t="s">
        <v>3937</v>
      </c>
      <c r="B7" s="3207">
        <f>C7+G7+I7</f>
        <v>8818.2799999999988</v>
      </c>
      <c r="C7" s="3207">
        <v>8214.3799999999992</v>
      </c>
      <c r="D7" s="3207" t="s">
        <v>43</v>
      </c>
      <c r="E7" s="3207" t="s">
        <v>43</v>
      </c>
      <c r="F7" s="3207" t="s">
        <v>43</v>
      </c>
      <c r="G7" s="3207">
        <v>91.48</v>
      </c>
      <c r="H7" s="3207" t="s">
        <v>43</v>
      </c>
      <c r="I7" s="3207">
        <f>292.73+219.69</f>
        <v>512.42000000000007</v>
      </c>
      <c r="J7" s="3207" t="s">
        <v>3953</v>
      </c>
      <c r="K7" s="3208">
        <v>88</v>
      </c>
    </row>
    <row r="8" spans="1:11" ht="28.8">
      <c r="A8" s="3207" t="s">
        <v>3938</v>
      </c>
      <c r="B8" s="3207">
        <f>C8+I8</f>
        <v>5361.28</v>
      </c>
      <c r="C8" s="3207">
        <v>4640.78</v>
      </c>
      <c r="D8" s="3207" t="s">
        <v>43</v>
      </c>
      <c r="E8" s="3207" t="s">
        <v>43</v>
      </c>
      <c r="F8" s="3207" t="s">
        <v>43</v>
      </c>
      <c r="G8" s="3207" t="s">
        <v>43</v>
      </c>
      <c r="H8" s="3207" t="s">
        <v>43</v>
      </c>
      <c r="I8" s="3207">
        <f>501.64+218.86</f>
        <v>720.5</v>
      </c>
      <c r="J8" s="3207" t="s">
        <v>3954</v>
      </c>
      <c r="K8" s="3208">
        <v>64</v>
      </c>
    </row>
    <row r="9" spans="1:11" ht="28.8">
      <c r="A9" s="3207" t="s">
        <v>3939</v>
      </c>
      <c r="B9" s="3207">
        <f>C9+G9+I9+F9</f>
        <v>7857.57</v>
      </c>
      <c r="C9" s="3207">
        <v>7346.51</v>
      </c>
      <c r="D9" s="3207" t="s">
        <v>43</v>
      </c>
      <c r="E9" s="3207" t="s">
        <v>3933</v>
      </c>
      <c r="F9" s="3207">
        <v>50</v>
      </c>
      <c r="G9" s="3207">
        <v>256.02999999999997</v>
      </c>
      <c r="H9" s="3207" t="s">
        <v>43</v>
      </c>
      <c r="I9" s="3207">
        <f>55.38+149.65</f>
        <v>205.03</v>
      </c>
      <c r="J9" s="3207" t="s">
        <v>3955</v>
      </c>
      <c r="K9" s="3208">
        <v>52</v>
      </c>
    </row>
    <row r="10" spans="1:11" ht="28.8">
      <c r="A10" s="3207" t="s">
        <v>3948</v>
      </c>
      <c r="B10" s="3207">
        <f>D10+E10+F10+I10</f>
        <v>12222.64</v>
      </c>
      <c r="C10" s="3207" t="s">
        <v>3933</v>
      </c>
      <c r="D10" s="3207">
        <v>10000</v>
      </c>
      <c r="E10" s="3207">
        <v>1000</v>
      </c>
      <c r="F10" s="3207">
        <v>120</v>
      </c>
      <c r="G10" s="3207" t="s">
        <v>43</v>
      </c>
      <c r="H10" s="3207" t="s">
        <v>43</v>
      </c>
      <c r="I10" s="3207">
        <f>102.64+1000</f>
        <v>1102.6400000000001</v>
      </c>
      <c r="J10" s="3207" t="s">
        <v>3956</v>
      </c>
      <c r="K10" s="3208">
        <v>90</v>
      </c>
    </row>
    <row r="11" spans="1:11" ht="15.6">
      <c r="A11" s="3207" t="s">
        <v>3947</v>
      </c>
      <c r="B11" s="3207">
        <f>F11+H11+I11</f>
        <v>14293.66</v>
      </c>
      <c r="C11" s="3207" t="s">
        <v>3933</v>
      </c>
      <c r="D11" s="3207" t="s">
        <v>43</v>
      </c>
      <c r="E11" s="3207" t="s">
        <v>43</v>
      </c>
      <c r="F11" s="3207">
        <v>10</v>
      </c>
      <c r="G11" s="3207" t="s">
        <v>3933</v>
      </c>
      <c r="H11" s="3207">
        <v>12866.05</v>
      </c>
      <c r="I11" s="3207">
        <f>150+26+20+4+180+767.61+270</f>
        <v>1417.6100000000001</v>
      </c>
      <c r="J11" s="3207" t="s">
        <v>3957</v>
      </c>
      <c r="K11" s="3208">
        <v>0</v>
      </c>
    </row>
    <row r="12" spans="1:11" ht="15.6">
      <c r="A12" s="3207" t="s">
        <v>3949</v>
      </c>
      <c r="B12" s="3207">
        <f>SUM(B4:B11)</f>
        <v>67247.66</v>
      </c>
      <c r="C12" s="3302">
        <f>C4+C5+C6+C7+C8+C9+D10+E10+F9+F11+F10</f>
        <v>47821.52</v>
      </c>
      <c r="D12" s="3303"/>
      <c r="E12" s="3303"/>
      <c r="F12" s="3304"/>
      <c r="G12" s="3302">
        <f>SUM(I4:I11)+H11+G9+G7+G6+G5+G4</f>
        <v>19426.14</v>
      </c>
      <c r="H12" s="3303"/>
      <c r="I12" s="3304"/>
      <c r="J12" s="3207" t="s">
        <v>3933</v>
      </c>
      <c r="K12" s="3208">
        <f>SUM(K4:K11)</f>
        <v>450</v>
      </c>
    </row>
  </sheetData>
  <mergeCells count="8">
    <mergeCell ref="J2:J3"/>
    <mergeCell ref="K2:K3"/>
    <mergeCell ref="B2:B3"/>
    <mergeCell ref="G12:I12"/>
    <mergeCell ref="C12:F12"/>
    <mergeCell ref="A2:A3"/>
    <mergeCell ref="G2:I2"/>
    <mergeCell ref="C2:F2"/>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8" customWidth="1"/>
    <col min="2" max="9" width="10" style="788" customWidth="1"/>
    <col min="10" max="16384" width="9" style="788"/>
  </cols>
  <sheetData>
    <row r="36" spans="1:9">
      <c r="A36" s="787" t="s">
        <v>371</v>
      </c>
      <c r="B36" s="787" t="s">
        <v>372</v>
      </c>
    </row>
    <row r="37" spans="1:9" ht="27.75" customHeight="1">
      <c r="A37" s="787"/>
      <c r="B37" s="3209" t="str">
        <f>项目基本情况!B1</f>
        <v>北京市出让国有建设用地使用权及在建建筑物房地产抵押价值预评估</v>
      </c>
      <c r="C37" s="3209"/>
      <c r="D37" s="3209"/>
      <c r="E37" s="3209"/>
      <c r="F37" s="3209"/>
      <c r="G37" s="3209"/>
      <c r="H37" s="3209"/>
      <c r="I37" s="3209"/>
    </row>
    <row r="38" spans="1:9">
      <c r="A38" s="789"/>
      <c r="B38" s="789"/>
    </row>
    <row r="39" spans="1:9">
      <c r="A39" s="787" t="s">
        <v>371</v>
      </c>
      <c r="B39" s="787" t="s">
        <v>373</v>
      </c>
    </row>
    <row r="40" spans="1:9">
      <c r="A40" s="787"/>
      <c r="B40" s="1373">
        <f>项目基本情况!B5</f>
        <v>0</v>
      </c>
    </row>
    <row r="41" spans="1:9">
      <c r="A41" s="787"/>
      <c r="B41" s="787"/>
    </row>
    <row r="42" spans="1:9">
      <c r="A42" s="787" t="s">
        <v>371</v>
      </c>
      <c r="B42" s="787" t="s">
        <v>374</v>
      </c>
    </row>
    <row r="43" spans="1:9">
      <c r="A43" s="787"/>
      <c r="B43" s="1373" t="s">
        <v>375</v>
      </c>
    </row>
    <row r="44" spans="1:9">
      <c r="A44" s="787"/>
      <c r="B44" s="787"/>
    </row>
    <row r="45" spans="1:9">
      <c r="A45" s="787" t="s">
        <v>371</v>
      </c>
      <c r="B45" s="787" t="s">
        <v>376</v>
      </c>
    </row>
    <row r="46" spans="1:9" s="787" customFormat="1">
      <c r="B46" s="1373"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H107" sqref="H107"/>
    </sheetView>
  </sheetViews>
  <sheetFormatPr defaultColWidth="12.6640625" defaultRowHeight="21.75" customHeight="1"/>
  <cols>
    <col min="1" max="2" width="12.6640625" style="1556"/>
    <col min="3" max="4" width="12.6640625" style="1556" customWidth="1"/>
    <col min="5" max="9" width="12.6640625" style="1556"/>
    <col min="10" max="11" width="12.6640625" style="681" customWidth="1"/>
    <col min="12" max="12" width="12.6640625" style="681"/>
    <col min="13" max="13" width="14.109375" style="681" bestFit="1" customWidth="1"/>
    <col min="14" max="26" width="12.6640625" style="681"/>
    <col min="27" max="35" width="12.6640625" style="1618"/>
    <col min="36" max="16384" width="12.6640625" style="1556"/>
  </cols>
  <sheetData>
    <row r="1" spans="1:12" ht="21.75" customHeight="1" thickBot="1">
      <c r="A1" s="1516" t="s">
        <v>1262</v>
      </c>
      <c r="B1" s="643"/>
      <c r="C1" s="1615"/>
      <c r="D1" s="643"/>
      <c r="E1" s="643"/>
      <c r="F1" s="1616" t="s">
        <v>1263</v>
      </c>
      <c r="G1" s="1448" t="s">
        <v>3624</v>
      </c>
      <c r="H1" s="1616" t="str">
        <f>IF(G1="现房","——","估价对象范围")</f>
        <v>估价对象范围</v>
      </c>
      <c r="I1" s="1617" t="s">
        <v>3625</v>
      </c>
    </row>
    <row r="2" spans="1:12" ht="21.75" customHeight="1" thickBot="1">
      <c r="A2" s="3376" t="str">
        <f>项目基本情况!S2</f>
        <v>北京市出让国有建设用地使用权及在建建筑物房地产</v>
      </c>
      <c r="B2" s="3377"/>
      <c r="C2" s="3377"/>
      <c r="D2" s="3377"/>
      <c r="E2" s="3377"/>
      <c r="F2" s="3377"/>
      <c r="G2" s="3377"/>
      <c r="H2" s="3377"/>
      <c r="I2" s="3378"/>
    </row>
    <row r="3" spans="1:12" ht="13.2">
      <c r="A3" s="3380" t="s">
        <v>1264</v>
      </c>
      <c r="B3" s="3381"/>
      <c r="C3" s="3381"/>
      <c r="D3" s="3381"/>
      <c r="E3" s="3381"/>
      <c r="F3" s="3381"/>
      <c r="G3" s="3381"/>
      <c r="H3" s="3381"/>
      <c r="I3" s="3381"/>
    </row>
    <row r="4" spans="1:12" ht="14.4">
      <c r="A4" s="1619" t="s">
        <v>1265</v>
      </c>
      <c r="B4" s="1620" t="s">
        <v>1266</v>
      </c>
      <c r="C4" s="1621" t="s">
        <v>3377</v>
      </c>
      <c r="D4" s="1621" t="s">
        <v>3378</v>
      </c>
      <c r="E4" s="3385" t="s">
        <v>1267</v>
      </c>
      <c r="F4" s="3386"/>
      <c r="G4" s="3386"/>
      <c r="H4" s="3386"/>
      <c r="I4" s="338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3.2">
      <c r="A5" s="3324" t="s">
        <v>1268</v>
      </c>
      <c r="B5" s="3379">
        <v>25</v>
      </c>
      <c r="C5" s="3382"/>
      <c r="D5" s="3370"/>
      <c r="E5" s="121" t="s">
        <v>1269</v>
      </c>
      <c r="F5" s="1622"/>
      <c r="G5" s="1622"/>
      <c r="H5" s="1622"/>
      <c r="I5" s="1276"/>
    </row>
    <row r="6" spans="1:12" ht="13.2">
      <c r="A6" s="3324"/>
      <c r="B6" s="3379"/>
      <c r="C6" s="3384"/>
      <c r="D6" s="3370"/>
      <c r="E6" s="121" t="s">
        <v>1270</v>
      </c>
      <c r="F6" s="1622"/>
      <c r="G6" s="1622"/>
      <c r="H6" s="1622"/>
      <c r="I6" s="1276"/>
    </row>
    <row r="7" spans="1:12" ht="13.2">
      <c r="A7" s="3324"/>
      <c r="B7" s="3379"/>
      <c r="C7" s="3383"/>
      <c r="D7" s="3370"/>
      <c r="E7" s="121" t="s">
        <v>1271</v>
      </c>
      <c r="F7" s="1622"/>
      <c r="G7" s="1622"/>
      <c r="H7" s="1622"/>
      <c r="I7" s="1276"/>
    </row>
    <row r="8" spans="1:12" ht="13.2">
      <c r="A8" s="3324" t="s">
        <v>1272</v>
      </c>
      <c r="B8" s="3379">
        <v>15</v>
      </c>
      <c r="C8" s="3382"/>
      <c r="D8" s="3370"/>
      <c r="E8" s="121" t="s">
        <v>1273</v>
      </c>
      <c r="F8" s="1622"/>
      <c r="G8" s="1622"/>
      <c r="H8" s="1622"/>
      <c r="I8" s="1276"/>
    </row>
    <row r="9" spans="1:12" ht="13.2">
      <c r="A9" s="3324"/>
      <c r="B9" s="3379"/>
      <c r="C9" s="3383"/>
      <c r="D9" s="3370"/>
      <c r="E9" s="121" t="s">
        <v>1274</v>
      </c>
      <c r="F9" s="1622"/>
      <c r="G9" s="1622"/>
      <c r="H9" s="1622"/>
      <c r="I9" s="1276"/>
    </row>
    <row r="10" spans="1:12" ht="13.2">
      <c r="A10" s="3324" t="s">
        <v>1275</v>
      </c>
      <c r="B10" s="3379">
        <v>15</v>
      </c>
      <c r="C10" s="3382"/>
      <c r="D10" s="3370"/>
      <c r="E10" s="121" t="s">
        <v>1276</v>
      </c>
      <c r="F10" s="1622"/>
      <c r="G10" s="1622"/>
      <c r="H10" s="1622"/>
      <c r="I10" s="1276"/>
    </row>
    <row r="11" spans="1:12" ht="13.2">
      <c r="A11" s="3324"/>
      <c r="B11" s="3379"/>
      <c r="C11" s="3383"/>
      <c r="D11" s="3370"/>
      <c r="E11" s="121" t="s">
        <v>1277</v>
      </c>
      <c r="F11" s="1622"/>
      <c r="G11" s="1622"/>
      <c r="H11" s="1622"/>
      <c r="I11" s="1276"/>
    </row>
    <row r="12" spans="1:12" ht="13.2">
      <c r="A12" s="3324" t="s">
        <v>1278</v>
      </c>
      <c r="B12" s="3379">
        <v>15</v>
      </c>
      <c r="C12" s="3382"/>
      <c r="D12" s="3370"/>
      <c r="E12" s="121" t="s">
        <v>1279</v>
      </c>
      <c r="F12" s="1622"/>
      <c r="G12" s="1622"/>
      <c r="H12" s="1622"/>
      <c r="I12" s="1276"/>
    </row>
    <row r="13" spans="1:12" ht="13.2">
      <c r="A13" s="3324"/>
      <c r="B13" s="3379"/>
      <c r="C13" s="3383"/>
      <c r="D13" s="3370"/>
      <c r="E13" s="121" t="s">
        <v>1280</v>
      </c>
      <c r="F13" s="1622"/>
      <c r="G13" s="1622"/>
      <c r="H13" s="1622"/>
      <c r="I13" s="1276"/>
    </row>
    <row r="14" spans="1:12" ht="13.2">
      <c r="A14" s="3324" t="s">
        <v>1281</v>
      </c>
      <c r="B14" s="3379">
        <v>30</v>
      </c>
      <c r="C14" s="3382">
        <v>5</v>
      </c>
      <c r="D14" s="3370">
        <f>10-C14</f>
        <v>5</v>
      </c>
      <c r="E14" s="121" t="s">
        <v>1282</v>
      </c>
      <c r="F14" s="1622"/>
      <c r="G14" s="1622"/>
      <c r="H14" s="1622"/>
      <c r="I14" s="1276"/>
    </row>
    <row r="15" spans="1:12" ht="13.2">
      <c r="A15" s="3324"/>
      <c r="B15" s="3379"/>
      <c r="C15" s="3384"/>
      <c r="D15" s="3370"/>
      <c r="E15" s="121" t="s">
        <v>1283</v>
      </c>
      <c r="F15" s="1622"/>
      <c r="G15" s="1622"/>
      <c r="H15" s="1622"/>
      <c r="I15" s="1276"/>
    </row>
    <row r="16" spans="1:12" ht="13.2">
      <c r="A16" s="3324"/>
      <c r="B16" s="3379"/>
      <c r="C16" s="3383"/>
      <c r="D16" s="3370"/>
      <c r="E16" s="121" t="s">
        <v>1284</v>
      </c>
      <c r="F16" s="1622"/>
      <c r="G16" s="1622"/>
      <c r="H16" s="1622"/>
      <c r="I16" s="1276"/>
    </row>
    <row r="17" spans="1:36" ht="14.4">
      <c r="A17" s="1623" t="s">
        <v>1285</v>
      </c>
      <c r="B17" s="53"/>
      <c r="C17" s="122">
        <f>SUM(C5:C16)</f>
        <v>5</v>
      </c>
      <c r="D17" s="122">
        <f>SUM(D5:D16)</f>
        <v>5</v>
      </c>
      <c r="E17" s="119"/>
      <c r="F17" s="119"/>
      <c r="G17" s="119"/>
      <c r="H17" s="119"/>
      <c r="I17" s="119"/>
      <c r="K17" s="292"/>
      <c r="L17" s="292" t="s">
        <v>1286</v>
      </c>
      <c r="M17" s="292" t="s">
        <v>1287</v>
      </c>
    </row>
    <row r="18" spans="1:36" ht="31.95" customHeight="1" thickBot="1">
      <c r="A18" s="1624" t="s">
        <v>1288</v>
      </c>
      <c r="B18" s="1537"/>
      <c r="C18" s="123">
        <f>ROUND(C17/SUM(C17:D17),2)</f>
        <v>0.5</v>
      </c>
      <c r="D18" s="123">
        <f>1-C18</f>
        <v>0.5</v>
      </c>
      <c r="E18" s="3401" t="s">
        <v>2131</v>
      </c>
      <c r="F18" s="3402"/>
      <c r="G18" s="3402"/>
      <c r="H18" s="3402"/>
      <c r="I18" s="3402"/>
      <c r="K18" s="292" t="s">
        <v>1289</v>
      </c>
      <c r="L18" s="292">
        <f>IF(C1="",'数据-汇总表'!E3,SUMIF(项目类型,C1,'数据-汇总表'!E17:E26)+SUMIF(项目类型,C1,'数据-汇总表'!I17:I26))</f>
        <v>35822.61</v>
      </c>
      <c r="M18" s="292">
        <f>IF(C1="",'数据-汇总表'!E3,SUMIF(项目类型,C1,'数据-汇总表'!E17:E26))</f>
        <v>35822.61</v>
      </c>
    </row>
    <row r="19" spans="1:36" ht="14.4">
      <c r="A19" s="1625" t="s">
        <v>1290</v>
      </c>
      <c r="B19" s="1626" t="s">
        <v>1291</v>
      </c>
      <c r="C19" s="124">
        <f ca="1">SUMIF(INDIRECT("'"&amp;C4&amp;"'"&amp;"!A:A"),结果表!B19,INDIRECT("'"&amp;C4&amp;"'"&amp;"!B:B"))</f>
        <v>185923</v>
      </c>
      <c r="D19" s="125">
        <f ca="1">SUMIF(INDIRECT("'"&amp;D4&amp;"'"&amp;"!A:A"),结果表!B19,INDIRECT("'"&amp;D4&amp;"'"&amp;"!B:B"))</f>
        <v>165067</v>
      </c>
      <c r="E19" s="1625" t="s">
        <v>1292</v>
      </c>
      <c r="F19" s="1626" t="s">
        <v>1291</v>
      </c>
      <c r="G19" s="126">
        <f ca="1">ROUND(C19*$C$18+D19*$D$18,0)</f>
        <v>175495</v>
      </c>
      <c r="H19" s="1627" t="s">
        <v>1293</v>
      </c>
      <c r="I19" s="119"/>
      <c r="K19" s="292" t="s">
        <v>1294</v>
      </c>
      <c r="L19" s="292">
        <f>IF(C1="",'数据-汇总表'!D3,SUMIF(项目类型,C1,'数据-汇总表'!D17:D26)+SUMIF(项目类型,C1,'数据-汇总表'!H17:H27))</f>
        <v>8682.75</v>
      </c>
      <c r="M19" s="292">
        <f>IF(C1="",'数据-汇总表'!D3,SUMIF(项目类型,C1,'数据-汇总表'!D17:D26))</f>
        <v>8682.75</v>
      </c>
    </row>
    <row r="20" spans="1:36" ht="14.4">
      <c r="A20" s="1628"/>
      <c r="B20" s="42" t="s">
        <v>1295</v>
      </c>
      <c r="C20" s="127">
        <f ca="1">SUMIF(INDIRECT("'"&amp;C4&amp;"'"&amp;"!A:A"),结果表!B20,INDIRECT("'"&amp;C4&amp;"'"&amp;"!B:B"))</f>
        <v>51901</v>
      </c>
      <c r="D20" s="128">
        <f ca="1">SUMIF(INDIRECT("'"&amp;D4&amp;"'"&amp;"!A:A"),结果表!B20,INDIRECT("'"&amp;D4&amp;"'"&amp;"!B:B"))</f>
        <v>46079</v>
      </c>
      <c r="E20" s="1628"/>
      <c r="F20" s="42" t="s">
        <v>1295</v>
      </c>
      <c r="G20" s="129">
        <f ca="1">ROUND(C20*$C$18+D20*$D$18,0)</f>
        <v>48990</v>
      </c>
      <c r="H20" s="755" t="s">
        <v>1296</v>
      </c>
      <c r="I20" s="119"/>
    </row>
    <row r="21" spans="1:36" ht="15" customHeight="1" thickBot="1">
      <c r="A21" s="447"/>
      <c r="B21" s="92" t="s">
        <v>1297</v>
      </c>
      <c r="C21" s="675">
        <f ca="1">ROUND(C19*10000/L19,0)</f>
        <v>214129</v>
      </c>
      <c r="D21" s="676">
        <f ca="1">ROUND(D19*10000/L19,0)</f>
        <v>190109</v>
      </c>
      <c r="E21" s="447"/>
      <c r="F21" s="92" t="s">
        <v>1297</v>
      </c>
      <c r="G21" s="130">
        <f ca="1">ROUND(G19*10000/L19,0)</f>
        <v>202119</v>
      </c>
      <c r="H21" s="1629" t="s">
        <v>1296</v>
      </c>
      <c r="I21" s="119"/>
    </row>
    <row r="22" spans="1:36" ht="15" thickBot="1">
      <c r="A22" s="1559" t="s">
        <v>1298</v>
      </c>
      <c r="B22" s="1630"/>
      <c r="C22" s="1631"/>
      <c r="D22" s="677">
        <f ca="1">IF(C19&lt;D19,D19/C19-1,C19/D19-1)</f>
        <v>0.12634869477242572</v>
      </c>
      <c r="E22" s="119"/>
      <c r="F22" s="119"/>
      <c r="G22" s="119"/>
      <c r="H22" s="119"/>
      <c r="I22" s="119"/>
    </row>
    <row r="23" spans="1:36" ht="13.8" thickBot="1">
      <c r="A23" s="643"/>
      <c r="B23" s="643"/>
      <c r="C23" s="643"/>
      <c r="D23" s="643"/>
      <c r="E23" s="119"/>
      <c r="F23" s="119"/>
      <c r="G23" s="119"/>
      <c r="H23" s="119"/>
      <c r="I23" s="119"/>
    </row>
    <row r="24" spans="1:36" ht="14.4">
      <c r="A24" s="3394" t="s">
        <v>1299</v>
      </c>
      <c r="B24" s="1626" t="s">
        <v>1291</v>
      </c>
      <c r="C24" s="126">
        <f>IF(B30=0,0,D30)</f>
        <v>0</v>
      </c>
      <c r="D24" s="1632"/>
      <c r="E24" s="119"/>
      <c r="F24" s="119"/>
      <c r="G24" s="119"/>
      <c r="H24" s="119"/>
      <c r="I24" s="119"/>
    </row>
    <row r="25" spans="1:36" ht="14.4">
      <c r="A25" s="3395"/>
      <c r="B25" s="42" t="s">
        <v>1295</v>
      </c>
      <c r="C25" s="131">
        <f>IF(B30=0,0,C30)</f>
        <v>0</v>
      </c>
      <c r="D25" s="1633"/>
      <c r="E25" s="119"/>
      <c r="F25" s="119"/>
      <c r="G25" s="119"/>
      <c r="H25" s="119"/>
      <c r="I25" s="119"/>
    </row>
    <row r="26" spans="1:36" ht="13.5" customHeight="1">
      <c r="A26" s="1634" t="s">
        <v>1300</v>
      </c>
      <c r="B26" s="132" t="s">
        <v>1301</v>
      </c>
      <c r="C26" s="132" t="s">
        <v>1302</v>
      </c>
      <c r="D26" s="133" t="s">
        <v>1303</v>
      </c>
      <c r="E26" s="119"/>
      <c r="F26" s="119"/>
      <c r="G26" s="119"/>
      <c r="H26" s="119"/>
      <c r="I26" s="119"/>
    </row>
    <row r="27" spans="1:36" ht="13.8">
      <c r="A27" s="1634"/>
      <c r="B27" s="132">
        <v>0</v>
      </c>
      <c r="C27" s="132">
        <v>0</v>
      </c>
      <c r="D27" s="133">
        <f>ROUND(C27*B27/10000,0)</f>
        <v>0</v>
      </c>
      <c r="E27" s="119"/>
      <c r="F27" s="119"/>
      <c r="G27" s="119"/>
      <c r="H27" s="119"/>
      <c r="I27" s="119"/>
    </row>
    <row r="28" spans="1:36" ht="13.8">
      <c r="A28" s="1634"/>
      <c r="B28" s="132"/>
      <c r="C28" s="132"/>
      <c r="D28" s="133"/>
      <c r="E28" s="119"/>
      <c r="F28" s="119"/>
      <c r="G28" s="119"/>
      <c r="H28" s="119"/>
      <c r="I28" s="119"/>
    </row>
    <row r="29" spans="1:36" ht="13.8">
      <c r="A29" s="1634"/>
      <c r="B29" s="132"/>
      <c r="C29" s="132"/>
      <c r="D29" s="133"/>
      <c r="E29" s="119"/>
      <c r="F29" s="119"/>
      <c r="G29" s="119"/>
      <c r="H29" s="119"/>
      <c r="I29" s="119"/>
    </row>
    <row r="30" spans="1:36" ht="15" thickBot="1">
      <c r="A30" s="132" t="s">
        <v>1304</v>
      </c>
      <c r="B30" s="132"/>
      <c r="C30" s="132"/>
      <c r="D30" s="132"/>
      <c r="E30" s="2120" t="s">
        <v>2132</v>
      </c>
      <c r="F30" s="119"/>
      <c r="G30" s="119"/>
      <c r="H30" s="119"/>
      <c r="I30" s="119"/>
    </row>
    <row r="31" spans="1:36" s="2126" customFormat="1" ht="26.4"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5" t="s">
        <v>1305</v>
      </c>
      <c r="B32" s="1530"/>
      <c r="C32" s="134">
        <f ca="1">IF(D32="总价",G19-C24,G20-C25)</f>
        <v>175495</v>
      </c>
      <c r="D32" s="1636" t="s">
        <v>3380</v>
      </c>
      <c r="E32" s="119"/>
      <c r="F32" s="119"/>
      <c r="G32" s="119"/>
      <c r="H32" s="119"/>
      <c r="I32" s="119"/>
    </row>
    <row r="33" spans="1:15" ht="14.4">
      <c r="A33" s="735" t="s">
        <v>1306</v>
      </c>
      <c r="B33" s="121"/>
      <c r="C33" s="1637" t="s">
        <v>3381</v>
      </c>
      <c r="D33" s="1638" t="s">
        <v>3377</v>
      </c>
      <c r="E33" s="1639" t="s">
        <v>1307</v>
      </c>
      <c r="F33" s="1640" t="str">
        <f>IF(D32="楼面单价","取值（单价）","取值（总价）")</f>
        <v>取值（总价）</v>
      </c>
      <c r="G33" s="119"/>
      <c r="H33" s="119"/>
      <c r="I33" s="119"/>
    </row>
    <row r="34" spans="1:15" ht="14.4">
      <c r="A34" s="1641"/>
      <c r="B34" s="1642" t="s">
        <v>1308</v>
      </c>
      <c r="C34" s="138">
        <f ca="1">IF(C33="自定义",F34,C32-C35)</f>
        <v>154436</v>
      </c>
      <c r="D34" s="803">
        <f ca="1">IF(C33="自定义",ROUND(C34/C32,3),IF(C33="收益比率",SUMIF(INDIRECT("'"&amp;D33&amp;"'"&amp;"!b:b"),"土地收益比率",INDIRECT("'"&amp;D33&amp;"'"&amp;"!c:c")),SUMIF(INDIRECT("'"&amp;D33&amp;"'"&amp;"!b:b"),"土地成本比率",INDIRECT("'"&amp;D33&amp;"'"&amp;"!c:c"))))</f>
        <v>0.88</v>
      </c>
      <c r="E34" s="1643" t="s">
        <v>1309</v>
      </c>
      <c r="F34" s="1238"/>
      <c r="G34" s="119"/>
      <c r="H34" s="119"/>
      <c r="I34" s="119"/>
    </row>
    <row r="35" spans="1:15" ht="15" thickBot="1">
      <c r="A35" s="1644"/>
      <c r="B35" s="1645" t="s">
        <v>1310</v>
      </c>
      <c r="C35" s="1085">
        <f ca="1">IF(C33="自定义",F35,ROUND(C32*D35,0))</f>
        <v>21059</v>
      </c>
      <c r="D35" s="1086">
        <f ca="1">IF(C33="自定义",ROUND(C35/C32,3),IF(C33="收益比率",SUMIF(INDIRECT("'"&amp;D33&amp;"'"&amp;"!b:b"),"建筑物收益比率",INDIRECT("'"&amp;D33&amp;"'"&amp;"!c:c")),SUMIF(INDIRECT("'"&amp;D33&amp;"'"&amp;"!b:b"),"建筑物成本比率",INDIRECT("'"&amp;D33&amp;"'"&amp;"!c:c"))))</f>
        <v>0.12</v>
      </c>
      <c r="E35" s="1646" t="s">
        <v>1311</v>
      </c>
      <c r="F35" s="144"/>
      <c r="G35" s="119"/>
      <c r="H35" s="119"/>
      <c r="I35" s="119"/>
    </row>
    <row r="36" spans="1:15" ht="15" thickBot="1">
      <c r="A36" s="3371" t="s">
        <v>1312</v>
      </c>
      <c r="B36" s="1647" t="s">
        <v>1313</v>
      </c>
      <c r="C36" s="135"/>
      <c r="D36" s="1648"/>
      <c r="E36" s="1562"/>
      <c r="F36" s="1649"/>
      <c r="G36" s="119"/>
      <c r="H36" s="119"/>
      <c r="I36" s="119"/>
    </row>
    <row r="37" spans="1:15" ht="15" thickBot="1">
      <c r="A37" s="3372"/>
      <c r="B37" s="1550" t="s">
        <v>1314</v>
      </c>
      <c r="C37" s="137"/>
      <c r="D37" s="1066"/>
      <c r="E37" s="1066"/>
      <c r="F37" s="1649"/>
      <c r="G37" s="119"/>
      <c r="H37" s="119"/>
      <c r="I37" s="119"/>
    </row>
    <row r="38" spans="1:15" ht="15" thickBot="1">
      <c r="A38" s="3373"/>
      <c r="B38" s="1650" t="s">
        <v>1315</v>
      </c>
      <c r="C38" s="638"/>
      <c r="D38" s="1651" t="s">
        <v>1316</v>
      </c>
      <c r="E38" s="1066"/>
      <c r="F38" s="1649"/>
      <c r="G38" s="119"/>
      <c r="H38" s="119"/>
      <c r="I38" s="119"/>
    </row>
    <row r="39" spans="1:15" ht="14.4">
      <c r="A39" s="1628" t="s">
        <v>1317</v>
      </c>
      <c r="B39" s="1652" t="s">
        <v>1318</v>
      </c>
      <c r="C39" s="1653" t="s">
        <v>1319</v>
      </c>
      <c r="D39" s="1653" t="s">
        <v>1320</v>
      </c>
      <c r="E39" s="1654" t="s">
        <v>1321</v>
      </c>
      <c r="F39" s="1649"/>
      <c r="G39" s="119"/>
      <c r="H39" s="119"/>
      <c r="I39" s="119"/>
    </row>
    <row r="40" spans="1:15" ht="13.8">
      <c r="A40" s="1655" t="s">
        <v>1322</v>
      </c>
      <c r="B40" s="139"/>
      <c r="C40" s="140"/>
      <c r="D40" s="140"/>
      <c r="E40" s="141"/>
      <c r="F40" s="1649"/>
      <c r="G40" s="119"/>
      <c r="H40" s="119"/>
      <c r="I40" s="119"/>
    </row>
    <row r="41" spans="1:15" ht="13.8">
      <c r="A41" s="1655" t="s">
        <v>1323</v>
      </c>
      <c r="B41" s="139"/>
      <c r="C41" s="140"/>
      <c r="D41" s="140"/>
      <c r="E41" s="141"/>
      <c r="F41" s="1649"/>
      <c r="G41" s="119"/>
      <c r="H41" s="119"/>
      <c r="I41" s="119"/>
    </row>
    <row r="42" spans="1:15" ht="14.4" thickBot="1">
      <c r="A42" s="1656"/>
      <c r="B42" s="142"/>
      <c r="C42" s="143"/>
      <c r="D42" s="143"/>
      <c r="E42" s="144"/>
      <c r="F42" s="1649"/>
      <c r="G42" s="119"/>
      <c r="H42" s="119"/>
      <c r="I42" s="119"/>
    </row>
    <row r="43" spans="1:15" ht="13.2">
      <c r="A43" s="1462"/>
      <c r="B43" s="1462"/>
      <c r="C43" s="1462"/>
      <c r="D43" s="1462"/>
      <c r="E43" s="1462"/>
      <c r="F43" s="1657"/>
      <c r="G43" s="1657"/>
      <c r="H43" s="1657"/>
      <c r="I43" s="1658"/>
    </row>
    <row r="44" spans="1:15" ht="17.399999999999999">
      <c r="A44" s="1459" t="s">
        <v>1324</v>
      </c>
      <c r="B44" s="1659"/>
      <c r="C44" s="1659"/>
      <c r="D44" s="1660"/>
      <c r="E44" s="1660"/>
      <c r="F44" s="1661"/>
      <c r="G44" s="1661"/>
      <c r="H44" s="1661"/>
      <c r="I44" s="1661"/>
      <c r="J44" s="1662" t="s">
        <v>1325</v>
      </c>
      <c r="K44" s="4"/>
      <c r="L44" s="4"/>
      <c r="M44" s="4"/>
      <c r="N44" s="4"/>
      <c r="O44" s="4"/>
    </row>
    <row r="45" spans="1:15" ht="14.25" hidden="1" customHeight="1" thickBot="1">
      <c r="A45" s="3391" t="s">
        <v>1326</v>
      </c>
      <c r="B45" s="3392"/>
      <c r="C45" s="3393"/>
      <c r="D45" s="145">
        <f ca="1">ROUND(H101*F45,0)</f>
        <v>175495</v>
      </c>
      <c r="E45" s="146" t="s">
        <v>1327</v>
      </c>
      <c r="F45" s="147">
        <v>1</v>
      </c>
      <c r="G45" s="148" t="s">
        <v>1328</v>
      </c>
      <c r="H45" s="119"/>
      <c r="I45" s="119"/>
      <c r="J45" s="3311" t="s">
        <v>1329</v>
      </c>
      <c r="K45" s="3311"/>
      <c r="L45" s="3311"/>
      <c r="M45" s="3311"/>
      <c r="N45" s="3311"/>
      <c r="O45" s="3311"/>
    </row>
    <row r="46" spans="1:15" ht="14.25" hidden="1" customHeight="1">
      <c r="A46" s="3388" t="s">
        <v>1330</v>
      </c>
      <c r="B46" s="3389"/>
      <c r="C46" s="3389"/>
      <c r="D46" s="3389"/>
      <c r="E46" s="3389"/>
      <c r="F46" s="3389"/>
      <c r="G46" s="3390"/>
      <c r="H46" s="1663"/>
      <c r="I46" s="149"/>
      <c r="J46" s="2302">
        <v>1</v>
      </c>
      <c r="K46" s="3312" t="s">
        <v>1331</v>
      </c>
      <c r="L46" s="3312"/>
      <c r="M46" s="3313"/>
      <c r="N46" s="3313"/>
      <c r="O46" s="3313"/>
    </row>
    <row r="47" spans="1:15" ht="12" hidden="1" customHeight="1">
      <c r="A47" s="150" t="s">
        <v>1332</v>
      </c>
      <c r="B47" s="151"/>
      <c r="C47" s="152"/>
      <c r="D47" s="1019" t="s">
        <v>1333</v>
      </c>
      <c r="E47" s="292" t="s">
        <v>1334</v>
      </c>
      <c r="F47" s="153" t="s">
        <v>1335</v>
      </c>
      <c r="G47" s="2325" t="s">
        <v>1336</v>
      </c>
      <c r="H47" s="2326"/>
      <c r="I47" s="149"/>
      <c r="J47" s="2302">
        <v>2</v>
      </c>
      <c r="K47" s="3312" t="s">
        <v>1337</v>
      </c>
      <c r="L47" s="3312"/>
      <c r="M47" s="3314">
        <f>'数据-取费表'!B2</f>
        <v>45029</v>
      </c>
      <c r="N47" s="3314"/>
      <c r="O47" s="3314"/>
    </row>
    <row r="48" spans="1:15" ht="26.4" hidden="1">
      <c r="A48" s="3374" t="s">
        <v>1338</v>
      </c>
      <c r="B48" s="3375"/>
      <c r="C48" s="3375"/>
      <c r="D48" s="11" t="b">
        <f>IF(H48="情况1",0,IF(H48="情况2",D52,IF(H48="情况3",D53,IF(H48="情况4",D54))))</f>
        <v>0</v>
      </c>
      <c r="E48" s="1251" t="str">
        <f>IF(H48="情况4","(销售额-原购置价)×税（费）率","销售额×税（费）率")</f>
        <v>销售额×税（费）率</v>
      </c>
      <c r="F48" s="2327">
        <f>IF(H48="情况1","免征",'数据-取费表'!B41)</f>
        <v>5.6000000000000001E-2</v>
      </c>
      <c r="G48" s="2328" t="s">
        <v>1339</v>
      </c>
      <c r="H48" s="2329"/>
      <c r="I48" s="1663"/>
      <c r="J48" s="2302">
        <v>3</v>
      </c>
      <c r="K48" s="3312" t="s">
        <v>1340</v>
      </c>
      <c r="L48" s="3312"/>
      <c r="M48" s="3315">
        <f ca="1">H101</f>
        <v>175495</v>
      </c>
      <c r="N48" s="3315"/>
      <c r="O48" s="3315"/>
    </row>
    <row r="49" spans="1:35" ht="25.5" hidden="1" customHeight="1">
      <c r="A49" s="2145" t="s">
        <v>1341</v>
      </c>
      <c r="B49" s="3360" t="s">
        <v>1342</v>
      </c>
      <c r="C49" s="3360"/>
      <c r="D49" s="1473">
        <v>0</v>
      </c>
      <c r="E49" s="314" t="s">
        <v>1343</v>
      </c>
      <c r="F49" s="2226" t="s">
        <v>28</v>
      </c>
      <c r="G49" s="3343"/>
      <c r="H49" s="2127" t="s">
        <v>2134</v>
      </c>
      <c r="I49" s="2128"/>
      <c r="J49" s="2302">
        <v>4</v>
      </c>
      <c r="K49" s="3312" t="str">
        <f>IF(项目基本情况!E8="房地产抵押价值","房地产抵押价值","抵押担保权已注销时的房地产抵押价值")</f>
        <v>房地产抵押价值</v>
      </c>
      <c r="L49" s="3312"/>
      <c r="M49" s="3315">
        <f ca="1">IF(项目基本情况!E8="房地产抵押价值",H107,H109)</f>
        <v>175495</v>
      </c>
      <c r="N49" s="3315"/>
      <c r="O49" s="3315"/>
    </row>
    <row r="50" spans="1:35" ht="25.5" hidden="1" customHeight="1">
      <c r="A50" s="2330"/>
      <c r="B50" s="3360" t="s">
        <v>1344</v>
      </c>
      <c r="C50" s="3360"/>
      <c r="D50" s="2182"/>
      <c r="E50" s="321"/>
      <c r="F50" s="2226"/>
      <c r="G50" s="3344"/>
      <c r="H50" s="2129" t="s">
        <v>2135</v>
      </c>
      <c r="I50" s="2128"/>
      <c r="J50" s="3311" t="s">
        <v>1345</v>
      </c>
      <c r="K50" s="3311"/>
      <c r="L50" s="3311"/>
      <c r="M50" s="3311"/>
      <c r="N50" s="3311"/>
      <c r="O50" s="3311"/>
    </row>
    <row r="51" spans="1:35" ht="20.399999999999999" hidden="1" customHeight="1">
      <c r="A51" s="2331"/>
      <c r="B51" s="3360" t="s">
        <v>1346</v>
      </c>
      <c r="C51" s="3360"/>
      <c r="D51" s="1019"/>
      <c r="E51" s="317"/>
      <c r="F51" s="2226"/>
      <c r="G51" s="3345"/>
      <c r="H51" s="2129" t="s">
        <v>2136</v>
      </c>
      <c r="I51" s="2128"/>
      <c r="J51" s="2303" t="s">
        <v>1347</v>
      </c>
      <c r="K51" s="3312" t="s">
        <v>1348</v>
      </c>
      <c r="L51" s="3312"/>
      <c r="M51" s="2303" t="s">
        <v>1349</v>
      </c>
      <c r="N51" s="2303" t="s">
        <v>1350</v>
      </c>
      <c r="O51" s="2303" t="s">
        <v>1351</v>
      </c>
    </row>
    <row r="52" spans="1:35" ht="24" hidden="1" customHeight="1">
      <c r="A52" s="2146" t="s">
        <v>1352</v>
      </c>
      <c r="B52" s="3360" t="s">
        <v>1353</v>
      </c>
      <c r="C52" s="3360"/>
      <c r="D52" s="1019">
        <f ca="1">ROUND(D45*'数据-取费表'!B41/(1+'数据-取费表'!C42),0)</f>
        <v>9360</v>
      </c>
      <c r="E52" s="1251" t="s">
        <v>1354</v>
      </c>
      <c r="F52" s="2332">
        <f>'数据-取费表'!B41</f>
        <v>5.6000000000000001E-2</v>
      </c>
      <c r="G52" s="2333"/>
      <c r="H52" s="2323"/>
      <c r="I52" s="1664"/>
      <c r="J52" s="2302">
        <v>1</v>
      </c>
      <c r="K52" s="3337" t="s">
        <v>1355</v>
      </c>
      <c r="L52" s="3337"/>
      <c r="M52" s="2304" t="b">
        <f>D48</f>
        <v>0</v>
      </c>
      <c r="N52" s="2302" t="str">
        <f>E48</f>
        <v>销售额×税（费）率</v>
      </c>
      <c r="O52" s="2305">
        <f>F48</f>
        <v>5.6000000000000001E-2</v>
      </c>
    </row>
    <row r="53" spans="1:35" ht="12" hidden="1" customHeight="1">
      <c r="A53" s="2146" t="s">
        <v>1356</v>
      </c>
      <c r="B53" s="3361" t="s">
        <v>2284</v>
      </c>
      <c r="C53" s="3362"/>
      <c r="D53" s="1019">
        <f ca="1">ROUND(D45*'数据-取费表'!B41/(1+'数据-取费表'!C42),0)</f>
        <v>9360</v>
      </c>
      <c r="E53" s="1251" t="s">
        <v>1354</v>
      </c>
      <c r="F53" s="2332">
        <f>'数据-取费表'!B41</f>
        <v>5.6000000000000001E-2</v>
      </c>
      <c r="G53" s="2333"/>
      <c r="H53" s="2323"/>
      <c r="I53" s="1664"/>
      <c r="J53" s="2302">
        <v>2</v>
      </c>
      <c r="K53" s="3337" t="s">
        <v>1357</v>
      </c>
      <c r="L53" s="3337"/>
      <c r="M53" s="2304">
        <f t="shared" ref="M53:O54" ca="1" si="0">D55</f>
        <v>88</v>
      </c>
      <c r="N53" s="2302" t="str">
        <f t="shared" si="0"/>
        <v>销售额×税（费）率</v>
      </c>
      <c r="O53" s="2305" t="str">
        <f t="shared" si="0"/>
        <v>免征</v>
      </c>
    </row>
    <row r="54" spans="1:35" ht="12" hidden="1" customHeight="1">
      <c r="A54" s="2146" t="s">
        <v>1358</v>
      </c>
      <c r="B54" s="3361" t="s">
        <v>2285</v>
      </c>
      <c r="C54" s="3362"/>
      <c r="D54" s="1019">
        <f ca="1">C68</f>
        <v>9360</v>
      </c>
      <c r="E54" s="317" t="s">
        <v>1359</v>
      </c>
      <c r="F54" s="2332">
        <f>'数据-取费表'!B41</f>
        <v>5.6000000000000001E-2</v>
      </c>
      <c r="G54" s="2333"/>
      <c r="H54" s="2334"/>
      <c r="I54" s="1664"/>
      <c r="J54" s="2302">
        <v>3</v>
      </c>
      <c r="K54" s="3337" t="s">
        <v>1360</v>
      </c>
      <c r="L54" s="3337"/>
      <c r="M54" s="2304">
        <f t="shared" ca="1" si="0"/>
        <v>99330</v>
      </c>
      <c r="N54" s="2302" t="str">
        <f t="shared" si="0"/>
        <v>增值额×税（费）率</v>
      </c>
      <c r="O54" s="2306" t="str">
        <f t="shared" si="0"/>
        <v>免征</v>
      </c>
    </row>
    <row r="55" spans="1:35" ht="24" hidden="1" customHeight="1">
      <c r="A55" s="3397" t="s">
        <v>1361</v>
      </c>
      <c r="B55" s="3375"/>
      <c r="C55" s="3375"/>
      <c r="D55" s="11">
        <f ca="1">IF(H55="个人住宅",0,ROUND(D45*I55,0))</f>
        <v>88</v>
      </c>
      <c r="E55" s="1251" t="s">
        <v>1362</v>
      </c>
      <c r="F55" s="2332" t="str">
        <f>IF(H55="正常",I55,"免征")</f>
        <v>免征</v>
      </c>
      <c r="G55" s="2333"/>
      <c r="H55" s="2329"/>
      <c r="I55" s="155">
        <f>'数据-取费表'!B49</f>
        <v>5.0000000000000001E-4</v>
      </c>
      <c r="J55" s="2302">
        <f>IF(H59="非个人房产","",4)</f>
        <v>4</v>
      </c>
      <c r="K55" s="3337" t="str">
        <f>IF(H59="非个人房产","——","个人所得税")</f>
        <v>个人所得税</v>
      </c>
      <c r="L55" s="3337"/>
      <c r="M55" s="2307">
        <f ca="1">D59</f>
        <v>1671</v>
      </c>
      <c r="N55" s="1876" t="str">
        <f>E59</f>
        <v>差额计税</v>
      </c>
      <c r="O55" s="2308">
        <f>F59</f>
        <v>0.01</v>
      </c>
    </row>
    <row r="56" spans="1:35" ht="25.2" hidden="1">
      <c r="A56" s="3397" t="s">
        <v>1363</v>
      </c>
      <c r="B56" s="3375"/>
      <c r="C56" s="3375"/>
      <c r="D56" s="11">
        <f ca="1">IF(H56="个人住宅",D57,D58)</f>
        <v>99330</v>
      </c>
      <c r="E56" s="1251" t="s">
        <v>1364</v>
      </c>
      <c r="F56" s="2332" t="str">
        <f>IF(H56="正常",F58,"免征")</f>
        <v>免征</v>
      </c>
      <c r="G56" s="2335" t="s">
        <v>1365</v>
      </c>
      <c r="H56" s="2336"/>
      <c r="I56" s="1665"/>
      <c r="J56" s="2302" t="str">
        <f>IF(项目基本情况!K6="上海银行",IF(J55="",4,J55+1),"")</f>
        <v/>
      </c>
      <c r="K56" s="3318" t="str">
        <f>IF(项目基本情况!K6="上海银行","其他处置费用","")</f>
        <v/>
      </c>
      <c r="L56" s="3319"/>
      <c r="M56" s="2304" t="str">
        <f>IF(项目基本情况!K6="上海银行",M69,"")</f>
        <v/>
      </c>
      <c r="N56" s="3318" t="str">
        <f>IF(项目基本情况!K6="上海银行","包含处置中涉及的律师、诉讼、拍卖、评估等费用","")</f>
        <v/>
      </c>
      <c r="O56" s="3321"/>
    </row>
    <row r="57" spans="1:35" ht="13.2" hidden="1">
      <c r="A57" s="2146" t="s">
        <v>1341</v>
      </c>
      <c r="B57" s="3361" t="s">
        <v>1366</v>
      </c>
      <c r="C57" s="3362"/>
      <c r="D57" s="1473">
        <v>0</v>
      </c>
      <c r="E57" s="314" t="s">
        <v>1343</v>
      </c>
      <c r="F57" s="292"/>
      <c r="G57" s="2333"/>
      <c r="H57" s="2337"/>
      <c r="I57" s="1665"/>
      <c r="J57" s="3337">
        <f>IF(AND(J55="",J56=""),4,IF(项目基本情况!K6="上海银行",结果表!J56+1,结果表!J55+1))</f>
        <v>5</v>
      </c>
      <c r="K57" s="3337" t="s">
        <v>1367</v>
      </c>
      <c r="L57" s="2309" t="s">
        <v>1368</v>
      </c>
      <c r="M57" s="2310"/>
      <c r="N57" s="2311">
        <f ca="1">SUMIF(M52:M56,"&lt;9e307")</f>
        <v>101089</v>
      </c>
      <c r="O57" s="2312"/>
      <c r="P57" s="2457">
        <f ca="1">N57/M49</f>
        <v>0.57602210889199124</v>
      </c>
    </row>
    <row r="58" spans="1:35" ht="25.2" hidden="1">
      <c r="A58" s="2146" t="s">
        <v>1352</v>
      </c>
      <c r="B58" s="3361" t="s">
        <v>1369</v>
      </c>
      <c r="C58" s="3360"/>
      <c r="D58" s="11">
        <f ca="1">IF(H58="转让取得",C81,C97)</f>
        <v>99330</v>
      </c>
      <c r="E58" s="1251" t="s">
        <v>1364</v>
      </c>
      <c r="F58" s="292" t="s">
        <v>28</v>
      </c>
      <c r="G58" s="2333"/>
      <c r="H58" s="2336"/>
      <c r="I58" s="1665"/>
      <c r="J58" s="3337"/>
      <c r="K58" s="3337"/>
      <c r="L58" s="2309" t="s">
        <v>1370</v>
      </c>
      <c r="M58" s="2313"/>
      <c r="N58" s="2314" t="str">
        <f ca="1">NUMBERSTRING(INT(N57*10000),2)&amp;"元整"</f>
        <v>壹拾亿壹仟零捌拾玖万元整</v>
      </c>
      <c r="O58" s="2315"/>
    </row>
    <row r="59" spans="1:35" ht="24.6" hidden="1" thickBot="1">
      <c r="A59" s="3341" t="s">
        <v>1371</v>
      </c>
      <c r="B59" s="3342"/>
      <c r="C59" s="3342"/>
      <c r="D59" s="2338">
        <f ca="1">IF(H59="非个人房产","——",IF(H59="个人住宅（满五唯一有凭证）",0,IF(H59="个人其他（无凭证）",ROUND(D45*F59,0),ROUND(C67*F59,0))))</f>
        <v>1671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39">
        <f>J57+1</f>
        <v>6</v>
      </c>
      <c r="K59" s="3337" t="s">
        <v>1372</v>
      </c>
      <c r="L59" s="2302" t="s">
        <v>1368</v>
      </c>
      <c r="M59" s="2316"/>
      <c r="N59" s="2317">
        <f ca="1">M49-N57</f>
        <v>74406</v>
      </c>
      <c r="O59" s="2318"/>
    </row>
    <row r="60" spans="1:35" ht="12" hidden="1" customHeight="1">
      <c r="A60" s="1666"/>
      <c r="B60" s="643"/>
      <c r="C60" s="643"/>
      <c r="D60" s="643"/>
      <c r="E60" s="1461"/>
      <c r="F60" s="1665"/>
      <c r="G60" s="1665"/>
      <c r="H60" s="149"/>
      <c r="I60" s="119"/>
      <c r="J60" s="3340"/>
      <c r="K60" s="3337"/>
      <c r="L60" s="2309" t="s">
        <v>1370</v>
      </c>
      <c r="M60" s="2313"/>
      <c r="N60" s="2314" t="str">
        <f ca="1">NUMBERSTRING(INT(N59*10000),2)&amp;"元整"</f>
        <v>柒亿肆仟肆佰零陆万元整</v>
      </c>
      <c r="O60" s="2315"/>
    </row>
    <row r="61" spans="1:35" ht="13.8" hidden="1" thickBot="1">
      <c r="A61" s="3396" t="s">
        <v>1373</v>
      </c>
      <c r="B61" s="3396"/>
      <c r="C61" s="3396"/>
      <c r="D61" s="3396"/>
      <c r="E61" s="3396"/>
      <c r="F61" s="1665"/>
      <c r="G61" s="1665"/>
      <c r="H61" s="149"/>
      <c r="I61" s="119"/>
      <c r="J61" s="2302">
        <f>J59+1</f>
        <v>7</v>
      </c>
      <c r="K61" s="3337" t="s">
        <v>1374</v>
      </c>
      <c r="L61" s="3337"/>
      <c r="M61" s="2319"/>
      <c r="N61" s="2320">
        <f ca="1">ROUND(N59*10000/'数据-汇总表'!E3,0)</f>
        <v>20771</v>
      </c>
      <c r="O61" s="2321"/>
    </row>
    <row r="62" spans="1:35" ht="13.2" hidden="1">
      <c r="A62" s="3356" t="s">
        <v>1375</v>
      </c>
      <c r="B62" s="3357"/>
      <c r="C62" s="1858"/>
      <c r="D62" s="1858" t="s">
        <v>1376</v>
      </c>
      <c r="E62" s="156" t="s">
        <v>1377</v>
      </c>
      <c r="F62" s="1665"/>
      <c r="G62" s="1665"/>
      <c r="H62" s="149"/>
      <c r="I62" s="119"/>
    </row>
    <row r="63" spans="1:35" ht="13.2" hidden="1">
      <c r="A63" s="163" t="s">
        <v>330</v>
      </c>
      <c r="B63" s="157" t="s">
        <v>1378</v>
      </c>
      <c r="C63" s="2342">
        <f ca="1">ROUND((C64+C65)/(1+'数据-取费表'!C42),0)</f>
        <v>167138</v>
      </c>
      <c r="D63" s="157"/>
      <c r="E63" s="158"/>
      <c r="F63" s="1665"/>
      <c r="G63" s="1665"/>
      <c r="H63" s="149"/>
      <c r="I63" s="119"/>
      <c r="J63" s="3320" t="s">
        <v>1379</v>
      </c>
      <c r="K63" s="1240" t="s">
        <v>1380</v>
      </c>
      <c r="L63" s="1240">
        <f ca="1">IF(M49&gt;10000,M49*0.5%,IF(AND(M49&gt;1000,M49&lt;=10000),M49*1%,IF(AND(M49&gt;100,M49&lt;=1000),M49*3%,IF(AND(M49&gt;10,M49&lt;=100),M49*5%,M49*8%))))</f>
        <v>877.47500000000002</v>
      </c>
      <c r="M63" s="292">
        <f ca="1">ROUND(L63,1)</f>
        <v>877.5</v>
      </c>
      <c r="N63" s="2322"/>
      <c r="Z63" s="1618"/>
      <c r="AI63" s="1556"/>
    </row>
    <row r="64" spans="1:35" ht="14.25" hidden="1" customHeight="1">
      <c r="A64" s="159" t="s">
        <v>325</v>
      </c>
      <c r="B64" s="160" t="s">
        <v>1381</v>
      </c>
      <c r="C64" s="2343">
        <f ca="1">D45</f>
        <v>175495</v>
      </c>
      <c r="D64" s="160" t="s">
        <v>26</v>
      </c>
      <c r="E64" s="162"/>
      <c r="F64" s="1665"/>
      <c r="G64" s="1665"/>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877.47500000000002</v>
      </c>
      <c r="M64" s="292">
        <f t="shared" ref="M64:M65" ca="1" si="1">ROUND(L64,1)</f>
        <v>877.5</v>
      </c>
      <c r="N64" s="2323" t="s">
        <v>1383</v>
      </c>
      <c r="Z64" s="1618"/>
      <c r="AI64" s="1556"/>
    </row>
    <row r="65" spans="1:35" ht="14.25" hidden="1" customHeight="1">
      <c r="A65" s="159" t="s">
        <v>326</v>
      </c>
      <c r="B65" s="160" t="s">
        <v>1384</v>
      </c>
      <c r="C65" s="2344"/>
      <c r="D65" s="160"/>
      <c r="E65" s="162"/>
      <c r="F65" s="1665"/>
      <c r="G65" s="1665"/>
      <c r="H65" s="149"/>
      <c r="I65" s="119"/>
      <c r="J65" s="3320"/>
      <c r="K65" s="1240" t="s">
        <v>1385</v>
      </c>
      <c r="L65" s="1240">
        <f ca="1">IF(M49&gt;1000,M49*0.1%,IF(AND(M49&gt;500,M49&lt;=1000),M49*0.5%,IF(AND(M49&gt;50,M49&lt;=500),M49*1%,IF(AND(M49&gt;1,M49&lt;=50),M49*1.5%))))</f>
        <v>175.495</v>
      </c>
      <c r="M65" s="292">
        <f t="shared" ca="1" si="1"/>
        <v>175.5</v>
      </c>
      <c r="N65" s="2323" t="s">
        <v>1383</v>
      </c>
      <c r="Z65" s="1618"/>
      <c r="AI65" s="1556"/>
    </row>
    <row r="66" spans="1:35" ht="14.25" hidden="1" customHeight="1">
      <c r="A66" s="163" t="s">
        <v>327</v>
      </c>
      <c r="B66" s="164" t="s">
        <v>1386</v>
      </c>
      <c r="C66" s="2345"/>
      <c r="D66" s="164" t="s">
        <v>26</v>
      </c>
      <c r="E66" s="1246" t="s">
        <v>671</v>
      </c>
      <c r="F66" s="1665"/>
      <c r="G66" s="1665"/>
      <c r="H66" s="149"/>
      <c r="I66" s="119"/>
      <c r="J66" s="3320"/>
      <c r="K66" s="1240" t="s">
        <v>1387</v>
      </c>
      <c r="L66" s="1240">
        <f ca="1">M49*0.5%</f>
        <v>877.47500000000002</v>
      </c>
      <c r="M66" s="292">
        <f ca="1">IF(L66&gt;0.5,0.5,ROUND(L66,0))</f>
        <v>0.5</v>
      </c>
      <c r="N66" s="2323" t="s">
        <v>1388</v>
      </c>
      <c r="Z66" s="1618"/>
      <c r="AI66" s="1556"/>
    </row>
    <row r="67" spans="1:35" ht="14.25" hidden="1" customHeight="1">
      <c r="A67" s="163" t="s">
        <v>328</v>
      </c>
      <c r="B67" s="164" t="s">
        <v>1389</v>
      </c>
      <c r="C67" s="2346">
        <f ca="1">C63-C66</f>
        <v>167138</v>
      </c>
      <c r="D67" s="160" t="s">
        <v>26</v>
      </c>
      <c r="E67" s="162"/>
      <c r="F67" s="1665"/>
      <c r="G67" s="1665"/>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24.799500000000002</v>
      </c>
      <c r="M67" s="292">
        <f ca="1">ROUND(L67*0.9,1)</f>
        <v>22.3</v>
      </c>
      <c r="N67" s="2322"/>
      <c r="Z67" s="1618"/>
      <c r="AI67" s="1556"/>
    </row>
    <row r="68" spans="1:35" ht="14.25" hidden="1" customHeight="1" thickBot="1">
      <c r="A68" s="166" t="s">
        <v>329</v>
      </c>
      <c r="B68" s="167" t="s">
        <v>1391</v>
      </c>
      <c r="C68" s="2347">
        <f ca="1">IF(C67&lt;=0,0,ROUND(C67*D68,0))</f>
        <v>9360</v>
      </c>
      <c r="D68" s="2348">
        <f>'数据-取费表'!B41</f>
        <v>5.6000000000000001E-2</v>
      </c>
      <c r="E68" s="168"/>
      <c r="F68" s="1665"/>
      <c r="G68" s="1665"/>
      <c r="H68" s="149"/>
      <c r="I68" s="119"/>
      <c r="J68" s="3320"/>
      <c r="K68" s="1240" t="s">
        <v>1392</v>
      </c>
      <c r="L68" s="1240">
        <f ca="1">IF(M49&gt;10000,M49*0.5%,IF(AND(M49&gt;5000,M49&lt;=10000),M49*1%,IF(AND(M49&gt;1000,M49&lt;=5000),M49*2%,IF(AND(M49&gt;200,M49&lt;=1000),M49*3%,M49*5%))))</f>
        <v>877.47500000000002</v>
      </c>
      <c r="M68" s="292">
        <f ca="1">ROUND(L68,1)</f>
        <v>877.5</v>
      </c>
      <c r="N68" s="2322"/>
      <c r="Z68" s="1618"/>
      <c r="AI68" s="1556"/>
    </row>
    <row r="69" spans="1:35" ht="16.5" hidden="1" customHeight="1">
      <c r="A69" s="1667"/>
      <c r="B69" s="1668"/>
      <c r="C69" s="1669"/>
      <c r="D69" s="1670"/>
      <c r="E69" s="1671"/>
      <c r="F69" s="1461"/>
      <c r="G69" s="1461"/>
      <c r="H69" s="1462"/>
      <c r="I69" s="643"/>
      <c r="J69" s="3320"/>
      <c r="K69" s="1240" t="s">
        <v>1393</v>
      </c>
      <c r="L69" s="1240"/>
      <c r="M69" s="292">
        <f ca="1">ROUND(SUM(M63:M68),0)</f>
        <v>2831</v>
      </c>
      <c r="N69" s="2324">
        <f ca="1">M69/M49</f>
        <v>1.6131513718339555E-2</v>
      </c>
      <c r="Z69" s="1618"/>
      <c r="AI69" s="1556"/>
    </row>
    <row r="70" spans="1:35" s="639" customFormat="1" ht="14.4" hidden="1" thickBot="1">
      <c r="A70" s="3364" t="s">
        <v>1394</v>
      </c>
      <c r="B70" s="3365"/>
      <c r="C70" s="3365"/>
      <c r="D70" s="3365"/>
      <c r="E70" s="3365"/>
      <c r="F70" s="3365"/>
      <c r="G70" s="3365"/>
      <c r="H70" s="3365"/>
      <c r="I70" s="1672"/>
      <c r="J70" s="457"/>
      <c r="K70" s="457"/>
      <c r="L70" s="457"/>
      <c r="M70" s="457"/>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9" customFormat="1" ht="13.8" hidden="1">
      <c r="A71" s="3356" t="s">
        <v>1375</v>
      </c>
      <c r="B71" s="3357"/>
      <c r="C71" s="1858"/>
      <c r="D71" s="1858" t="s">
        <v>1376</v>
      </c>
      <c r="E71" s="169" t="s">
        <v>1377</v>
      </c>
      <c r="F71" s="170"/>
      <c r="G71" s="170"/>
      <c r="H71" s="171"/>
      <c r="I71" s="1675"/>
      <c r="J71" s="457"/>
      <c r="K71" s="457"/>
      <c r="L71" s="457"/>
      <c r="M71" s="457"/>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9" customFormat="1" ht="13.8" hidden="1">
      <c r="A72" s="163" t="s">
        <v>330</v>
      </c>
      <c r="B72" s="164" t="s">
        <v>1395</v>
      </c>
      <c r="C72" s="2346">
        <f ca="1">ROUND(D45/(1+'数据-取费表'!C42),0)</f>
        <v>167138</v>
      </c>
      <c r="D72" s="160" t="s">
        <v>26</v>
      </c>
      <c r="E72" s="1252"/>
      <c r="F72" s="1250"/>
      <c r="G72" s="1250"/>
      <c r="H72" s="172"/>
      <c r="I72" s="1675"/>
      <c r="J72" s="457"/>
      <c r="K72" s="457"/>
      <c r="L72" s="457"/>
      <c r="M72" s="457"/>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9" customFormat="1" ht="13.8" hidden="1">
      <c r="A73" s="163" t="s">
        <v>327</v>
      </c>
      <c r="B73" s="153" t="s">
        <v>1396</v>
      </c>
      <c r="C73" s="2346">
        <f ca="1">C74+C78</f>
        <v>1003</v>
      </c>
      <c r="D73" s="160" t="s">
        <v>26</v>
      </c>
      <c r="E73" s="1252"/>
      <c r="F73" s="1250"/>
      <c r="G73" s="1250"/>
      <c r="H73" s="172"/>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9" customFormat="1" ht="24" hidden="1">
      <c r="A74" s="159" t="s">
        <v>325</v>
      </c>
      <c r="B74" s="160" t="s">
        <v>1397</v>
      </c>
      <c r="C74" s="160">
        <f>ROUND(IF(G77="2016年5月1日后购买",C75/(1+'数据-取费表'!C42)+C76+C77,C75+C76+C77),0)</f>
        <v>0</v>
      </c>
      <c r="D74" s="160" t="s">
        <v>26</v>
      </c>
      <c r="E74" s="1252"/>
      <c r="F74" s="1250"/>
      <c r="G74" s="1250"/>
      <c r="H74" s="172"/>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9" customFormat="1" ht="28.8" hidden="1">
      <c r="A75" s="159" t="s">
        <v>331</v>
      </c>
      <c r="B75" s="160" t="s">
        <v>1398</v>
      </c>
      <c r="C75" s="2349"/>
      <c r="D75" s="160" t="s">
        <v>26</v>
      </c>
      <c r="E75" s="174" t="s">
        <v>1399</v>
      </c>
      <c r="F75" s="2350"/>
      <c r="G75" s="174" t="s">
        <v>1400</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9" customFormat="1" ht="24.75" hidden="1" customHeight="1">
      <c r="A76" s="159" t="s">
        <v>332</v>
      </c>
      <c r="B76" s="175" t="s">
        <v>1401</v>
      </c>
      <c r="C76" s="160">
        <f>IF(F75="购房发票",ROUND(C75*H75*D76,0),0)</f>
        <v>0</v>
      </c>
      <c r="D76" s="2352">
        <v>0.05</v>
      </c>
      <c r="E76" s="3361" t="s">
        <v>1402</v>
      </c>
      <c r="F76" s="3360"/>
      <c r="G76" s="3360"/>
      <c r="H76" s="336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9" customFormat="1" ht="24.75" hidden="1" customHeight="1">
      <c r="A77" s="159" t="s">
        <v>333</v>
      </c>
      <c r="B77" s="160" t="s">
        <v>1403</v>
      </c>
      <c r="C77" s="160">
        <f>ROUND(IF(G77="个人住宅",0,IF(G77="2016年5月1日前购买",C75*D77,C75*D77/(1+'数据-取费表'!C42))),0)</f>
        <v>0</v>
      </c>
      <c r="D77" s="2353">
        <f>'数据-取费表'!B48+'数据-取费表'!B49</f>
        <v>3.0499999999999999E-2</v>
      </c>
      <c r="E77" s="11" t="s">
        <v>1404</v>
      </c>
      <c r="F77" s="176"/>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9" customFormat="1" ht="24.75" hidden="1" customHeight="1">
      <c r="A78" s="159" t="s">
        <v>326</v>
      </c>
      <c r="B78" s="160" t="s">
        <v>1405</v>
      </c>
      <c r="C78" s="2354">
        <f ca="1">ROUND(D45*D78/(1+'数据-取费表'!C42),0)</f>
        <v>1003</v>
      </c>
      <c r="D78" s="2355">
        <f>'数据-取费表'!B43</f>
        <v>6.000000000000001E-3</v>
      </c>
      <c r="E78" s="3353" t="s">
        <v>1406</v>
      </c>
      <c r="F78" s="3354"/>
      <c r="G78" s="3354"/>
      <c r="H78" s="3355"/>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9" customFormat="1" ht="13.8" hidden="1">
      <c r="A79" s="163" t="s">
        <v>334</v>
      </c>
      <c r="B79" s="164" t="s">
        <v>1407</v>
      </c>
      <c r="C79" s="2346">
        <f ca="1">C72-C73</f>
        <v>166135</v>
      </c>
      <c r="D79" s="160" t="s">
        <v>26</v>
      </c>
      <c r="E79" s="1252"/>
      <c r="F79" s="1250"/>
      <c r="G79" s="1250"/>
      <c r="H79" s="172"/>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9" customFormat="1" ht="24" hidden="1">
      <c r="A80" s="163" t="s">
        <v>335</v>
      </c>
      <c r="B80" s="164" t="s">
        <v>1408</v>
      </c>
      <c r="C80" s="2356">
        <f ca="1">IF(C79&lt;=0,0,C79/C73)</f>
        <v>165.63808574277169</v>
      </c>
      <c r="D80" s="160"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9" customFormat="1" ht="24.6" hidden="1" thickBot="1">
      <c r="A81" s="166" t="s">
        <v>336</v>
      </c>
      <c r="B81" s="167" t="s">
        <v>1409</v>
      </c>
      <c r="C81" s="2357">
        <f ca="1">ROUND(IF(C79&lt;=0,0,IF(C80&gt;=200%,C79*60%-C73*35%,IF(C80&gt;=100%,C79*50%-C73*15%,IF(C80&gt;=50%,C79*40%-C73*5%,IF(C80&lt;50%,C79*30%,0))))),0)</f>
        <v>99330</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9" customFormat="1" ht="7.5" hidden="1" customHeight="1">
      <c r="A82" s="4"/>
      <c r="B82" s="644"/>
      <c r="C82" s="4"/>
      <c r="D82" s="4"/>
      <c r="E82" s="644"/>
      <c r="F82" s="644"/>
      <c r="G82" s="644"/>
      <c r="H82" s="645"/>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9" customFormat="1" ht="14.4" hidden="1" thickBot="1">
      <c r="A83" s="3364" t="s">
        <v>1410</v>
      </c>
      <c r="B83" s="3365"/>
      <c r="C83" s="3365"/>
      <c r="D83" s="3365"/>
      <c r="E83" s="3365"/>
      <c r="F83" s="3365"/>
      <c r="G83" s="3365"/>
      <c r="H83" s="336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9" customFormat="1" ht="13.8" hidden="1">
      <c r="A84" s="3356" t="s">
        <v>1375</v>
      </c>
      <c r="B84" s="3357"/>
      <c r="C84" s="1858"/>
      <c r="D84" s="1858" t="s">
        <v>1376</v>
      </c>
      <c r="E84" s="169" t="s">
        <v>1377</v>
      </c>
      <c r="F84" s="170"/>
      <c r="G84" s="170"/>
      <c r="H84" s="181"/>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9" customFormat="1" ht="13.8" hidden="1">
      <c r="A85" s="163" t="s">
        <v>330</v>
      </c>
      <c r="B85" s="164" t="s">
        <v>1395</v>
      </c>
      <c r="C85" s="2346">
        <f ca="1">ROUND(D45/(1+'数据-取费表'!C42),0)</f>
        <v>167138</v>
      </c>
      <c r="D85" s="160" t="s">
        <v>26</v>
      </c>
      <c r="E85" s="1252"/>
      <c r="F85" s="1250"/>
      <c r="G85" s="1250"/>
      <c r="H85" s="182"/>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9" customFormat="1" ht="13.8" hidden="1">
      <c r="A86" s="163" t="s">
        <v>327</v>
      </c>
      <c r="B86" s="153" t="s">
        <v>1396</v>
      </c>
      <c r="C86" s="2346">
        <f ca="1">IF(H88="仅含出让金",C87+C90+C91+C92+C93+C94,C87+C91+C92+C93+C94)</f>
        <v>1003</v>
      </c>
      <c r="D86" s="2359"/>
      <c r="E86" s="1252"/>
      <c r="F86" s="1250"/>
      <c r="G86" s="1250"/>
      <c r="H86" s="182"/>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9" customFormat="1" ht="13.8" hidden="1">
      <c r="A87" s="159" t="s">
        <v>325</v>
      </c>
      <c r="B87" s="160" t="s">
        <v>1411</v>
      </c>
      <c r="C87" s="2354">
        <f>C88+C89</f>
        <v>0</v>
      </c>
      <c r="D87" s="2355"/>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9" customFormat="1" ht="14.4" hidden="1">
      <c r="A88" s="159" t="s">
        <v>331</v>
      </c>
      <c r="B88" s="160" t="s">
        <v>1412</v>
      </c>
      <c r="C88" s="2360"/>
      <c r="D88" s="2355"/>
      <c r="E88" s="183" t="s">
        <v>1413</v>
      </c>
      <c r="F88" s="2141"/>
      <c r="G88" s="184" t="s">
        <v>1414</v>
      </c>
      <c r="H88" s="1679"/>
      <c r="I88" s="1676"/>
      <c r="J88" s="2300" t="s">
        <v>2281</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9" customFormat="1" ht="13.8" hidden="1">
      <c r="A89" s="159" t="s">
        <v>332</v>
      </c>
      <c r="B89" s="160" t="s">
        <v>1403</v>
      </c>
      <c r="C89" s="2354">
        <f>ROUND(C88*D89,0)</f>
        <v>0</v>
      </c>
      <c r="D89" s="2355">
        <f>'数据-取费表'!B48+'数据-取费表'!B49</f>
        <v>3.0499999999999999E-2</v>
      </c>
      <c r="E89" s="183" t="s">
        <v>1415</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9" customFormat="1" ht="14.4" hidden="1">
      <c r="A90" s="159" t="s">
        <v>326</v>
      </c>
      <c r="B90" s="160" t="s">
        <v>1416</v>
      </c>
      <c r="C90" s="2360"/>
      <c r="D90" s="2355"/>
      <c r="E90" s="183" t="str">
        <f>IF(H88="-","土地取得成本中已包含该笔费用"," ")</f>
        <v xml:space="preserve"> </v>
      </c>
      <c r="F90" s="2141"/>
      <c r="G90" s="3322" t="s">
        <v>2129</v>
      </c>
      <c r="H90" s="3323"/>
      <c r="I90" s="1676"/>
      <c r="J90" s="2300" t="s">
        <v>2282</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9" customFormat="1" ht="27.75" hidden="1" customHeight="1">
      <c r="A91" s="159" t="s">
        <v>1417</v>
      </c>
      <c r="B91" s="160" t="s">
        <v>1418</v>
      </c>
      <c r="C91" s="2354">
        <f>IF(H91="——",成本法!C33,I91)</f>
        <v>0</v>
      </c>
      <c r="D91" s="2355"/>
      <c r="E91" s="3353" t="s">
        <v>1419</v>
      </c>
      <c r="F91" s="3354"/>
      <c r="G91" s="3354"/>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9" customFormat="1" ht="25.5" hidden="1" customHeight="1">
      <c r="A92" s="159" t="s">
        <v>1420</v>
      </c>
      <c r="B92" s="160" t="s">
        <v>1421</v>
      </c>
      <c r="C92" s="2354">
        <f>ROUND((C87+C90+C91)*D92,0)</f>
        <v>0</v>
      </c>
      <c r="D92" s="2361"/>
      <c r="E92" s="3353" t="s">
        <v>1422</v>
      </c>
      <c r="F92" s="3354"/>
      <c r="G92" s="3354"/>
      <c r="H92" s="3355"/>
      <c r="I92" s="1676"/>
      <c r="J92" s="2301" t="s">
        <v>2283</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9" customFormat="1" ht="25.5" hidden="1" customHeight="1">
      <c r="A93" s="159" t="s">
        <v>1423</v>
      </c>
      <c r="B93" s="160" t="s">
        <v>1405</v>
      </c>
      <c r="C93" s="2354">
        <f ca="1">ROUND(D45*D93/(1+'数据-取费表'!C42),0)</f>
        <v>1003</v>
      </c>
      <c r="D93" s="2355">
        <f>'数据-取费表'!B43</f>
        <v>6.000000000000001E-3</v>
      </c>
      <c r="E93" s="3353" t="s">
        <v>1406</v>
      </c>
      <c r="F93" s="3354"/>
      <c r="G93" s="3354"/>
      <c r="H93" s="3355"/>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9" customFormat="1" ht="36.75" hidden="1" customHeight="1">
      <c r="A94" s="159" t="s">
        <v>1424</v>
      </c>
      <c r="B94" s="160" t="s">
        <v>1425</v>
      </c>
      <c r="C94" s="2360">
        <f>ROUND((C87+C90+C91)*D94,0)</f>
        <v>0</v>
      </c>
      <c r="D94" s="2355">
        <v>0.2</v>
      </c>
      <c r="E94" s="3398" t="s">
        <v>1426</v>
      </c>
      <c r="F94" s="3399"/>
      <c r="G94" s="3399"/>
      <c r="H94" s="3400"/>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9" customFormat="1" ht="13.8" hidden="1">
      <c r="A95" s="163" t="s">
        <v>334</v>
      </c>
      <c r="B95" s="164" t="s">
        <v>1407</v>
      </c>
      <c r="C95" s="2346">
        <f ca="1">ROUND(C85-C86,0)</f>
        <v>166135</v>
      </c>
      <c r="D95" s="160" t="s">
        <v>26</v>
      </c>
      <c r="E95" s="1252"/>
      <c r="F95" s="1250"/>
      <c r="G95" s="1250"/>
      <c r="H95" s="182"/>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9" customFormat="1" ht="24" hidden="1">
      <c r="A96" s="163" t="s">
        <v>335</v>
      </c>
      <c r="B96" s="164" t="s">
        <v>1408</v>
      </c>
      <c r="C96" s="2356">
        <f ca="1">IF(C95&lt;=0,0,C95/C86)</f>
        <v>165.63808574277169</v>
      </c>
      <c r="D96" s="160"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2"/>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9" customFormat="1" ht="24.6" hidden="1" thickBot="1">
      <c r="A97" s="166" t="s">
        <v>336</v>
      </c>
      <c r="B97" s="167" t="s">
        <v>1409</v>
      </c>
      <c r="C97" s="2357">
        <f ca="1">ROUND(IF(C95&lt;=0,0,IF(C96&gt;=200%,C95*60%-C86*35%,IF(C96&gt;=100%,C95*50%-C86*15%,IF(C96&gt;=50%,C95*40%-C86*5%,IF(C96&lt;50%,C95*30%,0))))),0)</f>
        <v>99330</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3"/>
      <c r="C98" s="643"/>
      <c r="D98" s="643"/>
      <c r="E98" s="1461"/>
      <c r="F98" s="1461"/>
      <c r="G98" s="1461"/>
      <c r="H98" s="1462"/>
      <c r="I98" s="119"/>
    </row>
    <row r="99" spans="1:35" ht="21.75" customHeight="1" thickBot="1">
      <c r="A99" s="1459" t="s">
        <v>1427</v>
      </c>
      <c r="B99" s="643"/>
      <c r="C99" s="643"/>
      <c r="D99" s="643"/>
      <c r="E99" s="1461"/>
      <c r="F99" s="1461"/>
      <c r="G99" s="1461"/>
      <c r="H99" s="1462"/>
      <c r="I99" s="119"/>
    </row>
    <row r="100" spans="1:35" ht="18.75" customHeight="1">
      <c r="A100" s="3291" t="s">
        <v>1428</v>
      </c>
      <c r="B100" s="3292"/>
      <c r="C100" s="3292"/>
      <c r="D100" s="3338"/>
      <c r="E100" s="3292" t="s">
        <v>1429</v>
      </c>
      <c r="F100" s="3292"/>
      <c r="G100" s="3292"/>
      <c r="H100" s="3338"/>
      <c r="I100" s="119"/>
    </row>
    <row r="101" spans="1:35" ht="18.75" customHeight="1">
      <c r="A101" s="3346" t="s">
        <v>1430</v>
      </c>
      <c r="B101" s="3347"/>
      <c r="C101" s="2363" t="str">
        <f>C4</f>
        <v>成本法</v>
      </c>
      <c r="D101" s="2364" t="str">
        <f>D4</f>
        <v>假设开发法</v>
      </c>
      <c r="E101" s="3316" t="s">
        <v>1431</v>
      </c>
      <c r="F101" s="3317"/>
      <c r="G101" s="1682" t="s">
        <v>1432</v>
      </c>
      <c r="H101" s="2373">
        <f ca="1">H118</f>
        <v>175495</v>
      </c>
      <c r="I101" s="119"/>
    </row>
    <row r="102" spans="1:35" ht="18.75" customHeight="1">
      <c r="A102" s="3348" t="s">
        <v>1433</v>
      </c>
      <c r="B102" s="2362" t="s">
        <v>1432</v>
      </c>
      <c r="C102" s="2363">
        <f ca="1">IF(D32="楼面单价",ROUND(C19,0),C19)</f>
        <v>185923</v>
      </c>
      <c r="D102" s="2364">
        <f ca="1">IF(D32="楼面单价",ROUND(D19,0),D19)</f>
        <v>165067</v>
      </c>
      <c r="E102" s="3316"/>
      <c r="F102" s="3317"/>
      <c r="G102" s="1682" t="s">
        <v>1434</v>
      </c>
      <c r="H102" s="2333">
        <f ca="1">I118</f>
        <v>48990</v>
      </c>
      <c r="I102" s="119"/>
    </row>
    <row r="103" spans="1:35" ht="42.75" customHeight="1">
      <c r="A103" s="3348"/>
      <c r="B103" s="2362" t="s">
        <v>1434</v>
      </c>
      <c r="C103" s="2365">
        <f ca="1">C20</f>
        <v>51901</v>
      </c>
      <c r="D103" s="2366">
        <f ca="1">D20</f>
        <v>46079</v>
      </c>
      <c r="E103" s="3309" t="s">
        <v>1435</v>
      </c>
      <c r="F103" s="3310"/>
      <c r="G103" s="1683" t="s">
        <v>1436</v>
      </c>
      <c r="H103" s="2373">
        <f>IF(D36="正常操作",H104+H105+H106,H105+H106)</f>
        <v>0</v>
      </c>
      <c r="I103" s="119"/>
    </row>
    <row r="104" spans="1:35" ht="18.75" customHeight="1">
      <c r="A104" s="3348" t="s">
        <v>1437</v>
      </c>
      <c r="B104" s="2367" t="s">
        <v>1432</v>
      </c>
      <c r="C104" s="2368">
        <f ca="1">H118</f>
        <v>175495</v>
      </c>
      <c r="D104" s="2369"/>
      <c r="E104" s="1550" t="s">
        <v>1438</v>
      </c>
      <c r="F104" s="1543"/>
      <c r="G104" s="1683" t="s">
        <v>1436</v>
      </c>
      <c r="H104" s="2374">
        <f>IF(D36="同一抵押权人同一抵押物续贷",C36&amp;"（续贷，未扣减，详见特别提示）",C36)</f>
        <v>0</v>
      </c>
      <c r="I104" s="119"/>
    </row>
    <row r="105" spans="1:35" ht="18.75" customHeight="1" thickBot="1">
      <c r="A105" s="3358"/>
      <c r="B105" s="2370" t="s">
        <v>1434</v>
      </c>
      <c r="C105" s="2371">
        <f ca="1">I118</f>
        <v>48990</v>
      </c>
      <c r="D105" s="2372"/>
      <c r="E105" s="1550" t="s">
        <v>1439</v>
      </c>
      <c r="F105" s="1543"/>
      <c r="G105" s="1683" t="s">
        <v>1436</v>
      </c>
      <c r="H105" s="2375">
        <f>C37</f>
        <v>0</v>
      </c>
      <c r="I105" s="119"/>
    </row>
    <row r="106" spans="1:35" ht="18.75" customHeight="1">
      <c r="A106" s="643" t="s">
        <v>1440</v>
      </c>
      <c r="B106" s="643"/>
      <c r="C106" s="643"/>
      <c r="D106" s="643"/>
      <c r="E106" s="1684" t="s">
        <v>1441</v>
      </c>
      <c r="F106" s="1543"/>
      <c r="G106" s="1683" t="s">
        <v>1436</v>
      </c>
      <c r="H106" s="2375">
        <f>C38</f>
        <v>0</v>
      </c>
      <c r="I106" s="119"/>
    </row>
    <row r="107" spans="1:35" ht="18.75" customHeight="1">
      <c r="A107" s="119"/>
      <c r="B107" s="119"/>
      <c r="C107" s="119"/>
      <c r="D107" s="119"/>
      <c r="E107" s="3349" t="str">
        <f>IF(项目基本情况!E8="已注销","——","3.房地产抵押价值")</f>
        <v>3.房地产抵押价值</v>
      </c>
      <c r="F107" s="3317"/>
      <c r="G107" s="1682" t="s">
        <v>1432</v>
      </c>
      <c r="H107" s="2373">
        <f ca="1">IF(E107="——","——",H101-H103)</f>
        <v>175495</v>
      </c>
      <c r="I107" s="119"/>
    </row>
    <row r="108" spans="1:35" ht="18.75" customHeight="1">
      <c r="A108" s="119"/>
      <c r="B108" s="119"/>
      <c r="C108" s="119"/>
      <c r="D108" s="119"/>
      <c r="E108" s="3349"/>
      <c r="F108" s="3317"/>
      <c r="G108" s="1682" t="s">
        <v>1434</v>
      </c>
      <c r="H108" s="2333">
        <f ca="1">IF(H107=H101,H102,ROUND(H107*10000/'数据-汇总表'!E3,0))</f>
        <v>48990</v>
      </c>
      <c r="I108" s="119"/>
    </row>
    <row r="109" spans="1:35" ht="18.75" customHeight="1">
      <c r="A109" s="119"/>
      <c r="B109" s="119"/>
      <c r="C109" s="119"/>
      <c r="D109" s="119"/>
      <c r="E109" s="3349" t="str">
        <f>IF(项目基本情况!E8="已注销及未注销","4.抵押担保权已注销时的房地产抵押价值",IF(项目基本情况!E8="已注销","3.抵押担保权已注销时的房地产抵押价值","——"))</f>
        <v>——</v>
      </c>
      <c r="F109" s="3317"/>
      <c r="G109" s="1682" t="s">
        <v>1432</v>
      </c>
      <c r="H109" s="2376" t="str">
        <f>IF(E109="——","——",H101-H105-H106)</f>
        <v>——</v>
      </c>
      <c r="I109" s="119"/>
    </row>
    <row r="110" spans="1:35" ht="18.75" customHeight="1">
      <c r="A110" s="119"/>
      <c r="B110" s="119"/>
      <c r="C110" s="119"/>
      <c r="D110" s="119"/>
      <c r="E110" s="3349"/>
      <c r="F110" s="3317"/>
      <c r="G110" s="1682" t="s">
        <v>1434</v>
      </c>
      <c r="H110" s="2333" t="str">
        <f>IF(H109="——","——",ROUND(H109*10000/'数据-汇总表'!E3,0))</f>
        <v>——</v>
      </c>
      <c r="I110" s="119"/>
    </row>
    <row r="111" spans="1:35" ht="18.75" customHeight="1">
      <c r="A111" s="119"/>
      <c r="B111" s="119"/>
      <c r="C111" s="119"/>
      <c r="D111" s="119"/>
      <c r="E111" s="3350" t="str">
        <f>IF(项目基本情况!E9="抵押净值",IF(OR(项目基本情况!E8="已注销",项目基本情况!E8="房地产抵押价值"),"4.抵押净值","5.抵押净值"),"——")</f>
        <v>——</v>
      </c>
      <c r="F111" s="3336"/>
      <c r="G111" s="1682" t="s">
        <v>1432</v>
      </c>
      <c r="H111" s="2373" t="str">
        <f>IF(E111="——","——",N59)</f>
        <v>——</v>
      </c>
      <c r="I111" s="119"/>
    </row>
    <row r="112" spans="1:35" ht="18.75" customHeight="1" thickBot="1">
      <c r="A112" s="119"/>
      <c r="B112" s="119"/>
      <c r="C112" s="119"/>
      <c r="D112" s="119"/>
      <c r="E112" s="3351"/>
      <c r="F112" s="3352"/>
      <c r="G112" s="1685" t="s">
        <v>1434</v>
      </c>
      <c r="H112" s="2377" t="str">
        <f>IF(E111="——","——",N61)</f>
        <v>——</v>
      </c>
      <c r="I112" s="119"/>
    </row>
    <row r="113" spans="1:27" ht="18.75" customHeight="1">
      <c r="A113" s="119"/>
      <c r="B113" s="119"/>
      <c r="C113" s="119"/>
      <c r="D113" s="119"/>
      <c r="E113" s="3359" t="s">
        <v>1440</v>
      </c>
      <c r="F113" s="3359"/>
      <c r="G113" s="3359"/>
      <c r="H113" s="3359"/>
      <c r="I113" s="119"/>
    </row>
    <row r="114" spans="1:27" ht="3.75" customHeight="1">
      <c r="A114" s="643"/>
      <c r="B114" s="643"/>
      <c r="C114" s="643"/>
      <c r="D114" s="643"/>
      <c r="E114" s="1666"/>
      <c r="F114" s="1666"/>
      <c r="G114" s="1666"/>
      <c r="H114" s="1666"/>
      <c r="I114" s="643"/>
    </row>
    <row r="115" spans="1:27" ht="18.75" customHeight="1">
      <c r="A115" s="3367" t="s">
        <v>1442</v>
      </c>
      <c r="B115" s="3368"/>
      <c r="C115" s="3368"/>
      <c r="D115" s="3368"/>
      <c r="E115" s="3368"/>
      <c r="F115" s="3368"/>
      <c r="G115" s="3368"/>
      <c r="H115" s="3368"/>
      <c r="I115" s="3369"/>
    </row>
    <row r="116" spans="1:27" ht="27" customHeight="1">
      <c r="A116" s="3324" t="s">
        <v>1443</v>
      </c>
      <c r="B116" s="3328" t="s">
        <v>1444</v>
      </c>
      <c r="C116" s="3328" t="s">
        <v>1445</v>
      </c>
      <c r="D116" s="3334" t="s">
        <v>1446</v>
      </c>
      <c r="E116" s="3335"/>
      <c r="F116" s="3366" t="s">
        <v>1447</v>
      </c>
      <c r="G116" s="3366"/>
      <c r="H116" s="3324" t="s">
        <v>1448</v>
      </c>
      <c r="I116" s="3324"/>
    </row>
    <row r="117" spans="1:27" ht="18.75" customHeight="1">
      <c r="A117" s="3324"/>
      <c r="B117" s="3329"/>
      <c r="C117" s="3329"/>
      <c r="D117" s="2143" t="s">
        <v>1449</v>
      </c>
      <c r="E117" s="2143" t="s">
        <v>1450</v>
      </c>
      <c r="F117" s="2143" t="s">
        <v>1449</v>
      </c>
      <c r="G117" s="2143" t="s">
        <v>1451</v>
      </c>
      <c r="H117" s="2143" t="s">
        <v>1449</v>
      </c>
      <c r="I117" s="2143" t="s">
        <v>1451</v>
      </c>
    </row>
    <row r="118" spans="1:27" ht="24.75" customHeight="1">
      <c r="A118" s="2378" t="str">
        <f>项目基本情况!S2</f>
        <v>北京市出让国有建设用地使用权及在建建筑物房地产</v>
      </c>
      <c r="B118" s="2143">
        <f>M18</f>
        <v>35822.61</v>
      </c>
      <c r="C118" s="2143">
        <f>M19</f>
        <v>8682.75</v>
      </c>
      <c r="D118" s="2143">
        <f ca="1">ROUND(IF(D32="总价",C34,E118*B118/10000),0)</f>
        <v>154436</v>
      </c>
      <c r="E118" s="2143">
        <f ca="1">ROUND(IF(C33="自定义",IF(D32="楼面单价",C34,D118*10000/B118),I118-G118),0)</f>
        <v>43111</v>
      </c>
      <c r="F118" s="2143">
        <f ca="1">ROUND(IF(D32="总价",C35,G118*B118/10000),0)</f>
        <v>21059</v>
      </c>
      <c r="G118" s="2143">
        <f ca="1">ROUND(IF(D32="楼面单价",C35,F118*10000/B118),0)</f>
        <v>5879</v>
      </c>
      <c r="H118" s="2143">
        <f ca="1">ROUND(IF(D32="总价",C32,I118*B118/10000),0)</f>
        <v>175495</v>
      </c>
      <c r="I118" s="2143">
        <f ca="1">ROUND(IF(D32="楼面单价",C32,H118*10000/B118),0)</f>
        <v>48990</v>
      </c>
    </row>
    <row r="119" spans="1:27" ht="26.25" customHeight="1">
      <c r="A119" s="3324" t="s">
        <v>1452</v>
      </c>
      <c r="B119" s="3324"/>
      <c r="C119" s="3324"/>
      <c r="D119" s="3330" t="str">
        <f ca="1">NUMBERSTRING(INT(D118*10000),2)&amp;"元整"</f>
        <v>壹拾伍亿肆仟肆佰叁拾陆万元整</v>
      </c>
      <c r="E119" s="3331"/>
      <c r="F119" s="3330" t="str">
        <f ca="1">NUMBERSTRING(INT(F118*10000),2)&amp;"元整"</f>
        <v>贰亿壹仟零伍拾玖万元整</v>
      </c>
      <c r="G119" s="3331"/>
      <c r="H119" s="3330" t="str">
        <f ca="1">NUMBERSTRING(INT(H118*10000),2)&amp;"元整"</f>
        <v>壹拾柒亿伍仟肆佰玖拾伍万元整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175495</v>
      </c>
      <c r="E122" s="3326"/>
      <c r="F122" s="3326"/>
      <c r="G122" s="3326"/>
      <c r="H122" s="3326"/>
      <c r="I122" s="3327"/>
      <c r="AA122" s="681"/>
    </row>
    <row r="123" spans="1:27" ht="18.75" customHeight="1">
      <c r="A123" s="3324" t="s">
        <v>1452</v>
      </c>
      <c r="B123" s="3324"/>
      <c r="C123" s="3324"/>
      <c r="D123" s="3330" t="str">
        <f ca="1">NUMBERSTRING(INT(D122*10000),2)&amp;"元整"</f>
        <v>壹拾柒亿伍仟肆佰玖拾伍万元整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
      </c>
      <c r="B126" s="3336"/>
      <c r="C126" s="3336"/>
      <c r="D126" s="3325" t="str">
        <f>H111</f>
        <v>——</v>
      </c>
      <c r="E126" s="3326"/>
      <c r="F126" s="3326"/>
      <c r="G126" s="3326"/>
      <c r="H126" s="3326"/>
      <c r="I126" s="3327"/>
      <c r="AA126" s="681"/>
    </row>
    <row r="127" spans="1:27" ht="18.75" customHeight="1">
      <c r="A127" s="3324" t="s">
        <v>1452</v>
      </c>
      <c r="B127" s="3324"/>
      <c r="C127" s="3324"/>
      <c r="D127" s="3330" t="e">
        <f>NUMBERSTRING(INT(D126*10000),2)&amp;"元整"</f>
        <v>#VALUE!</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6" t="s">
        <v>1454</v>
      </c>
      <c r="B129" s="1687"/>
      <c r="C129" s="1688" t="s">
        <v>1455</v>
      </c>
      <c r="D129" s="1689"/>
      <c r="E129" s="1689"/>
      <c r="F129" s="1689"/>
      <c r="G129" s="1689"/>
      <c r="H129" s="1690"/>
      <c r="I129" s="1691"/>
      <c r="AA129" s="681"/>
    </row>
    <row r="130" spans="1:35" ht="21.75" customHeight="1">
      <c r="A130" s="1692">
        <v>1</v>
      </c>
      <c r="B130" s="1693"/>
      <c r="C130" s="1693"/>
      <c r="D130" s="685"/>
      <c r="E130" s="685"/>
      <c r="F130" s="685"/>
      <c r="G130" s="685"/>
      <c r="H130" s="684"/>
      <c r="I130" s="1694"/>
      <c r="AA130" s="681"/>
    </row>
    <row r="131" spans="1:35" ht="21.75" customHeight="1">
      <c r="A131" s="1692">
        <v>2</v>
      </c>
      <c r="B131" s="1693"/>
      <c r="C131" s="1693"/>
      <c r="D131" s="685"/>
      <c r="E131" s="685"/>
      <c r="F131" s="685"/>
      <c r="G131" s="685"/>
      <c r="H131" s="684"/>
      <c r="I131" s="1694"/>
      <c r="AA131" s="681"/>
    </row>
    <row r="132" spans="1:35" ht="21.75" customHeight="1">
      <c r="A132" s="1692">
        <v>3</v>
      </c>
      <c r="B132" s="1693"/>
      <c r="C132" s="1693"/>
      <c r="D132" s="685"/>
      <c r="E132" s="685"/>
      <c r="F132" s="685"/>
      <c r="G132" s="685"/>
      <c r="H132" s="684"/>
      <c r="I132" s="1694"/>
      <c r="AA132" s="681"/>
    </row>
    <row r="133" spans="1:35" ht="21.75" customHeight="1">
      <c r="A133" s="1695"/>
      <c r="B133" s="1696"/>
      <c r="C133" s="1696"/>
      <c r="D133" s="1697"/>
      <c r="E133" s="1697"/>
      <c r="F133" s="1697"/>
      <c r="G133" s="1697"/>
      <c r="H133" s="1698"/>
      <c r="I133" s="1699"/>
    </row>
    <row r="134" spans="1:35" ht="21.75" customHeight="1">
      <c r="A134" s="1693"/>
      <c r="B134" s="1693"/>
      <c r="C134" s="1693"/>
      <c r="D134" s="685"/>
      <c r="E134" s="685"/>
      <c r="F134" s="685"/>
      <c r="G134" s="685"/>
      <c r="H134" s="684"/>
      <c r="I134" s="681"/>
    </row>
    <row r="135" spans="1:35" ht="21.75" customHeight="1">
      <c r="A135" s="681"/>
      <c r="B135" s="681"/>
      <c r="C135" s="681"/>
      <c r="D135" s="681"/>
      <c r="E135" s="681"/>
      <c r="F135" s="1700" t="s">
        <v>1456</v>
      </c>
      <c r="G135" s="1701"/>
      <c r="H135" s="1701"/>
      <c r="I135" s="1702" t="s">
        <v>1457</v>
      </c>
    </row>
    <row r="136" spans="1:35" ht="21.75" customHeight="1">
      <c r="A136" s="681"/>
      <c r="B136" s="1703"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1"/>
      <c r="C138" s="1701"/>
      <c r="D138" s="1701"/>
      <c r="E138" s="1701"/>
      <c r="F138" s="1701"/>
      <c r="G138" s="1701"/>
      <c r="H138" s="1701"/>
      <c r="I138" s="1702" t="s">
        <v>1459</v>
      </c>
    </row>
    <row r="139" spans="1:35" ht="21.75" customHeight="1">
      <c r="A139" s="681"/>
      <c r="B139" s="1703" t="s">
        <v>1460</v>
      </c>
      <c r="C139" s="681"/>
      <c r="D139" s="681"/>
      <c r="E139" s="681"/>
      <c r="F139" s="681"/>
      <c r="G139" s="681"/>
      <c r="H139" s="681"/>
      <c r="I139" s="681"/>
    </row>
    <row r="140" spans="1:35" ht="21.75" customHeight="1">
      <c r="A140" s="681"/>
      <c r="B140" s="1703"/>
      <c r="C140" s="681"/>
      <c r="D140" s="681"/>
      <c r="E140" s="681"/>
      <c r="F140" s="681"/>
      <c r="G140" s="681"/>
      <c r="H140" s="681"/>
      <c r="I140" s="681"/>
    </row>
    <row r="141" spans="1:35" ht="21.75" customHeight="1">
      <c r="A141" s="681"/>
      <c r="B141" s="1701"/>
      <c r="C141" s="1701"/>
      <c r="D141" s="1701"/>
      <c r="E141" s="1701"/>
      <c r="F141" s="1701"/>
      <c r="G141" s="1701"/>
      <c r="H141" s="1701"/>
      <c r="I141" s="1702" t="s">
        <v>1459</v>
      </c>
    </row>
    <row r="142" spans="1:35" ht="21.75" customHeight="1">
      <c r="A142" s="681"/>
      <c r="B142" s="1703"/>
      <c r="C142" s="1704"/>
      <c r="D142" s="1705"/>
      <c r="E142" s="1705"/>
      <c r="F142" s="1609"/>
      <c r="G142" s="681"/>
      <c r="H142" s="681"/>
      <c r="I142" s="681"/>
    </row>
    <row r="143" spans="1:35" s="120" customFormat="1" ht="21.75" customHeight="1">
      <c r="A143" s="681"/>
      <c r="B143" s="1703"/>
      <c r="C143" s="1704"/>
      <c r="D143" s="1705"/>
      <c r="E143" s="1705"/>
      <c r="F143" s="1609"/>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8"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8"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8"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8"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8"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8"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8"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8"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8"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8"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8"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8"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8"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8"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8"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8"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8"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8"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8"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8"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8"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8"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8"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8"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8"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8"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8"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8"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8"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8"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8"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8"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8"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8"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8"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8"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8"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8"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8"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8"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8"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8"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8"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8"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8"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8"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8"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8"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8"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8"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8"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8"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8"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8"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8"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8"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8"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8"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8"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8"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8"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8"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8"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8"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8"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8"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8"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8"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8"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8"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8"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8"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8"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8"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8"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8"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8"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8"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8"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8"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8"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8"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8"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8"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8"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8"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8"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8"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8"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8"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8"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8"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8"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8"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8"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8"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8"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8"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8"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8"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8"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8"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8"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8"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4"/>
  <sheetViews>
    <sheetView workbookViewId="0">
      <selection activeCell="E182" sqref="E182"/>
    </sheetView>
  </sheetViews>
  <sheetFormatPr defaultRowHeight="14.4"/>
  <cols>
    <col min="1" max="1" width="5.33203125" customWidth="1"/>
    <col min="6" max="6" width="15.109375" customWidth="1"/>
  </cols>
  <sheetData>
    <row r="1" spans="1:12">
      <c r="B1" s="1400" t="s">
        <v>2548</v>
      </c>
      <c r="F1" s="1400" t="s">
        <v>3847</v>
      </c>
    </row>
    <row r="2" spans="1:12">
      <c r="A2" s="1400" t="s">
        <v>3391</v>
      </c>
      <c r="B2" s="3192" t="s">
        <v>3626</v>
      </c>
      <c r="C2" s="3192" t="s">
        <v>3627</v>
      </c>
      <c r="E2" s="1400" t="s">
        <v>3391</v>
      </c>
      <c r="F2" s="3192" t="s">
        <v>3626</v>
      </c>
      <c r="G2" s="3192" t="s">
        <v>3627</v>
      </c>
      <c r="H2" s="3192" t="s">
        <v>3819</v>
      </c>
      <c r="K2" s="3195" t="s">
        <v>3848</v>
      </c>
      <c r="L2" s="3195"/>
    </row>
    <row r="3" spans="1:12">
      <c r="A3">
        <v>1</v>
      </c>
      <c r="B3" s="3193" t="s">
        <v>3628</v>
      </c>
      <c r="C3" s="3193">
        <v>105.62</v>
      </c>
      <c r="E3">
        <v>1</v>
      </c>
      <c r="F3" s="3193" t="s">
        <v>3820</v>
      </c>
      <c r="G3" s="3193">
        <v>116.55</v>
      </c>
      <c r="H3" s="3194">
        <v>3495335</v>
      </c>
      <c r="K3" s="3195" t="s">
        <v>3849</v>
      </c>
      <c r="L3" s="3195" t="s">
        <v>3850</v>
      </c>
    </row>
    <row r="4" spans="1:12">
      <c r="A4">
        <v>2</v>
      </c>
      <c r="B4" s="3193" t="s">
        <v>3629</v>
      </c>
      <c r="C4" s="3193">
        <v>117.53</v>
      </c>
      <c r="E4">
        <v>2</v>
      </c>
      <c r="F4" s="3193" t="s">
        <v>3821</v>
      </c>
      <c r="G4" s="3193">
        <v>44.35</v>
      </c>
      <c r="H4" s="3194">
        <v>1418757</v>
      </c>
      <c r="K4" s="3195">
        <v>396</v>
      </c>
      <c r="L4" s="3195">
        <v>11415.02</v>
      </c>
    </row>
    <row r="5" spans="1:12">
      <c r="A5">
        <v>3</v>
      </c>
      <c r="B5" s="3193" t="s">
        <v>3630</v>
      </c>
      <c r="C5" s="3193">
        <v>134.19999999999999</v>
      </c>
      <c r="E5">
        <v>3</v>
      </c>
      <c r="F5" s="3193" t="s">
        <v>3822</v>
      </c>
      <c r="G5" s="3193">
        <v>68.209999999999994</v>
      </c>
      <c r="H5" s="3194">
        <v>2182038</v>
      </c>
    </row>
    <row r="6" spans="1:12">
      <c r="A6">
        <v>4</v>
      </c>
      <c r="B6" s="3193" t="s">
        <v>3631</v>
      </c>
      <c r="C6" s="3193">
        <v>132.35</v>
      </c>
      <c r="E6">
        <v>4</v>
      </c>
      <c r="F6" s="3193" t="s">
        <v>3823</v>
      </c>
      <c r="G6" s="3193">
        <v>68.209999999999994</v>
      </c>
      <c r="H6" s="3194">
        <v>2182038</v>
      </c>
    </row>
    <row r="7" spans="1:12">
      <c r="A7">
        <v>5</v>
      </c>
      <c r="B7" s="3193" t="s">
        <v>3632</v>
      </c>
      <c r="C7" s="3193">
        <v>132.35</v>
      </c>
      <c r="E7">
        <v>5</v>
      </c>
      <c r="F7" s="3193" t="s">
        <v>3824</v>
      </c>
      <c r="G7" s="3193">
        <v>52.71</v>
      </c>
      <c r="H7" s="3194">
        <v>1686193</v>
      </c>
    </row>
    <row r="8" spans="1:12">
      <c r="A8">
        <v>6</v>
      </c>
      <c r="B8" s="3193" t="s">
        <v>3633</v>
      </c>
      <c r="C8" s="3193">
        <v>132.35</v>
      </c>
      <c r="E8">
        <v>6</v>
      </c>
      <c r="F8" s="3193" t="s">
        <v>3825</v>
      </c>
      <c r="G8" s="3193">
        <v>128.63</v>
      </c>
      <c r="H8" s="3194">
        <v>3857614</v>
      </c>
    </row>
    <row r="9" spans="1:12">
      <c r="A9">
        <v>7</v>
      </c>
      <c r="B9" s="3193" t="s">
        <v>3634</v>
      </c>
      <c r="C9" s="3193">
        <v>132.35</v>
      </c>
      <c r="E9">
        <v>7</v>
      </c>
      <c r="F9" s="3193" t="s">
        <v>3826</v>
      </c>
      <c r="G9" s="3193">
        <v>112.9</v>
      </c>
      <c r="H9" s="3194">
        <v>3419741</v>
      </c>
    </row>
    <row r="10" spans="1:12">
      <c r="A10">
        <v>8</v>
      </c>
      <c r="B10" s="3193" t="s">
        <v>3635</v>
      </c>
      <c r="C10" s="3193">
        <v>105.67</v>
      </c>
      <c r="E10">
        <v>8</v>
      </c>
      <c r="F10" s="3193" t="s">
        <v>3827</v>
      </c>
      <c r="G10" s="3193">
        <v>43.36</v>
      </c>
      <c r="H10" s="3194">
        <v>1400094</v>
      </c>
    </row>
    <row r="11" spans="1:12">
      <c r="A11">
        <v>9</v>
      </c>
      <c r="B11" s="3193" t="s">
        <v>3636</v>
      </c>
      <c r="C11" s="3193">
        <v>132.35</v>
      </c>
      <c r="E11">
        <v>9</v>
      </c>
      <c r="F11" s="3193" t="s">
        <v>3828</v>
      </c>
      <c r="G11" s="3193">
        <v>67.08</v>
      </c>
      <c r="H11" s="3194">
        <v>2166013</v>
      </c>
    </row>
    <row r="12" spans="1:12">
      <c r="A12">
        <v>10</v>
      </c>
      <c r="B12" s="3193" t="s">
        <v>3637</v>
      </c>
      <c r="C12" s="3193">
        <v>132.35</v>
      </c>
      <c r="E12">
        <v>10</v>
      </c>
      <c r="F12" s="3193" t="s">
        <v>3829</v>
      </c>
      <c r="G12" s="3193">
        <v>67.08</v>
      </c>
      <c r="H12" s="3194">
        <v>2166013</v>
      </c>
    </row>
    <row r="13" spans="1:12">
      <c r="A13">
        <v>11</v>
      </c>
      <c r="B13" s="3193" t="s">
        <v>3638</v>
      </c>
      <c r="C13" s="3193">
        <v>132.35</v>
      </c>
      <c r="E13">
        <v>11</v>
      </c>
      <c r="F13" s="3193" t="s">
        <v>3830</v>
      </c>
      <c r="G13" s="3193">
        <v>51.52</v>
      </c>
      <c r="H13" s="3194">
        <v>1663581</v>
      </c>
    </row>
    <row r="14" spans="1:12">
      <c r="A14">
        <v>12</v>
      </c>
      <c r="B14" s="3193" t="s">
        <v>3639</v>
      </c>
      <c r="C14" s="3193">
        <v>132.35</v>
      </c>
      <c r="E14">
        <v>12</v>
      </c>
      <c r="F14" s="3193" t="s">
        <v>3831</v>
      </c>
      <c r="G14" s="3193">
        <v>129.03</v>
      </c>
      <c r="H14" s="3194">
        <v>3908319</v>
      </c>
    </row>
    <row r="15" spans="1:12">
      <c r="A15">
        <v>13</v>
      </c>
      <c r="B15" s="3193" t="s">
        <v>3640</v>
      </c>
      <c r="C15" s="3193">
        <v>132.35</v>
      </c>
      <c r="E15">
        <v>13</v>
      </c>
      <c r="F15" s="3193" t="s">
        <v>3832</v>
      </c>
      <c r="G15" s="3193">
        <v>102.8</v>
      </c>
      <c r="H15" s="3194">
        <v>2836252</v>
      </c>
    </row>
    <row r="16" spans="1:12">
      <c r="A16">
        <v>14</v>
      </c>
      <c r="B16" s="3193" t="s">
        <v>3641</v>
      </c>
      <c r="C16" s="3193">
        <v>132.35</v>
      </c>
      <c r="E16">
        <v>14</v>
      </c>
      <c r="F16" s="3193" t="s">
        <v>3833</v>
      </c>
      <c r="G16" s="3193">
        <v>68.790000000000006</v>
      </c>
      <c r="H16" s="3194">
        <v>2035496</v>
      </c>
    </row>
    <row r="17" spans="1:8">
      <c r="A17">
        <v>15</v>
      </c>
      <c r="B17" s="3193" t="s">
        <v>3642</v>
      </c>
      <c r="C17" s="3193">
        <v>117.53</v>
      </c>
      <c r="E17">
        <v>15</v>
      </c>
      <c r="F17" s="3193" t="s">
        <v>3834</v>
      </c>
      <c r="G17" s="3193">
        <v>12.53</v>
      </c>
      <c r="H17" s="3194">
        <v>370763</v>
      </c>
    </row>
    <row r="18" spans="1:8">
      <c r="A18">
        <v>16</v>
      </c>
      <c r="B18" s="3193" t="s">
        <v>3643</v>
      </c>
      <c r="C18" s="3193">
        <v>113.67</v>
      </c>
      <c r="E18">
        <v>16</v>
      </c>
      <c r="F18" s="3193" t="s">
        <v>3835</v>
      </c>
      <c r="G18" s="3193">
        <v>7.4</v>
      </c>
      <c r="H18" s="3194">
        <v>244200</v>
      </c>
    </row>
    <row r="19" spans="1:8">
      <c r="A19">
        <v>17</v>
      </c>
      <c r="B19" s="3193" t="s">
        <v>3644</v>
      </c>
      <c r="C19" s="3193">
        <v>134.19999999999999</v>
      </c>
      <c r="E19">
        <v>17</v>
      </c>
      <c r="F19" s="3193" t="s">
        <v>3836</v>
      </c>
      <c r="G19" s="3193">
        <v>7.4</v>
      </c>
      <c r="H19" s="3194">
        <v>244200</v>
      </c>
    </row>
    <row r="20" spans="1:8">
      <c r="A20">
        <v>18</v>
      </c>
      <c r="B20" s="3193" t="s">
        <v>3645</v>
      </c>
      <c r="C20" s="3193">
        <v>113.73</v>
      </c>
      <c r="E20">
        <v>18</v>
      </c>
      <c r="F20" s="3193" t="s">
        <v>3837</v>
      </c>
      <c r="G20" s="3193">
        <v>12.53</v>
      </c>
      <c r="H20" s="3194">
        <v>370763</v>
      </c>
    </row>
    <row r="21" spans="1:8">
      <c r="A21">
        <v>19</v>
      </c>
      <c r="B21" s="3193" t="s">
        <v>3646</v>
      </c>
      <c r="C21" s="3193">
        <v>132.35</v>
      </c>
      <c r="E21">
        <v>19</v>
      </c>
      <c r="F21" s="3193" t="s">
        <v>3838</v>
      </c>
      <c r="G21" s="3193">
        <v>68.790000000000006</v>
      </c>
      <c r="H21" s="3194">
        <v>2035496</v>
      </c>
    </row>
    <row r="22" spans="1:8">
      <c r="A22">
        <v>20</v>
      </c>
      <c r="B22" s="3193" t="s">
        <v>3647</v>
      </c>
      <c r="C22" s="3193">
        <v>132.35</v>
      </c>
      <c r="E22">
        <v>20</v>
      </c>
      <c r="F22" s="3193" t="s">
        <v>3839</v>
      </c>
      <c r="G22" s="3193">
        <v>68.989999999999995</v>
      </c>
      <c r="H22" s="3194">
        <v>2041414</v>
      </c>
    </row>
    <row r="23" spans="1:8">
      <c r="A23">
        <v>21</v>
      </c>
      <c r="B23" s="3193" t="s">
        <v>3648</v>
      </c>
      <c r="C23" s="3193">
        <v>113.77</v>
      </c>
      <c r="E23">
        <v>21</v>
      </c>
      <c r="F23" s="3193" t="s">
        <v>3840</v>
      </c>
      <c r="G23" s="3193">
        <v>21.97</v>
      </c>
      <c r="H23" s="3194">
        <v>650092</v>
      </c>
    </row>
    <row r="24" spans="1:8">
      <c r="A24">
        <v>22</v>
      </c>
      <c r="B24" s="3193" t="s">
        <v>3649</v>
      </c>
      <c r="C24" s="3193">
        <v>132.35</v>
      </c>
      <c r="E24">
        <v>22</v>
      </c>
      <c r="F24" s="3193" t="s">
        <v>3841</v>
      </c>
      <c r="G24" s="3193">
        <v>12.53</v>
      </c>
      <c r="H24" s="3194">
        <v>370763</v>
      </c>
    </row>
    <row r="25" spans="1:8">
      <c r="A25">
        <v>23</v>
      </c>
      <c r="B25" s="3193" t="s">
        <v>3650</v>
      </c>
      <c r="C25" s="3193">
        <v>113.77</v>
      </c>
      <c r="E25">
        <v>23</v>
      </c>
      <c r="F25" s="3193" t="s">
        <v>3842</v>
      </c>
      <c r="G25" s="3193">
        <v>68.989999999999995</v>
      </c>
      <c r="H25" s="3194">
        <v>2041414</v>
      </c>
    </row>
    <row r="26" spans="1:8">
      <c r="A26">
        <v>24</v>
      </c>
      <c r="B26" s="3193" t="s">
        <v>3651</v>
      </c>
      <c r="C26" s="3193">
        <v>132.35</v>
      </c>
      <c r="E26">
        <v>24</v>
      </c>
      <c r="F26" s="3193" t="s">
        <v>3843</v>
      </c>
      <c r="G26" s="3193">
        <v>103.63</v>
      </c>
      <c r="H26" s="3194">
        <v>2859152</v>
      </c>
    </row>
    <row r="27" spans="1:8">
      <c r="A27">
        <v>25</v>
      </c>
      <c r="B27" s="3193" t="s">
        <v>3652</v>
      </c>
      <c r="C27" s="3193">
        <v>113.77</v>
      </c>
      <c r="E27">
        <v>25</v>
      </c>
      <c r="F27" s="3193" t="s">
        <v>3844</v>
      </c>
      <c r="G27" s="3193">
        <v>110.86</v>
      </c>
      <c r="H27" s="3194">
        <v>3302519</v>
      </c>
    </row>
    <row r="28" spans="1:8">
      <c r="A28">
        <v>26</v>
      </c>
      <c r="B28" s="3193" t="s">
        <v>3653</v>
      </c>
      <c r="C28" s="3193">
        <v>132.35</v>
      </c>
      <c r="E28">
        <v>26</v>
      </c>
      <c r="F28" s="3193" t="s">
        <v>3845</v>
      </c>
      <c r="G28" s="3193">
        <v>137.21</v>
      </c>
      <c r="H28" s="3194">
        <v>3704670</v>
      </c>
    </row>
    <row r="29" spans="1:8">
      <c r="A29">
        <v>27</v>
      </c>
      <c r="B29" s="3193" t="s">
        <v>3654</v>
      </c>
      <c r="C29" s="3193">
        <v>132.35</v>
      </c>
      <c r="E29">
        <v>27</v>
      </c>
      <c r="F29" s="3193" t="s">
        <v>3846</v>
      </c>
      <c r="G29" s="3193">
        <v>155.53</v>
      </c>
      <c r="H29" s="3194">
        <v>4199310</v>
      </c>
    </row>
    <row r="30" spans="1:8">
      <c r="A30">
        <v>28</v>
      </c>
      <c r="B30" s="3193" t="s">
        <v>3655</v>
      </c>
      <c r="C30" s="3193">
        <v>113.77</v>
      </c>
      <c r="G30">
        <f>SUM(G3:G29)</f>
        <v>1909.58</v>
      </c>
    </row>
    <row r="31" spans="1:8">
      <c r="A31">
        <v>29</v>
      </c>
      <c r="B31" s="3193" t="s">
        <v>3656</v>
      </c>
      <c r="C31" s="3193">
        <v>132.35</v>
      </c>
    </row>
    <row r="32" spans="1:8">
      <c r="A32">
        <v>30</v>
      </c>
      <c r="B32" s="3193" t="s">
        <v>3657</v>
      </c>
      <c r="C32" s="3193">
        <v>113.77</v>
      </c>
    </row>
    <row r="33" spans="1:3">
      <c r="A33">
        <v>31</v>
      </c>
      <c r="B33" s="3193" t="s">
        <v>3658</v>
      </c>
      <c r="C33" s="3193">
        <v>132.35</v>
      </c>
    </row>
    <row r="34" spans="1:3">
      <c r="A34">
        <v>32</v>
      </c>
      <c r="B34" s="3193" t="s">
        <v>3659</v>
      </c>
      <c r="C34" s="3193">
        <v>113.77</v>
      </c>
    </row>
    <row r="35" spans="1:3">
      <c r="A35">
        <v>33</v>
      </c>
      <c r="B35" s="3193" t="s">
        <v>3660</v>
      </c>
      <c r="C35" s="3193">
        <v>132.35</v>
      </c>
    </row>
    <row r="36" spans="1:3">
      <c r="A36">
        <v>34</v>
      </c>
      <c r="B36" s="3193" t="s">
        <v>3661</v>
      </c>
      <c r="C36" s="3193">
        <v>113.77</v>
      </c>
    </row>
    <row r="37" spans="1:3">
      <c r="A37">
        <v>35</v>
      </c>
      <c r="B37" s="3193" t="s">
        <v>3662</v>
      </c>
      <c r="C37" s="3193">
        <v>132.35</v>
      </c>
    </row>
    <row r="38" spans="1:3">
      <c r="A38">
        <v>36</v>
      </c>
      <c r="B38" s="3193" t="s">
        <v>3663</v>
      </c>
      <c r="C38" s="3193">
        <v>113.77</v>
      </c>
    </row>
    <row r="39" spans="1:3">
      <c r="A39">
        <v>37</v>
      </c>
      <c r="B39" s="3193" t="s">
        <v>3664</v>
      </c>
      <c r="C39" s="3193">
        <v>105.65</v>
      </c>
    </row>
    <row r="40" spans="1:3">
      <c r="A40">
        <v>38</v>
      </c>
      <c r="B40" s="3193" t="s">
        <v>3665</v>
      </c>
      <c r="C40" s="3193">
        <v>132.32</v>
      </c>
    </row>
    <row r="41" spans="1:3">
      <c r="A41">
        <v>39</v>
      </c>
      <c r="B41" s="3193" t="s">
        <v>3666</v>
      </c>
      <c r="C41" s="3193">
        <v>105.65</v>
      </c>
    </row>
    <row r="42" spans="1:3">
      <c r="A42">
        <v>40</v>
      </c>
      <c r="B42" s="3193" t="s">
        <v>3667</v>
      </c>
      <c r="C42" s="3193">
        <v>132.32</v>
      </c>
    </row>
    <row r="43" spans="1:3">
      <c r="A43">
        <v>41</v>
      </c>
      <c r="B43" s="3193" t="s">
        <v>3668</v>
      </c>
      <c r="C43" s="3193">
        <v>132.32</v>
      </c>
    </row>
    <row r="44" spans="1:3">
      <c r="A44">
        <v>42</v>
      </c>
      <c r="B44" s="3193" t="s">
        <v>3669</v>
      </c>
      <c r="C44" s="3193">
        <v>132.32</v>
      </c>
    </row>
    <row r="45" spans="1:3">
      <c r="A45">
        <v>43</v>
      </c>
      <c r="B45" s="3193" t="s">
        <v>3670</v>
      </c>
      <c r="C45" s="3193">
        <v>132.32</v>
      </c>
    </row>
    <row r="46" spans="1:3">
      <c r="A46">
        <v>44</v>
      </c>
      <c r="B46" s="3193" t="s">
        <v>3671</v>
      </c>
      <c r="C46" s="3193">
        <v>132.32</v>
      </c>
    </row>
    <row r="47" spans="1:3">
      <c r="A47">
        <v>45</v>
      </c>
      <c r="B47" s="3193" t="s">
        <v>3672</v>
      </c>
      <c r="C47" s="3193">
        <v>113.33</v>
      </c>
    </row>
    <row r="48" spans="1:3">
      <c r="A48">
        <v>46</v>
      </c>
      <c r="B48" s="3193" t="s">
        <v>3673</v>
      </c>
      <c r="C48" s="3193">
        <v>132.32</v>
      </c>
    </row>
    <row r="49" spans="1:3">
      <c r="A49">
        <v>47</v>
      </c>
      <c r="B49" s="3193" t="s">
        <v>3674</v>
      </c>
      <c r="C49" s="3193">
        <v>113.74</v>
      </c>
    </row>
    <row r="50" spans="1:3">
      <c r="A50">
        <v>48</v>
      </c>
      <c r="B50" s="3193" t="s">
        <v>3675</v>
      </c>
      <c r="C50" s="3193">
        <v>132.32</v>
      </c>
    </row>
    <row r="51" spans="1:3">
      <c r="A51">
        <v>49</v>
      </c>
      <c r="B51" s="3193" t="s">
        <v>3676</v>
      </c>
      <c r="C51" s="3193">
        <v>113.74</v>
      </c>
    </row>
    <row r="52" spans="1:3">
      <c r="A52">
        <v>50</v>
      </c>
      <c r="B52" s="3193" t="s">
        <v>3677</v>
      </c>
      <c r="C52" s="3193">
        <v>132.32</v>
      </c>
    </row>
    <row r="53" spans="1:3">
      <c r="A53">
        <v>51</v>
      </c>
      <c r="B53" s="3193" t="s">
        <v>3678</v>
      </c>
      <c r="C53" s="3193">
        <v>132.32</v>
      </c>
    </row>
    <row r="54" spans="1:3">
      <c r="A54">
        <v>52</v>
      </c>
      <c r="B54" s="3193" t="s">
        <v>3679</v>
      </c>
      <c r="C54" s="3193">
        <v>113.74</v>
      </c>
    </row>
    <row r="55" spans="1:3">
      <c r="A55">
        <v>53</v>
      </c>
      <c r="B55" s="3193" t="s">
        <v>3680</v>
      </c>
      <c r="C55" s="3193">
        <v>113.74</v>
      </c>
    </row>
    <row r="56" spans="1:3">
      <c r="A56">
        <v>54</v>
      </c>
      <c r="B56" s="3193" t="s">
        <v>3681</v>
      </c>
      <c r="C56" s="3193">
        <v>113.74</v>
      </c>
    </row>
    <row r="57" spans="1:3">
      <c r="A57">
        <v>55</v>
      </c>
      <c r="B57" s="3193" t="s">
        <v>3682</v>
      </c>
      <c r="C57" s="3193">
        <v>132.32</v>
      </c>
    </row>
    <row r="58" spans="1:3">
      <c r="A58">
        <v>56</v>
      </c>
      <c r="B58" s="3193" t="s">
        <v>3683</v>
      </c>
      <c r="C58" s="3193">
        <v>113.74</v>
      </c>
    </row>
    <row r="59" spans="1:3">
      <c r="A59">
        <v>57</v>
      </c>
      <c r="B59" s="3193" t="s">
        <v>3684</v>
      </c>
      <c r="C59" s="3193">
        <v>88.62</v>
      </c>
    </row>
    <row r="60" spans="1:3">
      <c r="A60">
        <v>58</v>
      </c>
      <c r="B60" s="3193" t="s">
        <v>3685</v>
      </c>
      <c r="C60" s="3193">
        <v>87.44</v>
      </c>
    </row>
    <row r="61" spans="1:3">
      <c r="A61">
        <v>59</v>
      </c>
      <c r="B61" s="3193" t="s">
        <v>3686</v>
      </c>
      <c r="C61" s="3193">
        <v>87.44</v>
      </c>
    </row>
    <row r="62" spans="1:3">
      <c r="A62">
        <v>60</v>
      </c>
      <c r="B62" s="3193" t="s">
        <v>3687</v>
      </c>
      <c r="C62" s="3193">
        <v>88.62</v>
      </c>
    </row>
    <row r="63" spans="1:3">
      <c r="A63">
        <v>61</v>
      </c>
      <c r="B63" s="3193" t="s">
        <v>3688</v>
      </c>
      <c r="C63" s="3193">
        <v>87.44</v>
      </c>
    </row>
    <row r="64" spans="1:3">
      <c r="A64">
        <v>62</v>
      </c>
      <c r="B64" s="3193" t="s">
        <v>3689</v>
      </c>
      <c r="C64" s="3193">
        <v>87.44</v>
      </c>
    </row>
    <row r="65" spans="1:3">
      <c r="A65">
        <v>63</v>
      </c>
      <c r="B65" s="3193" t="s">
        <v>3690</v>
      </c>
      <c r="C65" s="3193">
        <v>87.44</v>
      </c>
    </row>
    <row r="66" spans="1:3">
      <c r="A66">
        <v>64</v>
      </c>
      <c r="B66" s="3193" t="s">
        <v>3691</v>
      </c>
      <c r="C66" s="3193">
        <v>87.44</v>
      </c>
    </row>
    <row r="67" spans="1:3">
      <c r="A67">
        <v>65</v>
      </c>
      <c r="B67" s="3193" t="s">
        <v>3692</v>
      </c>
      <c r="C67" s="3193">
        <v>87.44</v>
      </c>
    </row>
    <row r="68" spans="1:3">
      <c r="A68">
        <v>66</v>
      </c>
      <c r="B68" s="3193" t="s">
        <v>3693</v>
      </c>
      <c r="C68" s="3193">
        <v>88.41</v>
      </c>
    </row>
    <row r="69" spans="1:3">
      <c r="A69">
        <v>67</v>
      </c>
      <c r="B69" s="3193" t="s">
        <v>3694</v>
      </c>
      <c r="C69" s="3193">
        <v>87.44</v>
      </c>
    </row>
    <row r="70" spans="1:3">
      <c r="A70">
        <v>68</v>
      </c>
      <c r="B70" s="3193" t="s">
        <v>3695</v>
      </c>
      <c r="C70" s="3193">
        <v>117.3</v>
      </c>
    </row>
    <row r="71" spans="1:3">
      <c r="A71">
        <v>69</v>
      </c>
      <c r="B71" s="3193" t="s">
        <v>3696</v>
      </c>
      <c r="C71" s="3193">
        <v>73.099999999999994</v>
      </c>
    </row>
    <row r="72" spans="1:3">
      <c r="A72">
        <v>70</v>
      </c>
      <c r="B72" s="3193" t="s">
        <v>3697</v>
      </c>
      <c r="C72" s="3193">
        <v>74.900000000000006</v>
      </c>
    </row>
    <row r="73" spans="1:3">
      <c r="A73">
        <v>71</v>
      </c>
      <c r="B73" s="3193" t="s">
        <v>3698</v>
      </c>
      <c r="C73" s="3193">
        <v>117.53</v>
      </c>
    </row>
    <row r="74" spans="1:3">
      <c r="A74">
        <v>72</v>
      </c>
      <c r="B74" s="3193" t="s">
        <v>3699</v>
      </c>
      <c r="C74" s="3193">
        <v>117.3</v>
      </c>
    </row>
    <row r="75" spans="1:3">
      <c r="A75">
        <v>73</v>
      </c>
      <c r="B75" s="3193" t="s">
        <v>3700</v>
      </c>
      <c r="C75" s="3193">
        <v>117.53</v>
      </c>
    </row>
    <row r="76" spans="1:3">
      <c r="A76">
        <v>74</v>
      </c>
      <c r="B76" s="3193" t="s">
        <v>3701</v>
      </c>
      <c r="C76" s="3193">
        <v>117.56</v>
      </c>
    </row>
    <row r="77" spans="1:3">
      <c r="A77">
        <v>75</v>
      </c>
      <c r="B77" s="3193" t="s">
        <v>3702</v>
      </c>
      <c r="C77" s="3193">
        <v>117.53</v>
      </c>
    </row>
    <row r="78" spans="1:3">
      <c r="A78">
        <v>76</v>
      </c>
      <c r="B78" s="3193" t="s">
        <v>3703</v>
      </c>
      <c r="C78" s="3193">
        <v>117.56</v>
      </c>
    </row>
    <row r="79" spans="1:3">
      <c r="A79">
        <v>77</v>
      </c>
      <c r="B79" s="3193" t="s">
        <v>3704</v>
      </c>
      <c r="C79" s="3193">
        <v>74.900000000000006</v>
      </c>
    </row>
    <row r="80" spans="1:3">
      <c r="A80">
        <v>78</v>
      </c>
      <c r="B80" s="3193" t="s">
        <v>3705</v>
      </c>
      <c r="C80" s="3193">
        <v>117.53</v>
      </c>
    </row>
    <row r="81" spans="1:3">
      <c r="A81">
        <v>79</v>
      </c>
      <c r="B81" s="3193" t="s">
        <v>3706</v>
      </c>
      <c r="C81" s="3193">
        <v>117.56</v>
      </c>
    </row>
    <row r="82" spans="1:3">
      <c r="A82">
        <v>80</v>
      </c>
      <c r="B82" s="3193" t="s">
        <v>3707</v>
      </c>
      <c r="C82" s="3193">
        <v>117.53</v>
      </c>
    </row>
    <row r="83" spans="1:3">
      <c r="A83">
        <v>81</v>
      </c>
      <c r="B83" s="3193" t="s">
        <v>3708</v>
      </c>
      <c r="C83" s="3193">
        <v>117.56</v>
      </c>
    </row>
    <row r="84" spans="1:3">
      <c r="A84">
        <v>82</v>
      </c>
      <c r="B84" s="3193" t="s">
        <v>3709</v>
      </c>
      <c r="C84" s="3193">
        <v>117.56</v>
      </c>
    </row>
    <row r="85" spans="1:3">
      <c r="A85">
        <v>83</v>
      </c>
      <c r="B85" s="3193" t="s">
        <v>3710</v>
      </c>
      <c r="C85" s="3193">
        <v>117.56</v>
      </c>
    </row>
    <row r="86" spans="1:3">
      <c r="A86">
        <v>84</v>
      </c>
      <c r="B86" s="3193" t="s">
        <v>3711</v>
      </c>
      <c r="C86" s="3193">
        <v>117.53</v>
      </c>
    </row>
    <row r="87" spans="1:3">
      <c r="A87">
        <v>85</v>
      </c>
      <c r="B87" s="3193" t="s">
        <v>3712</v>
      </c>
      <c r="C87" s="3193">
        <v>117.56</v>
      </c>
    </row>
    <row r="88" spans="1:3">
      <c r="A88">
        <v>86</v>
      </c>
      <c r="B88" s="3193" t="s">
        <v>3713</v>
      </c>
      <c r="C88" s="3193">
        <v>117.53</v>
      </c>
    </row>
    <row r="89" spans="1:3">
      <c r="A89">
        <v>87</v>
      </c>
      <c r="B89" s="3193" t="s">
        <v>3714</v>
      </c>
      <c r="C89" s="3193">
        <v>117.56</v>
      </c>
    </row>
    <row r="90" spans="1:3">
      <c r="A90">
        <v>88</v>
      </c>
      <c r="B90" s="3193" t="s">
        <v>3715</v>
      </c>
      <c r="C90" s="3193">
        <v>117.56</v>
      </c>
    </row>
    <row r="91" spans="1:3">
      <c r="A91">
        <v>89</v>
      </c>
      <c r="B91" s="3193" t="s">
        <v>3716</v>
      </c>
      <c r="C91" s="3193">
        <v>117.53</v>
      </c>
    </row>
    <row r="92" spans="1:3">
      <c r="A92">
        <v>90</v>
      </c>
      <c r="B92" s="3193" t="s">
        <v>3717</v>
      </c>
      <c r="C92" s="3193">
        <v>117.56</v>
      </c>
    </row>
    <row r="93" spans="1:3">
      <c r="A93">
        <v>91</v>
      </c>
      <c r="B93" s="3193" t="s">
        <v>3718</v>
      </c>
      <c r="C93" s="3193">
        <v>117.53</v>
      </c>
    </row>
    <row r="94" spans="1:3">
      <c r="A94">
        <v>92</v>
      </c>
      <c r="B94" s="3193" t="s">
        <v>3719</v>
      </c>
      <c r="C94" s="3193">
        <v>117.56</v>
      </c>
    </row>
    <row r="95" spans="1:3">
      <c r="A95">
        <v>93</v>
      </c>
      <c r="B95" s="3193" t="s">
        <v>3720</v>
      </c>
      <c r="C95" s="3193">
        <v>117.53</v>
      </c>
    </row>
    <row r="96" spans="1:3">
      <c r="A96">
        <v>94</v>
      </c>
      <c r="B96" s="3193" t="s">
        <v>3721</v>
      </c>
      <c r="C96" s="3193">
        <v>117.56</v>
      </c>
    </row>
    <row r="97" spans="1:3">
      <c r="A97">
        <v>95</v>
      </c>
      <c r="B97" s="3193" t="s">
        <v>3722</v>
      </c>
      <c r="C97" s="3193">
        <v>73.099999999999994</v>
      </c>
    </row>
    <row r="98" spans="1:3">
      <c r="A98">
        <v>96</v>
      </c>
      <c r="B98" s="3193" t="s">
        <v>3723</v>
      </c>
      <c r="C98" s="3193">
        <v>74.900000000000006</v>
      </c>
    </row>
    <row r="99" spans="1:3">
      <c r="A99">
        <v>97</v>
      </c>
      <c r="B99" s="3193" t="s">
        <v>3724</v>
      </c>
      <c r="C99" s="3193">
        <v>117.53</v>
      </c>
    </row>
    <row r="100" spans="1:3">
      <c r="A100">
        <v>98</v>
      </c>
      <c r="B100" s="3193" t="s">
        <v>3725</v>
      </c>
      <c r="C100" s="3193">
        <v>117.56</v>
      </c>
    </row>
    <row r="101" spans="1:3">
      <c r="A101">
        <v>99</v>
      </c>
      <c r="B101" s="3193" t="s">
        <v>3726</v>
      </c>
      <c r="C101" s="3193">
        <v>117.53</v>
      </c>
    </row>
    <row r="102" spans="1:3">
      <c r="A102">
        <v>100</v>
      </c>
      <c r="B102" s="3193" t="s">
        <v>3727</v>
      </c>
      <c r="C102" s="3193">
        <v>117.56</v>
      </c>
    </row>
    <row r="103" spans="1:3">
      <c r="A103">
        <v>101</v>
      </c>
      <c r="B103" s="3193" t="s">
        <v>3728</v>
      </c>
      <c r="C103" s="3193">
        <v>117.53</v>
      </c>
    </row>
    <row r="104" spans="1:3">
      <c r="A104">
        <v>102</v>
      </c>
      <c r="B104" s="3193" t="s">
        <v>3729</v>
      </c>
      <c r="C104" s="3193">
        <v>117.56</v>
      </c>
    </row>
    <row r="105" spans="1:3">
      <c r="A105">
        <v>103</v>
      </c>
      <c r="B105" s="3193" t="s">
        <v>3730</v>
      </c>
      <c r="C105" s="3193">
        <v>117.53</v>
      </c>
    </row>
    <row r="106" spans="1:3">
      <c r="A106">
        <v>104</v>
      </c>
      <c r="B106" s="3193" t="s">
        <v>3731</v>
      </c>
      <c r="C106" s="3193">
        <v>117.56</v>
      </c>
    </row>
    <row r="107" spans="1:3">
      <c r="A107">
        <v>105</v>
      </c>
      <c r="B107" s="3193" t="s">
        <v>3732</v>
      </c>
      <c r="C107" s="3193">
        <v>117.53</v>
      </c>
    </row>
    <row r="108" spans="1:3">
      <c r="A108">
        <v>106</v>
      </c>
      <c r="B108" s="3193" t="s">
        <v>3733</v>
      </c>
      <c r="C108" s="3193">
        <v>117.56</v>
      </c>
    </row>
    <row r="109" spans="1:3">
      <c r="A109">
        <v>107</v>
      </c>
      <c r="B109" s="3193" t="s">
        <v>3734</v>
      </c>
      <c r="C109" s="3193">
        <v>117.56</v>
      </c>
    </row>
    <row r="110" spans="1:3">
      <c r="A110">
        <v>108</v>
      </c>
      <c r="B110" s="3193" t="s">
        <v>3735</v>
      </c>
      <c r="C110" s="3193">
        <v>74.900000000000006</v>
      </c>
    </row>
    <row r="111" spans="1:3">
      <c r="A111">
        <v>109</v>
      </c>
      <c r="B111" s="3193" t="s">
        <v>3736</v>
      </c>
      <c r="C111" s="3193">
        <v>117.53</v>
      </c>
    </row>
    <row r="112" spans="1:3">
      <c r="A112">
        <v>110</v>
      </c>
      <c r="B112" s="3193" t="s">
        <v>3737</v>
      </c>
      <c r="C112" s="3193">
        <v>117.56</v>
      </c>
    </row>
    <row r="113" spans="1:3">
      <c r="A113">
        <v>111</v>
      </c>
      <c r="B113" s="3193" t="s">
        <v>3738</v>
      </c>
      <c r="C113" s="3193">
        <v>73.099999999999994</v>
      </c>
    </row>
    <row r="114" spans="1:3">
      <c r="A114">
        <v>112</v>
      </c>
      <c r="B114" s="3193" t="s">
        <v>3739</v>
      </c>
      <c r="C114" s="3193">
        <v>117.53</v>
      </c>
    </row>
    <row r="115" spans="1:3">
      <c r="A115">
        <v>113</v>
      </c>
      <c r="B115" s="3193" t="s">
        <v>3740</v>
      </c>
      <c r="C115" s="3193">
        <v>117.56</v>
      </c>
    </row>
    <row r="116" spans="1:3">
      <c r="A116">
        <v>114</v>
      </c>
      <c r="B116" s="3193" t="s">
        <v>3741</v>
      </c>
      <c r="C116" s="3193">
        <v>73.099999999999994</v>
      </c>
    </row>
    <row r="117" spans="1:3">
      <c r="A117">
        <v>115</v>
      </c>
      <c r="B117" s="3193" t="s">
        <v>3742</v>
      </c>
      <c r="C117" s="3193">
        <v>74.900000000000006</v>
      </c>
    </row>
    <row r="118" spans="1:3">
      <c r="A118">
        <v>116</v>
      </c>
      <c r="B118" s="3193" t="s">
        <v>3743</v>
      </c>
      <c r="C118" s="3193">
        <v>117.53</v>
      </c>
    </row>
    <row r="119" spans="1:3">
      <c r="A119">
        <v>117</v>
      </c>
      <c r="B119" s="3193" t="s">
        <v>3744</v>
      </c>
      <c r="C119" s="3193">
        <v>75.27</v>
      </c>
    </row>
    <row r="120" spans="1:3">
      <c r="A120">
        <v>118</v>
      </c>
      <c r="B120" s="3193" t="s">
        <v>3745</v>
      </c>
      <c r="C120" s="3193">
        <v>73.7</v>
      </c>
    </row>
    <row r="121" spans="1:3">
      <c r="A121">
        <v>119</v>
      </c>
      <c r="B121" s="3193" t="s">
        <v>3746</v>
      </c>
      <c r="C121" s="3193">
        <v>75.27</v>
      </c>
    </row>
    <row r="122" spans="1:3">
      <c r="A122">
        <v>120</v>
      </c>
      <c r="B122" s="3193" t="s">
        <v>3747</v>
      </c>
      <c r="C122" s="3193">
        <v>73.7</v>
      </c>
    </row>
    <row r="123" spans="1:3">
      <c r="A123">
        <v>121</v>
      </c>
      <c r="B123" s="3193" t="s">
        <v>3748</v>
      </c>
      <c r="C123" s="3193">
        <v>75.27</v>
      </c>
    </row>
    <row r="124" spans="1:3">
      <c r="A124">
        <v>122</v>
      </c>
      <c r="B124" s="3193" t="s">
        <v>3749</v>
      </c>
      <c r="C124" s="3193">
        <v>75.27</v>
      </c>
    </row>
    <row r="125" spans="1:3">
      <c r="A125">
        <v>123</v>
      </c>
      <c r="B125" s="3193" t="s">
        <v>3750</v>
      </c>
      <c r="C125" s="3193">
        <v>73.7</v>
      </c>
    </row>
    <row r="126" spans="1:3">
      <c r="A126">
        <v>124</v>
      </c>
      <c r="B126" s="3193" t="s">
        <v>3751</v>
      </c>
      <c r="C126" s="3193">
        <v>75.27</v>
      </c>
    </row>
    <row r="127" spans="1:3">
      <c r="A127">
        <v>125</v>
      </c>
      <c r="B127" s="3193" t="s">
        <v>3752</v>
      </c>
      <c r="C127" s="3193">
        <v>73.7</v>
      </c>
    </row>
    <row r="128" spans="1:3">
      <c r="A128">
        <v>126</v>
      </c>
      <c r="B128" s="3193" t="s">
        <v>3753</v>
      </c>
      <c r="C128" s="3193">
        <v>75.27</v>
      </c>
    </row>
    <row r="129" spans="1:3">
      <c r="A129">
        <v>127</v>
      </c>
      <c r="B129" s="3193" t="s">
        <v>3754</v>
      </c>
      <c r="C129" s="3193">
        <v>73.7</v>
      </c>
    </row>
    <row r="130" spans="1:3">
      <c r="A130">
        <v>128</v>
      </c>
      <c r="B130" s="3193" t="s">
        <v>3755</v>
      </c>
      <c r="C130" s="3193">
        <v>73.7</v>
      </c>
    </row>
    <row r="131" spans="1:3">
      <c r="A131">
        <v>129</v>
      </c>
      <c r="B131" s="3193" t="s">
        <v>3756</v>
      </c>
      <c r="C131" s="3193">
        <v>73.7</v>
      </c>
    </row>
    <row r="132" spans="1:3">
      <c r="A132">
        <v>130</v>
      </c>
      <c r="B132" s="3193" t="s">
        <v>3757</v>
      </c>
      <c r="C132" s="3193">
        <v>73.7</v>
      </c>
    </row>
    <row r="133" spans="1:3">
      <c r="A133">
        <v>131</v>
      </c>
      <c r="B133" s="3193" t="s">
        <v>3758</v>
      </c>
      <c r="C133" s="3193">
        <v>73.7</v>
      </c>
    </row>
    <row r="134" spans="1:3">
      <c r="A134">
        <v>132</v>
      </c>
      <c r="B134" s="3193" t="s">
        <v>3759</v>
      </c>
      <c r="C134" s="3193">
        <v>74.239999999999995</v>
      </c>
    </row>
    <row r="135" spans="1:3">
      <c r="A135">
        <v>133</v>
      </c>
      <c r="B135" s="3193" t="s">
        <v>3760</v>
      </c>
      <c r="C135" s="3193">
        <v>73.7</v>
      </c>
    </row>
    <row r="136" spans="1:3">
      <c r="A136">
        <v>134</v>
      </c>
      <c r="B136" s="3193" t="s">
        <v>3761</v>
      </c>
      <c r="C136" s="3193">
        <v>75.27</v>
      </c>
    </row>
    <row r="137" spans="1:3">
      <c r="A137">
        <v>135</v>
      </c>
      <c r="B137" s="3193" t="s">
        <v>3762</v>
      </c>
      <c r="C137" s="3193">
        <v>75.27</v>
      </c>
    </row>
    <row r="138" spans="1:3">
      <c r="A138">
        <v>136</v>
      </c>
      <c r="B138" s="3193" t="s">
        <v>3763</v>
      </c>
      <c r="C138" s="3193">
        <v>75.27</v>
      </c>
    </row>
    <row r="139" spans="1:3">
      <c r="A139">
        <v>137</v>
      </c>
      <c r="B139" s="3193" t="s">
        <v>3764</v>
      </c>
      <c r="C139" s="3193">
        <v>73.7</v>
      </c>
    </row>
    <row r="140" spans="1:3">
      <c r="A140">
        <v>138</v>
      </c>
      <c r="B140" s="3193" t="s">
        <v>3765</v>
      </c>
      <c r="C140" s="3193">
        <v>75.27</v>
      </c>
    </row>
    <row r="141" spans="1:3">
      <c r="A141">
        <v>139</v>
      </c>
      <c r="B141" s="3193" t="s">
        <v>3766</v>
      </c>
      <c r="C141" s="3193">
        <v>73.7</v>
      </c>
    </row>
    <row r="142" spans="1:3">
      <c r="A142">
        <v>140</v>
      </c>
      <c r="B142" s="3193" t="s">
        <v>3767</v>
      </c>
      <c r="C142" s="3193">
        <v>144.41999999999999</v>
      </c>
    </row>
    <row r="143" spans="1:3">
      <c r="A143">
        <v>141</v>
      </c>
      <c r="B143" s="3193" t="s">
        <v>3768</v>
      </c>
      <c r="C143" s="3193">
        <v>143.65</v>
      </c>
    </row>
    <row r="144" spans="1:3">
      <c r="A144">
        <v>142</v>
      </c>
      <c r="B144" s="3193" t="s">
        <v>3769</v>
      </c>
      <c r="C144" s="3193">
        <v>144.41999999999999</v>
      </c>
    </row>
    <row r="145" spans="1:3">
      <c r="A145">
        <v>143</v>
      </c>
      <c r="B145" s="3193" t="s">
        <v>3770</v>
      </c>
      <c r="C145" s="3193">
        <v>143.65</v>
      </c>
    </row>
    <row r="146" spans="1:3">
      <c r="A146">
        <v>144</v>
      </c>
      <c r="B146" s="3193" t="s">
        <v>3771</v>
      </c>
      <c r="C146" s="3193">
        <v>144.41999999999999</v>
      </c>
    </row>
    <row r="147" spans="1:3">
      <c r="A147">
        <v>145</v>
      </c>
      <c r="B147" s="3193" t="s">
        <v>3772</v>
      </c>
      <c r="C147" s="3193">
        <v>143.65</v>
      </c>
    </row>
    <row r="148" spans="1:3">
      <c r="A148">
        <v>146</v>
      </c>
      <c r="B148" s="3193" t="s">
        <v>3773</v>
      </c>
      <c r="C148" s="3193">
        <v>144.41999999999999</v>
      </c>
    </row>
    <row r="149" spans="1:3">
      <c r="A149">
        <v>147</v>
      </c>
      <c r="B149" s="3193" t="s">
        <v>3774</v>
      </c>
      <c r="C149" s="3193">
        <v>143.65</v>
      </c>
    </row>
    <row r="150" spans="1:3">
      <c r="A150">
        <v>148</v>
      </c>
      <c r="B150" s="3193" t="s">
        <v>3775</v>
      </c>
      <c r="C150" s="3193">
        <v>144.41999999999999</v>
      </c>
    </row>
    <row r="151" spans="1:3">
      <c r="A151">
        <v>149</v>
      </c>
      <c r="B151" s="3193" t="s">
        <v>3776</v>
      </c>
      <c r="C151" s="3193">
        <v>143.65</v>
      </c>
    </row>
    <row r="152" spans="1:3">
      <c r="A152">
        <v>150</v>
      </c>
      <c r="B152" s="3193" t="s">
        <v>3777</v>
      </c>
      <c r="C152" s="3193">
        <v>144.41999999999999</v>
      </c>
    </row>
    <row r="153" spans="1:3">
      <c r="A153">
        <v>151</v>
      </c>
      <c r="B153" s="3193" t="s">
        <v>3778</v>
      </c>
      <c r="C153" s="3193">
        <v>143.65</v>
      </c>
    </row>
    <row r="154" spans="1:3">
      <c r="A154">
        <v>152</v>
      </c>
      <c r="B154" s="3193" t="s">
        <v>3779</v>
      </c>
      <c r="C154" s="3193">
        <v>144.41999999999999</v>
      </c>
    </row>
    <row r="155" spans="1:3">
      <c r="A155">
        <v>153</v>
      </c>
      <c r="B155" s="3193" t="s">
        <v>3780</v>
      </c>
      <c r="C155" s="3193">
        <v>143.65</v>
      </c>
    </row>
    <row r="156" spans="1:3">
      <c r="A156">
        <v>154</v>
      </c>
      <c r="B156" s="3193" t="s">
        <v>3781</v>
      </c>
      <c r="C156" s="3193">
        <v>144.41999999999999</v>
      </c>
    </row>
    <row r="157" spans="1:3">
      <c r="A157">
        <v>155</v>
      </c>
      <c r="B157" s="3193" t="s">
        <v>3782</v>
      </c>
      <c r="C157" s="3193">
        <v>143.65</v>
      </c>
    </row>
    <row r="158" spans="1:3">
      <c r="A158">
        <v>156</v>
      </c>
      <c r="B158" s="3193" t="s">
        <v>3783</v>
      </c>
      <c r="C158" s="3193">
        <v>144.41999999999999</v>
      </c>
    </row>
    <row r="159" spans="1:3">
      <c r="A159">
        <v>157</v>
      </c>
      <c r="B159" s="3193" t="s">
        <v>3784</v>
      </c>
      <c r="C159" s="3193">
        <v>143.65</v>
      </c>
    </row>
    <row r="160" spans="1:3">
      <c r="A160">
        <v>158</v>
      </c>
      <c r="B160" s="3193" t="s">
        <v>3785</v>
      </c>
      <c r="C160" s="3193">
        <v>144.41999999999999</v>
      </c>
    </row>
    <row r="161" spans="1:3">
      <c r="A161">
        <v>159</v>
      </c>
      <c r="B161" s="3193" t="s">
        <v>3786</v>
      </c>
      <c r="C161" s="3193">
        <v>143.65</v>
      </c>
    </row>
    <row r="162" spans="1:3">
      <c r="A162">
        <v>160</v>
      </c>
      <c r="B162" s="3193" t="s">
        <v>3787</v>
      </c>
      <c r="C162" s="3193">
        <v>144.41999999999999</v>
      </c>
    </row>
    <row r="163" spans="1:3">
      <c r="A163">
        <v>161</v>
      </c>
      <c r="B163" s="3193" t="s">
        <v>3788</v>
      </c>
      <c r="C163" s="3193">
        <v>143.65</v>
      </c>
    </row>
    <row r="164" spans="1:3">
      <c r="A164">
        <v>162</v>
      </c>
      <c r="B164" s="3193" t="s">
        <v>3789</v>
      </c>
      <c r="C164" s="3193">
        <v>144.41999999999999</v>
      </c>
    </row>
    <row r="165" spans="1:3">
      <c r="A165">
        <v>163</v>
      </c>
      <c r="B165" s="3193" t="s">
        <v>3790</v>
      </c>
      <c r="C165" s="3193">
        <v>143.65</v>
      </c>
    </row>
    <row r="166" spans="1:3">
      <c r="A166">
        <v>164</v>
      </c>
      <c r="B166" s="3193" t="s">
        <v>3791</v>
      </c>
      <c r="C166" s="3193">
        <v>144.41999999999999</v>
      </c>
    </row>
    <row r="167" spans="1:3">
      <c r="A167">
        <v>165</v>
      </c>
      <c r="B167" s="3193" t="s">
        <v>3792</v>
      </c>
      <c r="C167" s="3193">
        <v>143.65</v>
      </c>
    </row>
    <row r="168" spans="1:3">
      <c r="A168">
        <v>166</v>
      </c>
      <c r="B168" s="3193" t="s">
        <v>3793</v>
      </c>
      <c r="C168" s="3193">
        <v>144.41999999999999</v>
      </c>
    </row>
    <row r="169" spans="1:3">
      <c r="A169">
        <v>167</v>
      </c>
      <c r="B169" s="3193" t="s">
        <v>3794</v>
      </c>
      <c r="C169" s="3193">
        <v>143.65</v>
      </c>
    </row>
    <row r="170" spans="1:3">
      <c r="A170">
        <v>168</v>
      </c>
      <c r="B170" s="3193" t="s">
        <v>3795</v>
      </c>
      <c r="C170" s="3193">
        <v>144.41999999999999</v>
      </c>
    </row>
    <row r="171" spans="1:3">
      <c r="A171">
        <v>169</v>
      </c>
      <c r="B171" s="3193" t="s">
        <v>3796</v>
      </c>
      <c r="C171" s="3193">
        <v>143.65</v>
      </c>
    </row>
    <row r="172" spans="1:3">
      <c r="A172">
        <v>170</v>
      </c>
      <c r="B172" s="3193" t="s">
        <v>3797</v>
      </c>
      <c r="C172" s="3193">
        <v>144.41999999999999</v>
      </c>
    </row>
    <row r="173" spans="1:3">
      <c r="A173">
        <v>171</v>
      </c>
      <c r="B173" s="3193" t="s">
        <v>3798</v>
      </c>
      <c r="C173" s="3193">
        <v>143.65</v>
      </c>
    </row>
    <row r="174" spans="1:3">
      <c r="A174">
        <v>172</v>
      </c>
      <c r="B174" s="3193" t="s">
        <v>3799</v>
      </c>
      <c r="C174" s="3193">
        <v>144.41999999999999</v>
      </c>
    </row>
    <row r="175" spans="1:3">
      <c r="A175">
        <v>173</v>
      </c>
      <c r="B175" s="3193" t="s">
        <v>3800</v>
      </c>
      <c r="C175" s="3193">
        <v>143.65</v>
      </c>
    </row>
    <row r="176" spans="1:3">
      <c r="A176">
        <v>174</v>
      </c>
      <c r="B176" s="3193" t="s">
        <v>3801</v>
      </c>
      <c r="C176" s="3193">
        <v>144.41999999999999</v>
      </c>
    </row>
    <row r="177" spans="1:3">
      <c r="A177">
        <v>175</v>
      </c>
      <c r="B177" s="3193" t="s">
        <v>3802</v>
      </c>
      <c r="C177" s="3193">
        <v>143.65</v>
      </c>
    </row>
    <row r="178" spans="1:3">
      <c r="A178">
        <v>176</v>
      </c>
      <c r="B178" s="3193" t="s">
        <v>3803</v>
      </c>
      <c r="C178" s="3193">
        <v>144.41999999999999</v>
      </c>
    </row>
    <row r="179" spans="1:3">
      <c r="A179">
        <v>177</v>
      </c>
      <c r="B179" s="3193" t="s">
        <v>3804</v>
      </c>
      <c r="C179" s="3193">
        <v>143.65</v>
      </c>
    </row>
    <row r="180" spans="1:3">
      <c r="A180">
        <v>178</v>
      </c>
      <c r="B180" s="3193" t="s">
        <v>3805</v>
      </c>
      <c r="C180" s="3193">
        <v>144.41999999999999</v>
      </c>
    </row>
    <row r="181" spans="1:3">
      <c r="A181">
        <v>179</v>
      </c>
      <c r="B181" s="3193" t="s">
        <v>3806</v>
      </c>
      <c r="C181" s="3193">
        <v>143.65</v>
      </c>
    </row>
    <row r="182" spans="1:3">
      <c r="A182">
        <v>180</v>
      </c>
      <c r="B182" s="3193" t="s">
        <v>3807</v>
      </c>
      <c r="C182" s="3193">
        <v>144.41999999999999</v>
      </c>
    </row>
    <row r="183" spans="1:3">
      <c r="A183">
        <v>181</v>
      </c>
      <c r="B183" s="3193" t="s">
        <v>3808</v>
      </c>
      <c r="C183" s="3193">
        <v>143.65</v>
      </c>
    </row>
    <row r="184" spans="1:3">
      <c r="A184">
        <v>182</v>
      </c>
      <c r="B184" s="3193" t="s">
        <v>3809</v>
      </c>
      <c r="C184" s="3193">
        <v>144.41999999999999</v>
      </c>
    </row>
    <row r="185" spans="1:3">
      <c r="A185">
        <v>183</v>
      </c>
      <c r="B185" s="3193" t="s">
        <v>3810</v>
      </c>
      <c r="C185" s="3193">
        <v>143.65</v>
      </c>
    </row>
    <row r="186" spans="1:3">
      <c r="A186">
        <v>184</v>
      </c>
      <c r="B186" s="3193" t="s">
        <v>3811</v>
      </c>
      <c r="C186" s="3193">
        <v>144.41999999999999</v>
      </c>
    </row>
    <row r="187" spans="1:3">
      <c r="A187">
        <v>185</v>
      </c>
      <c r="B187" s="3193" t="s">
        <v>3812</v>
      </c>
      <c r="C187" s="3193">
        <v>143.65</v>
      </c>
    </row>
    <row r="188" spans="1:3">
      <c r="A188">
        <v>186</v>
      </c>
      <c r="B188" s="3193" t="s">
        <v>3813</v>
      </c>
      <c r="C188" s="3193">
        <v>144.41999999999999</v>
      </c>
    </row>
    <row r="189" spans="1:3">
      <c r="A189">
        <v>187</v>
      </c>
      <c r="B189" s="3193" t="s">
        <v>3814</v>
      </c>
      <c r="C189" s="3193">
        <v>143.65</v>
      </c>
    </row>
    <row r="190" spans="1:3">
      <c r="A190">
        <v>188</v>
      </c>
      <c r="B190" s="3193" t="s">
        <v>3815</v>
      </c>
      <c r="C190" s="3193">
        <v>144.41999999999999</v>
      </c>
    </row>
    <row r="191" spans="1:3">
      <c r="A191">
        <v>189</v>
      </c>
      <c r="B191" s="3193" t="s">
        <v>3816</v>
      </c>
      <c r="C191" s="3193">
        <v>144.41999999999999</v>
      </c>
    </row>
    <row r="192" spans="1:3">
      <c r="A192">
        <v>190</v>
      </c>
      <c r="B192" s="3193" t="s">
        <v>3817</v>
      </c>
      <c r="C192" s="3193">
        <v>144.41999999999999</v>
      </c>
    </row>
    <row r="193" spans="1:3">
      <c r="A193">
        <v>191</v>
      </c>
      <c r="B193" s="3193" t="s">
        <v>3818</v>
      </c>
      <c r="C193" s="3193">
        <v>144.41999999999999</v>
      </c>
    </row>
    <row r="194" spans="1:3">
      <c r="C194">
        <f>SUM(C3:C193)</f>
        <v>22498.009999999991</v>
      </c>
    </row>
  </sheetData>
  <phoneticPr fontId="134" type="noConversion"/>
  <conditionalFormatting sqref="B14">
    <cfRule type="duplicateValues" dxfId="146"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70" zoomScaleNormal="70" zoomScaleSheetLayoutView="70" workbookViewId="0">
      <selection activeCell="H42" sqref="H42"/>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69"/>
      <c r="C1" s="188"/>
      <c r="D1" s="188"/>
      <c r="E1" s="188"/>
      <c r="F1" s="188"/>
      <c r="G1" s="1057">
        <f>MATCH(B1,'数据-取费表'!A6:A16,0)+5</f>
        <v>9</v>
      </c>
    </row>
    <row r="2" spans="1:9" s="190" customFormat="1" ht="18" customHeight="1">
      <c r="A2" s="191" t="s">
        <v>1462</v>
      </c>
      <c r="B2" s="192">
        <f ca="1">IF(D2="——",C52,C52-E2)</f>
        <v>185923</v>
      </c>
      <c r="C2" s="189" t="s">
        <v>1463</v>
      </c>
      <c r="D2" s="1706" t="s">
        <v>43</v>
      </c>
      <c r="E2" s="1084" t="e">
        <f ca="1">SUMIF(INDIRECT("'"&amp;G2&amp;"'"&amp;"!A:A"),"承租人权益价值",INDIRECT("'"&amp;G2&amp;"'"&amp;"!c:c"))</f>
        <v>#REF!</v>
      </c>
      <c r="F2" s="1707" t="s">
        <v>1463</v>
      </c>
      <c r="G2" s="1708"/>
    </row>
    <row r="3" spans="1:9" s="190" customFormat="1" ht="18" customHeight="1" thickBot="1">
      <c r="A3" s="193" t="s">
        <v>1464</v>
      </c>
      <c r="B3" s="194">
        <f ca="1">ROUND(B2*10000/(IF(B1="",'数据-汇总表'!E3,INDIRECT("'数据-取费表'!k"&amp;$G$1))),0)</f>
        <v>51901</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122182</v>
      </c>
      <c r="D5" s="201" t="s">
        <v>1469</v>
      </c>
      <c r="E5" s="202" t="s">
        <v>1470</v>
      </c>
      <c r="F5" s="202" t="s">
        <v>1471</v>
      </c>
      <c r="G5" s="203"/>
    </row>
    <row r="6" spans="1:9" s="204" customFormat="1" ht="13.5" customHeight="1">
      <c r="A6" s="727" t="s">
        <v>1472</v>
      </c>
      <c r="B6" s="205" t="s">
        <v>1473</v>
      </c>
      <c r="C6" s="206">
        <f>'土地比较法-住宅、综合 '!B2</f>
        <v>117958</v>
      </c>
      <c r="D6" s="207"/>
      <c r="E6" s="208"/>
      <c r="F6" s="208"/>
      <c r="G6" s="209"/>
    </row>
    <row r="7" spans="1:9" s="204" customFormat="1" ht="13.5" customHeight="1">
      <c r="A7" s="727" t="s">
        <v>1474</v>
      </c>
      <c r="B7" s="205" t="s">
        <v>1475</v>
      </c>
      <c r="C7" s="210">
        <f>ROUND(C6*F7,0)</f>
        <v>3598</v>
      </c>
      <c r="D7" s="210"/>
      <c r="E7" s="208"/>
      <c r="F7" s="211">
        <f>IF(项目基本情况!B8="出让",0,'数据-取费表'!B48+'数据-取费表'!B49)</f>
        <v>3.0499999999999999E-2</v>
      </c>
      <c r="G7" s="209"/>
    </row>
    <row r="8" spans="1:9" s="213" customFormat="1">
      <c r="A8" s="727" t="s">
        <v>1476</v>
      </c>
      <c r="B8" s="205" t="s">
        <v>1477</v>
      </c>
      <c r="C8" s="210">
        <f ca="1">IF(G8="已包含在土地购买价格中","0",IF(B1="",'数据-取费表'!B29,IF(G9="全部缴纳",C9+C10,H9)))</f>
        <v>626</v>
      </c>
      <c r="D8" s="212"/>
      <c r="E8" s="210"/>
      <c r="F8" s="211"/>
      <c r="G8" s="1709"/>
    </row>
    <row r="9" spans="1:9" s="204" customFormat="1" ht="13.5" customHeight="1">
      <c r="A9" s="728" t="s">
        <v>355</v>
      </c>
      <c r="B9" s="214" t="s">
        <v>1478</v>
      </c>
      <c r="C9" s="215">
        <f ca="1">ROUND(D9*E9/10000,0)</f>
        <v>360</v>
      </c>
      <c r="D9" s="790">
        <f ca="1">IF(B1="",'数据-汇总表'!E5,IF(INDIRECT("'数据-取费表'!c"&amp;$G$1)="住宅",INDIRECT("'数据-取费表'!k"&amp;$G$1),0))</f>
        <v>22498.01</v>
      </c>
      <c r="E9" s="215">
        <f>'数据-取费表'!B27</f>
        <v>160</v>
      </c>
      <c r="F9" s="211"/>
      <c r="G9" s="1710" t="s">
        <v>3962</v>
      </c>
      <c r="H9" s="1065"/>
      <c r="I9" s="1711" t="s">
        <v>1479</v>
      </c>
    </row>
    <row r="10" spans="1:9" s="204" customFormat="1" ht="13.5" customHeight="1">
      <c r="A10" s="728" t="s">
        <v>356</v>
      </c>
      <c r="B10" s="214" t="s">
        <v>1480</v>
      </c>
      <c r="C10" s="215">
        <f ca="1">ROUND(D10*E10/10000,0)</f>
        <v>266</v>
      </c>
      <c r="D10" s="790">
        <f ca="1">IF(B1="",'数据-汇总表'!E6,IF(INDIRECT("'数据-取费表'!c"&amp;$G$1)="住宅",INDIRECT("'数据-取费表'!s"&amp;$G$1),INDIRECT("'数据-取费表'!k"&amp;$G$1)+INDIRECT("'数据-取费表'!s"&amp;$G$1)))</f>
        <v>13324.600000000002</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35822.61</v>
      </c>
      <c r="E19" s="201">
        <f>'数据-取费表'!B31</f>
        <v>200</v>
      </c>
      <c r="F19" s="221"/>
      <c r="G19" s="1709" t="s">
        <v>3379</v>
      </c>
    </row>
    <row r="20" spans="1:7" s="204" customFormat="1" ht="13.5" customHeight="1">
      <c r="A20" s="245" t="s">
        <v>1493</v>
      </c>
      <c r="B20" s="200" t="s">
        <v>1494</v>
      </c>
      <c r="C20" s="222">
        <f ca="1">ROUND((C5+C19)*F20,0)</f>
        <v>3665</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9958</v>
      </c>
      <c r="D22" s="225">
        <f ca="1">C26</f>
        <v>1.1999999999999999E-3</v>
      </c>
      <c r="E22" s="226" t="s">
        <v>1498</v>
      </c>
      <c r="F22" s="227">
        <f ca="1">'数据-取费表'!B40</f>
        <v>4.1499999999999995E-2</v>
      </c>
      <c r="G22" s="224" t="str">
        <f>IF('数据-取费表'!B22&lt;=1,"单利计息","复利计息")</f>
        <v>复利计息</v>
      </c>
    </row>
    <row r="23" spans="1:7" s="204" customFormat="1" ht="13.5" customHeight="1">
      <c r="A23" s="729" t="s">
        <v>1502</v>
      </c>
      <c r="B23" s="205" t="s">
        <v>1503</v>
      </c>
      <c r="C23" s="1037">
        <f ca="1">ROUND(IF('数据-取费表'!B22&lt;=1,C5*F22*'数据-取费表'!B23,C5*(POWER((1+F22),'数据-取费表'!B23)-1)),0)</f>
        <v>9814</v>
      </c>
      <c r="D23" s="228"/>
      <c r="E23" s="228"/>
      <c r="F23" s="229"/>
      <c r="G23" s="230" t="s">
        <v>1504</v>
      </c>
    </row>
    <row r="24" spans="1:7" s="204" customFormat="1" ht="13.5" customHeight="1">
      <c r="A24" s="729" t="s">
        <v>1505</v>
      </c>
      <c r="B24" s="205" t="s">
        <v>1506</v>
      </c>
      <c r="C24" s="1037">
        <f ca="1">ROUND(IF('数据-取费表'!B22&lt;=1,C19*F22*('数据-取费表'!B19/2+'数据-取费表'!B21),C19*(POWER((1+F22),('数据-取费表'!B19/2+'数据-取费表'!B21))-1)),0)</f>
        <v>0</v>
      </c>
      <c r="D24" s="228"/>
      <c r="E24" s="228"/>
      <c r="F24" s="229"/>
      <c r="G24" s="230" t="s">
        <v>1507</v>
      </c>
    </row>
    <row r="25" spans="1:7" s="204" customFormat="1" ht="24">
      <c r="A25" s="729" t="s">
        <v>1508</v>
      </c>
      <c r="B25" s="205" t="s">
        <v>1509</v>
      </c>
      <c r="C25" s="1037">
        <f ca="1">ROUND(IF('数据-取费表'!B22&lt;=1,C20*F22*'数据-取费表'!B23/2,C20*(POWER((1+F22),'数据-取费表'!B23/2)-1)),0)</f>
        <v>144</v>
      </c>
      <c r="D25" s="228"/>
      <c r="E25" s="231"/>
      <c r="F25" s="229"/>
      <c r="G25" s="232" t="s">
        <v>1510</v>
      </c>
    </row>
    <row r="26" spans="1:7" s="204" customFormat="1">
      <c r="A26" s="729" t="s">
        <v>350</v>
      </c>
      <c r="B26" s="205" t="s">
        <v>1511</v>
      </c>
      <c r="C26" s="228">
        <f ca="1">ROUND(IF('数据-取费表'!B22&lt;=1,F21*F22*'数据-取费表'!B23/2,F21*(POWER((1+F22),'数据-取费表'!B23/2)-1)),4)</f>
        <v>1.1999999999999999E-3</v>
      </c>
      <c r="D26" s="228"/>
      <c r="E26" s="231"/>
      <c r="F26" s="229"/>
      <c r="G26" s="233"/>
    </row>
    <row r="27" spans="1:7" s="204" customFormat="1" ht="26.4">
      <c r="A27" s="245" t="s">
        <v>1512</v>
      </c>
      <c r="B27" s="234" t="s">
        <v>1513</v>
      </c>
      <c r="C27" s="235">
        <f ca="1">C28</f>
        <v>13390</v>
      </c>
      <c r="D27" s="225">
        <f ca="1">C29</f>
        <v>3.2000000000000002E-3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ROUND((C5+C19+C20)*F27*'数据-取费表'!B21/'数据-取费表'!B20,0)</f>
        <v>13390</v>
      </c>
      <c r="D28" s="225"/>
      <c r="E28" s="226"/>
      <c r="F28" s="236"/>
      <c r="G28" s="237"/>
    </row>
    <row r="29" spans="1:7" s="204" customFormat="1" ht="13.5" customHeight="1">
      <c r="A29" s="729" t="s">
        <v>347</v>
      </c>
      <c r="B29" s="238" t="s">
        <v>1517</v>
      </c>
      <c r="C29" s="228">
        <f ca="1">ROUND(C21*F27*'数据-取费表'!B21/'数据-取费表'!B20,4)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163537</v>
      </c>
      <c r="D31" s="220"/>
      <c r="E31" s="201"/>
      <c r="F31" s="240"/>
      <c r="G31" s="224" t="s">
        <v>1522</v>
      </c>
    </row>
    <row r="32" spans="1:7" s="198" customFormat="1" ht="16.2">
      <c r="A32" s="242" t="s">
        <v>1523</v>
      </c>
      <c r="B32" s="243"/>
      <c r="C32" s="243"/>
      <c r="D32" s="243"/>
      <c r="E32" s="243"/>
      <c r="F32" s="243"/>
      <c r="G32" s="244"/>
    </row>
    <row r="33" spans="1:10" s="204" customFormat="1" ht="13.5" customHeight="1">
      <c r="A33" s="245" t="s">
        <v>337</v>
      </c>
      <c r="B33" s="200" t="s">
        <v>1524</v>
      </c>
      <c r="C33" s="246">
        <f ca="1">SUM(C34:C38)</f>
        <v>16793</v>
      </c>
      <c r="D33" s="222"/>
      <c r="E33" s="202"/>
      <c r="F33" s="231"/>
      <c r="G33" s="224"/>
    </row>
    <row r="34" spans="1:10" s="248" customFormat="1" ht="13.5" customHeight="1">
      <c r="A34" s="729" t="s">
        <v>346</v>
      </c>
      <c r="B34" s="205" t="s">
        <v>1525</v>
      </c>
      <c r="C34" s="210">
        <f ca="1">IF(B1="",IF(F34=100%,'数据-取费表'!M16,'数据-取费表'!O16),IF(F34=100%,INDIRECT("'数据-取费表'!m"&amp;$G$1)+INDIRECT("'数据-取费表'!t"&amp;$G$1),INDIRECT("'数据-取费表'!o"&amp;$G$1)+INDIRECT("'数据-取费表'!aq"&amp;$G$1)))</f>
        <v>15232</v>
      </c>
      <c r="D34" s="207"/>
      <c r="E34" s="210"/>
      <c r="F34" s="247">
        <f ca="1">IF('数据-取费表'!B24=0,1,IF(B1="",'数据-取费表'!N16,INDIRECT("'数据-取费表'!n"&amp;$G$1)))</f>
        <v>0.76300000000000001</v>
      </c>
      <c r="G34" s="209" t="s">
        <v>1526</v>
      </c>
      <c r="H34" s="248">
        <f>6500*22498.01*76.3%/10000+4000*1909.58*76.3%/10000+4000*11415.02*76.3%/10000</f>
        <v>15224.555979499999</v>
      </c>
    </row>
    <row r="35" spans="1:10" ht="13.5" customHeight="1">
      <c r="A35" s="729" t="s">
        <v>351</v>
      </c>
      <c r="B35" s="205" t="s">
        <v>1527</v>
      </c>
      <c r="C35" s="210">
        <f ca="1">ROUND(C34*F35,0)</f>
        <v>457</v>
      </c>
      <c r="D35" s="210"/>
      <c r="E35" s="210"/>
      <c r="F35" s="249">
        <f>'数据-取费表'!B33</f>
        <v>0.03</v>
      </c>
      <c r="G35" s="209" t="s">
        <v>1528</v>
      </c>
    </row>
    <row r="36" spans="1:10" ht="24">
      <c r="A36" s="729" t="s">
        <v>352</v>
      </c>
      <c r="B36" s="205" t="s">
        <v>1529</v>
      </c>
      <c r="C36" s="210">
        <f ca="1">ROUND(IF(B1="",SUMIF('数据-取费表'!C:C,"住宅",IF(F34=100%,'数据-取费表'!M:M,'数据-取费表'!O:O))*F36,IF(INDIRECT("'数据-取费表'!c"&amp;$G$1)="住宅",IF(F34=100%,INDIRECT("'数据-取费表'!m"&amp;$G$1)*F36,INDIRECT("'数据-取费表'!o"&amp;$G$1)*F36),0)),0)</f>
        <v>329</v>
      </c>
      <c r="D36" s="210"/>
      <c r="E36" s="210"/>
      <c r="F36" s="249">
        <f>'数据-取费表'!B34</f>
        <v>0.03</v>
      </c>
      <c r="G36" s="250" t="s">
        <v>1530</v>
      </c>
      <c r="H36" s="241">
        <f>6500*22498.01*75%*3%/10000</f>
        <v>329.03339625000001</v>
      </c>
    </row>
    <row r="37" spans="1:10" s="248" customFormat="1" ht="13.5" customHeight="1">
      <c r="A37" s="729" t="s">
        <v>353</v>
      </c>
      <c r="B37" s="205" t="s">
        <v>1531</v>
      </c>
      <c r="C37" s="239">
        <f ca="1">ROUND(E37*D37*F34/10000,0)</f>
        <v>547</v>
      </c>
      <c r="D37" s="207">
        <f ca="1">D19</f>
        <v>35822.61</v>
      </c>
      <c r="E37" s="239">
        <f>'数据-取费表'!B35</f>
        <v>200</v>
      </c>
      <c r="F37" s="249"/>
      <c r="G37" s="251" t="s">
        <v>1532</v>
      </c>
      <c r="H37" s="248">
        <f>200*35822.61/10000*76.3%</f>
        <v>546.65302859999997</v>
      </c>
      <c r="J37" s="248">
        <f>162701+22386</f>
        <v>185087</v>
      </c>
    </row>
    <row r="38" spans="1:10" ht="13.5" customHeight="1">
      <c r="A38" s="729" t="s">
        <v>354</v>
      </c>
      <c r="B38" s="205" t="s">
        <v>1533</v>
      </c>
      <c r="C38" s="210">
        <f ca="1">ROUND(C34*F38,0)</f>
        <v>228</v>
      </c>
      <c r="D38" s="210"/>
      <c r="E38" s="210"/>
      <c r="F38" s="249">
        <f>'数据-取费表'!B36</f>
        <v>1.4999999999999999E-2</v>
      </c>
      <c r="G38" s="209" t="s">
        <v>1528</v>
      </c>
    </row>
    <row r="39" spans="1:10" s="204" customFormat="1" ht="13.5" customHeight="1">
      <c r="A39" s="245" t="s">
        <v>1534</v>
      </c>
      <c r="B39" s="200" t="s">
        <v>1535</v>
      </c>
      <c r="C39" s="222">
        <f ca="1">ROUND(C33*F20,0)</f>
        <v>504</v>
      </c>
      <c r="D39" s="222"/>
      <c r="E39" s="222"/>
      <c r="F39" s="223">
        <f>F20</f>
        <v>0.03</v>
      </c>
      <c r="G39" s="224" t="s">
        <v>1536</v>
      </c>
    </row>
    <row r="40" spans="1:10" s="204" customFormat="1" ht="13.5" customHeight="1">
      <c r="A40" s="245" t="s">
        <v>1537</v>
      </c>
      <c r="B40" s="200" t="s">
        <v>1538</v>
      </c>
      <c r="C40" s="225">
        <f>F21</f>
        <v>0.03</v>
      </c>
      <c r="D40" s="226" t="s">
        <v>1539</v>
      </c>
      <c r="E40" s="222"/>
      <c r="F40" s="223">
        <f>F21</f>
        <v>0.03</v>
      </c>
      <c r="G40" s="224" t="s">
        <v>1540</v>
      </c>
    </row>
    <row r="41" spans="1:10" s="204" customFormat="1" ht="13.5" customHeight="1">
      <c r="A41" s="245" t="s">
        <v>1541</v>
      </c>
      <c r="B41" s="200" t="s">
        <v>1542</v>
      </c>
      <c r="C41" s="222">
        <f ca="1">ROUND(SUM(C42:C43),0)</f>
        <v>681</v>
      </c>
      <c r="D41" s="225">
        <f ca="1">C44</f>
        <v>1.1999999999999999E-3</v>
      </c>
      <c r="E41" s="226" t="s">
        <v>1539</v>
      </c>
      <c r="F41" s="227">
        <f ca="1">F22</f>
        <v>4.1499999999999995E-2</v>
      </c>
      <c r="G41" s="224" t="str">
        <f>IF('数据-取费表'!B22&lt;=1,"单利计息","复利计息")</f>
        <v>复利计息</v>
      </c>
    </row>
    <row r="42" spans="1:10" ht="13.5" customHeight="1">
      <c r="A42" s="729" t="s">
        <v>346</v>
      </c>
      <c r="B42" s="205" t="s">
        <v>1543</v>
      </c>
      <c r="C42" s="228">
        <f ca="1">ROUND(IF('数据-取费表'!B22&lt;=1,C33*F22*'数据-取费表'!B21/2,C33*(POWER((1+F22),'数据-取费表'!B21/2)-1)),0)</f>
        <v>661</v>
      </c>
      <c r="D42" s="228"/>
      <c r="E42" s="228"/>
      <c r="F42" s="229"/>
      <c r="G42" s="3403" t="s">
        <v>1544</v>
      </c>
      <c r="H42" s="241">
        <f>(16793+504)*((1+4.15%)^(1.9/2)-1)</f>
        <v>681.23678159074291</v>
      </c>
    </row>
    <row r="43" spans="1:10" ht="13.5" customHeight="1">
      <c r="A43" s="729" t="s">
        <v>347</v>
      </c>
      <c r="B43" s="205" t="s">
        <v>1545</v>
      </c>
      <c r="C43" s="228">
        <f ca="1">ROUND(IF('数据-取费表'!B22&lt;=1,C39*F22*'数据-取费表'!B21/2,C39*(POWER((1+F22),'数据-取费表'!B21/2)-1)),0)</f>
        <v>20</v>
      </c>
      <c r="D43" s="228"/>
      <c r="E43" s="228"/>
      <c r="F43" s="229"/>
      <c r="G43" s="3404"/>
    </row>
    <row r="44" spans="1:10" ht="13.5" customHeight="1">
      <c r="A44" s="729" t="s">
        <v>348</v>
      </c>
      <c r="B44" s="205" t="s">
        <v>1546</v>
      </c>
      <c r="C44" s="228">
        <f ca="1">ROUND(IF('数据-取费表'!B22&lt;=1,C40*F22*'数据-取费表'!B21/2,C40*(POWER((1+F22),'数据-取费表'!B21/2)-1)),4)</f>
        <v>1.1999999999999999E-3</v>
      </c>
      <c r="D44" s="228"/>
      <c r="E44" s="228"/>
      <c r="F44" s="229"/>
      <c r="G44" s="3405"/>
    </row>
    <row r="45" spans="1:10" s="204" customFormat="1" ht="13.5" customHeight="1">
      <c r="A45" s="245" t="s">
        <v>1547</v>
      </c>
      <c r="B45" s="234" t="s">
        <v>1513</v>
      </c>
      <c r="C45" s="235">
        <f ca="1">C46</f>
        <v>2422</v>
      </c>
      <c r="D45" s="225">
        <f ca="1">C47</f>
        <v>4.1999999999999997E-3</v>
      </c>
      <c r="E45" s="226" t="s">
        <v>1539</v>
      </c>
      <c r="F45" s="236">
        <f ca="1">F27</f>
        <v>0.14000000000000001</v>
      </c>
      <c r="G45" s="237" t="s">
        <v>1548</v>
      </c>
      <c r="H45" s="204">
        <f>16793+504</f>
        <v>17297</v>
      </c>
    </row>
    <row r="46" spans="1:10" s="204" customFormat="1" ht="13.5" customHeight="1">
      <c r="A46" s="729" t="s">
        <v>346</v>
      </c>
      <c r="B46" s="238" t="s">
        <v>1549</v>
      </c>
      <c r="C46" s="239">
        <f ca="1">ROUND((C33+C39)*F27,0)</f>
        <v>2422</v>
      </c>
      <c r="D46" s="253"/>
      <c r="E46" s="226"/>
      <c r="F46" s="236"/>
      <c r="G46" s="237"/>
      <c r="H46" s="204">
        <v>0.9113</v>
      </c>
    </row>
    <row r="47" spans="1:10" s="204" customFormat="1" ht="13.5" customHeight="1">
      <c r="A47" s="729" t="s">
        <v>347</v>
      </c>
      <c r="B47" s="238" t="s">
        <v>1550</v>
      </c>
      <c r="C47" s="228">
        <f ca="1">ROUND(C40*F27,4)</f>
        <v>4.1999999999999997E-3</v>
      </c>
      <c r="D47" s="253"/>
      <c r="E47" s="226"/>
      <c r="F47" s="236"/>
      <c r="G47" s="237"/>
    </row>
    <row r="48" spans="1:10"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22386</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22386</v>
      </c>
      <c r="D51" s="222"/>
      <c r="E51" s="222"/>
      <c r="F51" s="254"/>
      <c r="G51" s="224" t="s">
        <v>1560</v>
      </c>
    </row>
    <row r="52" spans="1:7" s="198" customFormat="1" ht="16.8" thickBot="1">
      <c r="A52" s="255" t="s">
        <v>1561</v>
      </c>
      <c r="B52" s="256"/>
      <c r="C52" s="257">
        <f ca="1">C31+C51</f>
        <v>185923</v>
      </c>
      <c r="D52" s="256"/>
      <c r="E52" s="256"/>
      <c r="F52" s="256"/>
      <c r="G52" s="258"/>
    </row>
    <row r="55" spans="1:7" ht="15">
      <c r="B55" s="260" t="s">
        <v>1562</v>
      </c>
      <c r="C55" s="261"/>
    </row>
    <row r="56" spans="1:7">
      <c r="B56" s="263" t="s">
        <v>802</v>
      </c>
      <c r="C56" s="265">
        <f ca="1">1-C57</f>
        <v>0.88</v>
      </c>
    </row>
    <row r="57" spans="1:7">
      <c r="B57" s="263" t="s">
        <v>803</v>
      </c>
      <c r="C57" s="264">
        <f ca="1">ROUND(C51/C52,3)</f>
        <v>0.12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0" zoomScaleNormal="60" zoomScaleSheetLayoutView="80" workbookViewId="0">
      <selection activeCell="H50" sqref="H50"/>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6.88671875" style="345" customWidth="1"/>
    <col min="6" max="6" width="18.109375" style="345" customWidth="1"/>
    <col min="7" max="7" width="15.88671875" style="345" customWidth="1"/>
    <col min="8" max="8" width="12.21875" style="345" customWidth="1"/>
    <col min="9" max="9" width="16.7773437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8"/>
      <c r="E1" s="648"/>
      <c r="F1" s="647" t="s">
        <v>1663</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685</v>
      </c>
      <c r="B2" s="589">
        <f>F65</f>
        <v>117958</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686</v>
      </c>
      <c r="B3" s="534">
        <f>ROUND(IF(D3="",B2*10000/'数据-汇总表'!E3,B2*10000/D3),0)</f>
        <v>32928</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4.4">
      <c r="A4" s="343" t="s">
        <v>1666</v>
      </c>
      <c r="B4" s="344"/>
      <c r="C4" s="3409" t="s">
        <v>1667</v>
      </c>
      <c r="D4" s="3410"/>
      <c r="E4" s="3411" t="s">
        <v>1668</v>
      </c>
      <c r="F4" s="3412"/>
      <c r="G4" s="3409" t="s">
        <v>1669</v>
      </c>
      <c r="H4" s="3410"/>
      <c r="I4" s="3409" t="s">
        <v>1670</v>
      </c>
      <c r="J4" s="3410"/>
      <c r="K4" s="535" t="s">
        <v>1671</v>
      </c>
      <c r="L4" s="2479"/>
      <c r="M4" s="2480"/>
      <c r="N4" s="2480"/>
      <c r="O4" s="2480"/>
      <c r="P4" s="3413" t="s">
        <v>1672</v>
      </c>
      <c r="Q4" s="3414"/>
      <c r="R4" s="3419" t="s">
        <v>1668</v>
      </c>
      <c r="S4" s="3420"/>
      <c r="T4" s="3419" t="s">
        <v>1669</v>
      </c>
      <c r="U4" s="3420"/>
      <c r="V4" s="3433" t="s">
        <v>1670</v>
      </c>
      <c r="W4" s="3433"/>
      <c r="X4" s="1260"/>
      <c r="Y4" s="3419" t="s">
        <v>1672</v>
      </c>
      <c r="Z4" s="3420"/>
      <c r="AA4" s="3406" t="s">
        <v>1668</v>
      </c>
      <c r="AB4" s="3407" t="s">
        <v>1669</v>
      </c>
      <c r="AC4" s="3406" t="s">
        <v>1670</v>
      </c>
    </row>
    <row r="5" spans="1:29" ht="79.5" customHeight="1">
      <c r="A5" s="346"/>
      <c r="B5" s="347"/>
      <c r="C5" s="3423" t="s">
        <v>1673</v>
      </c>
      <c r="D5" s="3424"/>
      <c r="E5" s="3425" t="str">
        <f>土地案例!B10</f>
        <v>北京市朝阳区崔各庄乡黑桥村、南皋村棚户区改造土地开发项目30-L03-01地块R2二类居住用地等(配建“保障性租赁住房”)</v>
      </c>
      <c r="F5" s="3426"/>
      <c r="G5" s="3423" t="str">
        <f>土地案例!B21</f>
        <v>北京市朝阳区崔各庄乡黑桥村、南皋村棚户区改造项目30-L01-01地块R2二类居住用地(配建“公共租赁住房”)</v>
      </c>
      <c r="H5" s="3424"/>
      <c r="I5" s="3423" t="str">
        <f>土地案例!B28</f>
        <v>北京市朝阳区东坝北东南一期土地储备项目1104-611地块R2二类居住用地</v>
      </c>
      <c r="J5" s="3424"/>
      <c r="K5" s="535"/>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f>土地案例!K10</f>
        <v>44609.000497685185</v>
      </c>
      <c r="F7" s="355">
        <f>SUMIF(69:69,YEAR(E7)&amp;"-"&amp;INT((MONTH(E7)+2)/3),70:70)</f>
        <v>97.5</v>
      </c>
      <c r="G7" s="1815">
        <f>土地案例!K21</f>
        <v>44326.000497685185</v>
      </c>
      <c r="H7" s="353">
        <f>SUMIF(69:69,YEAR(G7)&amp;"-"&amp;INT((MONTH(G7)+2)/3),70:70)</f>
        <v>96</v>
      </c>
      <c r="I7" s="1815">
        <f>土地案例!K28</f>
        <v>44179.000497685185</v>
      </c>
      <c r="J7" s="353">
        <f>SUMIF(69:69,YEAR(I7)&amp;"-"&amp;INT((MONTH(I7)+2)/3),70:70)</f>
        <v>95</v>
      </c>
      <c r="K7" s="37"/>
      <c r="L7" s="2481"/>
      <c r="M7" s="2432"/>
      <c r="N7" s="2432"/>
      <c r="O7" s="2432"/>
      <c r="P7" s="3434" t="s">
        <v>1680</v>
      </c>
      <c r="Q7" s="3435"/>
      <c r="R7" s="661" t="s">
        <v>14</v>
      </c>
      <c r="S7" s="662">
        <f t="shared" ref="S7:S15" si="0">F7</f>
        <v>97.5</v>
      </c>
      <c r="T7" s="661" t="s">
        <v>14</v>
      </c>
      <c r="U7" s="662">
        <f t="shared" ref="U7:U15" si="1">H7</f>
        <v>96</v>
      </c>
      <c r="V7" s="661" t="s">
        <v>14</v>
      </c>
      <c r="W7" s="662">
        <f t="shared" ref="W7:W15" si="2">J7</f>
        <v>95</v>
      </c>
      <c r="X7" s="663"/>
      <c r="Y7" s="3434" t="s">
        <v>1680</v>
      </c>
      <c r="Z7" s="3436"/>
      <c r="AA7" s="49">
        <f>D7/F7</f>
        <v>1.0256410256410255</v>
      </c>
      <c r="AB7" s="49">
        <f>D7/H7</f>
        <v>1.0416666666666667</v>
      </c>
      <c r="AC7" s="49">
        <f>D7/J7</f>
        <v>1.0526315789473684</v>
      </c>
    </row>
    <row r="8" spans="1:29" s="100" customFormat="1" ht="1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5" si="3">D8/F8</f>
        <v>1</v>
      </c>
      <c r="AB8" s="49">
        <f t="shared" ref="AB8:AB45" si="4">D8/H8</f>
        <v>1</v>
      </c>
      <c r="AC8" s="49">
        <f t="shared" ref="AC8:AC45" si="5">D8/J8</f>
        <v>1</v>
      </c>
    </row>
    <row r="9" spans="1:29" s="100" customFormat="1" ht="14.4">
      <c r="A9" s="357" t="s">
        <v>1684</v>
      </c>
      <c r="B9" s="59" t="s">
        <v>1685</v>
      </c>
      <c r="C9" s="1818" t="s">
        <v>3373</v>
      </c>
      <c r="D9" s="58">
        <v>100</v>
      </c>
      <c r="E9" s="1818" t="s">
        <v>3534</v>
      </c>
      <c r="F9" s="58">
        <f>SUMIF(74:74,E9,75:75)-SUMIF(74:74,C9,75:75)+100</f>
        <v>98</v>
      </c>
      <c r="G9" s="1818" t="s">
        <v>3373</v>
      </c>
      <c r="H9" s="58">
        <f>SUMIF(74:74,G9,75:75)-SUMIF(74:74,C9,75:75)+100</f>
        <v>100</v>
      </c>
      <c r="I9" s="1818" t="s">
        <v>3373</v>
      </c>
      <c r="J9" s="58">
        <f>SUMIF(74:74,I9,75:75)-SUMIF(74:74,C9,75:75)+100</f>
        <v>100</v>
      </c>
      <c r="K9" s="37"/>
      <c r="L9" s="2481"/>
      <c r="M9" s="2432"/>
      <c r="N9" s="2432"/>
      <c r="O9" s="2533"/>
      <c r="P9" s="3437" t="s">
        <v>1686</v>
      </c>
      <c r="Q9" s="528" t="str">
        <f t="shared" ref="Q9:Q15" si="6">B9</f>
        <v>用途</v>
      </c>
      <c r="R9" s="661" t="s">
        <v>14</v>
      </c>
      <c r="S9" s="662">
        <f t="shared" si="0"/>
        <v>98</v>
      </c>
      <c r="T9" s="661" t="s">
        <v>14</v>
      </c>
      <c r="U9" s="662">
        <f t="shared" si="1"/>
        <v>100</v>
      </c>
      <c r="V9" s="661" t="s">
        <v>14</v>
      </c>
      <c r="W9" s="662">
        <f t="shared" si="2"/>
        <v>100</v>
      </c>
      <c r="X9" s="663"/>
      <c r="Y9" s="3379" t="s">
        <v>1687</v>
      </c>
      <c r="Z9" s="49" t="str">
        <f t="shared" ref="Z9:Z15" si="7">Q9</f>
        <v>用途</v>
      </c>
      <c r="AA9" s="49">
        <f t="shared" si="3"/>
        <v>1.0204081632653061</v>
      </c>
      <c r="AB9" s="49">
        <f t="shared" si="4"/>
        <v>1</v>
      </c>
      <c r="AC9" s="49">
        <f t="shared" si="5"/>
        <v>1</v>
      </c>
    </row>
    <row r="10" spans="1:29" s="364" customFormat="1" ht="28.8">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v>2.8</v>
      </c>
      <c r="D11" s="117">
        <v>100</v>
      </c>
      <c r="E11" s="366">
        <v>2.5</v>
      </c>
      <c r="F11" s="117">
        <f>LOOKUP(E11,79:79,80:80)-LOOKUP(C11,79:79,80:80)+100</f>
        <v>100</v>
      </c>
      <c r="G11" s="367">
        <v>2.5</v>
      </c>
      <c r="H11" s="117">
        <f>LOOKUP(G11,79:79,80:80)-LOOKUP(C11,79:79,80:80)+100</f>
        <v>100</v>
      </c>
      <c r="I11" s="366">
        <v>2.8</v>
      </c>
      <c r="J11" s="117">
        <f>LOOKUP(I11,79:79,80:80)-LOOKUP(C11,79:79,80:80)+100</f>
        <v>100</v>
      </c>
      <c r="K11" s="591">
        <v>5</v>
      </c>
      <c r="L11" s="2484"/>
      <c r="M11" s="2480"/>
      <c r="N11" s="2480"/>
      <c r="O11" s="2535"/>
      <c r="P11" s="3437"/>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49">
        <f t="shared" si="5"/>
        <v>1</v>
      </c>
    </row>
    <row r="12" spans="1:29" s="100" customFormat="1" ht="15">
      <c r="A12" s="368"/>
      <c r="B12" s="3161" t="s">
        <v>3556</v>
      </c>
      <c r="C12" s="3177" t="s">
        <v>3538</v>
      </c>
      <c r="D12" s="370">
        <v>100</v>
      </c>
      <c r="E12" s="3166" t="s">
        <v>3541</v>
      </c>
      <c r="F12" s="117">
        <f>SUMIF(81:81,E12,82:82)-SUMIF(81:81,C12,82:82)+100</f>
        <v>95</v>
      </c>
      <c r="G12" s="3167" t="s">
        <v>3541</v>
      </c>
      <c r="H12" s="117">
        <f>SUMIF(81:81,G12,82:82)-SUMIF(81:81,C12,82:82)+100</f>
        <v>95</v>
      </c>
      <c r="I12" s="3166" t="s">
        <v>3538</v>
      </c>
      <c r="J12" s="117">
        <f>SUMIF(81:81,I12,82:82)-SUMIF(81:81,C12,82:82)+100</f>
        <v>100</v>
      </c>
      <c r="K12" s="590"/>
      <c r="L12" s="2481"/>
      <c r="M12" s="2432"/>
      <c r="N12" s="2432"/>
      <c r="O12" s="2533"/>
      <c r="P12" s="3437"/>
      <c r="Q12" s="528" t="str">
        <f t="shared" si="6"/>
        <v>配建</v>
      </c>
      <c r="R12" s="661" t="s">
        <v>14</v>
      </c>
      <c r="S12" s="662">
        <f t="shared" si="0"/>
        <v>95</v>
      </c>
      <c r="T12" s="661" t="s">
        <v>14</v>
      </c>
      <c r="U12" s="662">
        <f t="shared" si="1"/>
        <v>95</v>
      </c>
      <c r="V12" s="661" t="s">
        <v>14</v>
      </c>
      <c r="W12" s="662">
        <f t="shared" si="2"/>
        <v>100</v>
      </c>
      <c r="X12" s="663"/>
      <c r="Y12" s="3379"/>
      <c r="Z12" s="49" t="str">
        <f t="shared" si="7"/>
        <v>配建</v>
      </c>
      <c r="AA12" s="49">
        <f>D12/F12</f>
        <v>1.0526315789473684</v>
      </c>
      <c r="AB12" s="49">
        <f>D12/H12</f>
        <v>1.0526315789473684</v>
      </c>
      <c r="AC12" s="49">
        <f>D12/J12</f>
        <v>1</v>
      </c>
    </row>
    <row r="13" spans="1:29" ht="15">
      <c r="A13" s="365"/>
      <c r="B13" s="3161" t="s">
        <v>3536</v>
      </c>
      <c r="C13" s="3165" t="s">
        <v>3517</v>
      </c>
      <c r="D13" s="372">
        <v>100</v>
      </c>
      <c r="E13" s="3173" t="s">
        <v>3539</v>
      </c>
      <c r="F13" s="117">
        <f>SUMIF(83:83,E13,84:84)-SUMIF(83:83,C13,84:84)+100</f>
        <v>98</v>
      </c>
      <c r="G13" s="3174" t="s">
        <v>3517</v>
      </c>
      <c r="H13" s="372">
        <f>SUMIF(83:83,G13,84:84)-SUMIF(83:83,C13,84:84)+100</f>
        <v>100</v>
      </c>
      <c r="I13" s="3174" t="s">
        <v>3538</v>
      </c>
      <c r="J13" s="372">
        <f>SUMIF(83:83,I13,84:84)-SUMIF(83:83,C13,84:84)+100</f>
        <v>100</v>
      </c>
      <c r="K13" s="590"/>
      <c r="L13" s="2485"/>
      <c r="M13" s="2480"/>
      <c r="N13" s="2480"/>
      <c r="O13" s="2535"/>
      <c r="P13" s="3437"/>
      <c r="Q13" s="528" t="str">
        <f t="shared" si="6"/>
        <v>限制现房</v>
      </c>
      <c r="R13" s="661" t="s">
        <v>14</v>
      </c>
      <c r="S13" s="662">
        <f t="shared" si="0"/>
        <v>98</v>
      </c>
      <c r="T13" s="661" t="s">
        <v>14</v>
      </c>
      <c r="U13" s="662">
        <f t="shared" si="1"/>
        <v>100</v>
      </c>
      <c r="V13" s="661" t="s">
        <v>14</v>
      </c>
      <c r="W13" s="662">
        <f t="shared" si="2"/>
        <v>100</v>
      </c>
      <c r="X13" s="663"/>
      <c r="Y13" s="3379"/>
      <c r="Z13" s="49" t="str">
        <f t="shared" si="7"/>
        <v>限制现房</v>
      </c>
      <c r="AA13" s="49">
        <f>D13/F13</f>
        <v>1.0204081632653061</v>
      </c>
      <c r="AB13" s="49">
        <f>D13/H13</f>
        <v>1</v>
      </c>
      <c r="AC13" s="49">
        <f>D13/J13</f>
        <v>1</v>
      </c>
    </row>
    <row r="14" spans="1:29" ht="15.6" thickBot="1">
      <c r="A14" s="373"/>
      <c r="B14" s="3162" t="s">
        <v>3537</v>
      </c>
      <c r="C14" s="3175" t="s">
        <v>3538</v>
      </c>
      <c r="D14" s="375">
        <v>100</v>
      </c>
      <c r="E14" s="3173" t="s">
        <v>3538</v>
      </c>
      <c r="F14" s="375">
        <f>SUMIF(85:85,E14,86:86)-SUMIF(85:85,C14,86:86)+100</f>
        <v>100</v>
      </c>
      <c r="G14" s="3174" t="s">
        <v>3538</v>
      </c>
      <c r="H14" s="375">
        <f>SUMIF(85:85,G14,86:86)-SUMIF(85:85,C14,86:86)+100</f>
        <v>100</v>
      </c>
      <c r="I14" s="3174" t="s">
        <v>3539</v>
      </c>
      <c r="J14" s="375">
        <f>SUMIF(85:85,I14,86:86)-SUMIF(85:85,C14,86:86)+100</f>
        <v>97</v>
      </c>
      <c r="K14" s="590"/>
      <c r="L14" s="2485"/>
      <c r="M14" s="2480"/>
      <c r="N14" s="2480"/>
      <c r="O14" s="2535"/>
      <c r="P14" s="3437"/>
      <c r="Q14" s="528" t="str">
        <f t="shared" si="6"/>
        <v>自持</v>
      </c>
      <c r="R14" s="661" t="s">
        <v>14</v>
      </c>
      <c r="S14" s="662">
        <f t="shared" si="0"/>
        <v>100</v>
      </c>
      <c r="T14" s="661" t="s">
        <v>14</v>
      </c>
      <c r="U14" s="662">
        <f t="shared" si="1"/>
        <v>100</v>
      </c>
      <c r="V14" s="661" t="s">
        <v>14</v>
      </c>
      <c r="W14" s="662">
        <f t="shared" si="2"/>
        <v>97</v>
      </c>
      <c r="X14" s="663"/>
      <c r="Y14" s="3379"/>
      <c r="Z14" s="49" t="str">
        <f t="shared" si="7"/>
        <v>自持</v>
      </c>
      <c r="AA14" s="49">
        <f>D14/F14</f>
        <v>1</v>
      </c>
      <c r="AB14" s="49">
        <f>D14/H14</f>
        <v>1</v>
      </c>
      <c r="AC14" s="49">
        <f>D14/J14</f>
        <v>1.0309278350515463</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v>3</v>
      </c>
      <c r="L15" s="2485"/>
      <c r="M15" s="2480"/>
      <c r="N15" s="2480"/>
      <c r="O15" s="2535"/>
      <c r="P15" s="3438" t="s">
        <v>1691</v>
      </c>
      <c r="Q15" s="1258" t="str">
        <f t="shared" si="6"/>
        <v>居住社区成熟度</v>
      </c>
      <c r="R15" s="664" t="s">
        <v>14</v>
      </c>
      <c r="S15" s="665">
        <f t="shared" si="0"/>
        <v>100</v>
      </c>
      <c r="T15" s="664" t="s">
        <v>14</v>
      </c>
      <c r="U15" s="665">
        <f t="shared" si="1"/>
        <v>100</v>
      </c>
      <c r="V15" s="664" t="s">
        <v>14</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t="s">
        <v>3387</v>
      </c>
      <c r="D16" s="385"/>
      <c r="E16" s="1746" t="s">
        <v>3387</v>
      </c>
      <c r="F16" s="385"/>
      <c r="G16" s="1746" t="s">
        <v>3387</v>
      </c>
      <c r="H16" s="387"/>
      <c r="I16" s="1745" t="s">
        <v>3387</v>
      </c>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9"/>
      <c r="Q17" s="1258" t="str">
        <f>B17</f>
        <v>商业繁华度</v>
      </c>
      <c r="R17" s="664" t="s">
        <v>14</v>
      </c>
      <c r="S17" s="665">
        <f>F17</f>
        <v>100</v>
      </c>
      <c r="T17" s="664" t="s">
        <v>14</v>
      </c>
      <c r="U17" s="665">
        <f>H17</f>
        <v>100</v>
      </c>
      <c r="V17" s="664" t="s">
        <v>14</v>
      </c>
      <c r="W17" s="665">
        <f>J17</f>
        <v>100</v>
      </c>
      <c r="X17" s="1260"/>
      <c r="Y17" s="3439"/>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9"/>
      <c r="Q19" s="1258" t="str">
        <f>B19</f>
        <v>办公集聚程度</v>
      </c>
      <c r="R19" s="664" t="s">
        <v>14</v>
      </c>
      <c r="S19" s="665">
        <f>F19</f>
        <v>100</v>
      </c>
      <c r="T19" s="664" t="s">
        <v>14</v>
      </c>
      <c r="U19" s="665">
        <f>H19</f>
        <v>100</v>
      </c>
      <c r="V19" s="664" t="s">
        <v>14</v>
      </c>
      <c r="W19" s="665">
        <f>J19</f>
        <v>100</v>
      </c>
      <c r="X19" s="1260"/>
      <c r="Y19" s="3439"/>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39"/>
      <c r="Q20" s="1258"/>
      <c r="R20" s="664"/>
      <c r="S20" s="665"/>
      <c r="T20" s="664"/>
      <c r="U20" s="665"/>
      <c r="V20" s="664"/>
      <c r="W20" s="665"/>
      <c r="X20" s="1260"/>
      <c r="Y20" s="3439"/>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v>2</v>
      </c>
      <c r="L21" s="2485"/>
      <c r="M21" s="2480"/>
      <c r="N21" s="2480"/>
      <c r="O21" s="2535"/>
      <c r="P21" s="3439"/>
      <c r="Q21" s="1258" t="str">
        <f>B21</f>
        <v>交通便捷度</v>
      </c>
      <c r="R21" s="664" t="s">
        <v>14</v>
      </c>
      <c r="S21" s="665">
        <f>F21</f>
        <v>100</v>
      </c>
      <c r="T21" s="664" t="s">
        <v>14</v>
      </c>
      <c r="U21" s="665">
        <f>H21</f>
        <v>100</v>
      </c>
      <c r="V21" s="664" t="s">
        <v>14</v>
      </c>
      <c r="W21" s="665">
        <f>J21</f>
        <v>100</v>
      </c>
      <c r="X21" s="1260"/>
      <c r="Y21" s="3439"/>
      <c r="Z21" s="1259" t="str">
        <f>Q21</f>
        <v>交通便捷度</v>
      </c>
      <c r="AA21" s="1259">
        <f t="shared" si="3"/>
        <v>1</v>
      </c>
      <c r="AB21" s="1259">
        <f t="shared" si="4"/>
        <v>1</v>
      </c>
      <c r="AC21" s="1259">
        <f t="shared" si="5"/>
        <v>1</v>
      </c>
    </row>
    <row r="22" spans="1:29" ht="15">
      <c r="A22" s="365"/>
      <c r="B22" s="584"/>
      <c r="C22" s="384" t="s">
        <v>3387</v>
      </c>
      <c r="D22" s="387"/>
      <c r="E22" s="1746" t="s">
        <v>3387</v>
      </c>
      <c r="F22" s="385"/>
      <c r="G22" s="1746" t="s">
        <v>3387</v>
      </c>
      <c r="H22" s="385"/>
      <c r="I22" s="1745" t="s">
        <v>3387</v>
      </c>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ht="28.8">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85"/>
      <c r="M23" s="2480"/>
      <c r="N23" s="2480"/>
      <c r="O23" s="2535"/>
      <c r="P23" s="3439"/>
      <c r="Q23" s="1258" t="str">
        <f t="shared" ref="Q23:Q37" si="8">B23</f>
        <v>区域土地利用方向</v>
      </c>
      <c r="R23" s="664" t="s">
        <v>14</v>
      </c>
      <c r="S23" s="665">
        <f>F23</f>
        <v>100</v>
      </c>
      <c r="T23" s="664" t="s">
        <v>14</v>
      </c>
      <c r="U23" s="665">
        <f>H23</f>
        <v>100</v>
      </c>
      <c r="V23" s="664" t="s">
        <v>14</v>
      </c>
      <c r="W23" s="665">
        <f>J23</f>
        <v>100</v>
      </c>
      <c r="X23" s="1260"/>
      <c r="Y23" s="3439"/>
      <c r="Z23" s="1259" t="str">
        <f>Q23</f>
        <v>区域土地利用方向</v>
      </c>
      <c r="AA23" s="1259">
        <f t="shared" si="3"/>
        <v>1</v>
      </c>
      <c r="AB23" s="1259">
        <f t="shared" si="4"/>
        <v>1</v>
      </c>
      <c r="AC23" s="1259">
        <f t="shared" si="5"/>
        <v>1</v>
      </c>
    </row>
    <row r="24" spans="1:29" ht="15">
      <c r="A24" s="346"/>
      <c r="B24" s="393"/>
      <c r="C24" s="540" t="s">
        <v>3545</v>
      </c>
      <c r="D24" s="385"/>
      <c r="E24" s="1746" t="s">
        <v>3545</v>
      </c>
      <c r="F24" s="385"/>
      <c r="G24" s="1745" t="s">
        <v>3545</v>
      </c>
      <c r="H24" s="385"/>
      <c r="I24" s="1745" t="s">
        <v>3545</v>
      </c>
      <c r="J24" s="385"/>
      <c r="K24" s="693"/>
      <c r="L24" s="2485"/>
      <c r="M24" s="2480"/>
      <c r="N24" s="2480"/>
      <c r="O24" s="2535"/>
      <c r="P24" s="3439"/>
      <c r="Q24" s="1258"/>
      <c r="R24" s="664"/>
      <c r="S24" s="665"/>
      <c r="T24" s="664"/>
      <c r="U24" s="665"/>
      <c r="V24" s="664"/>
      <c r="W24" s="665"/>
      <c r="X24" s="1260"/>
      <c r="Y24" s="3439"/>
      <c r="Z24" s="1259"/>
      <c r="AA24" s="1259"/>
      <c r="AB24" s="1259"/>
      <c r="AC24" s="1259"/>
    </row>
    <row r="25" spans="1:29" ht="28.8">
      <c r="A25" s="346"/>
      <c r="B25" s="584" t="s">
        <v>1872</v>
      </c>
      <c r="C25" s="1799" t="str">
        <f>估价对象房地状况!C20</f>
        <v>一般</v>
      </c>
      <c r="D25" s="387">
        <v>100</v>
      </c>
      <c r="E25" s="389"/>
      <c r="F25" s="387">
        <f>SUMIF(97:97,E26,98:98)-SUMIF(97:97,C26,98:98)+100</f>
        <v>102</v>
      </c>
      <c r="G25" s="389"/>
      <c r="H25" s="387">
        <f>SUMIF(97:97,G26,98:98)-SUMIF(97:97,C26,98:98)+100</f>
        <v>102</v>
      </c>
      <c r="I25" s="391"/>
      <c r="J25" s="387">
        <f>SUMIF(97:97,I26,98:98)-SUMIF(97:97,C26,98:98)+100</f>
        <v>100</v>
      </c>
      <c r="K25" s="591">
        <v>2</v>
      </c>
      <c r="L25" s="2485"/>
      <c r="M25" s="2480"/>
      <c r="N25" s="2480"/>
      <c r="O25" s="2535"/>
      <c r="P25" s="3439"/>
      <c r="Q25" s="1258" t="str">
        <f t="shared" si="8"/>
        <v>自然及人文环境状况</v>
      </c>
      <c r="R25" s="664" t="s">
        <v>14</v>
      </c>
      <c r="S25" s="665">
        <f>F25</f>
        <v>102</v>
      </c>
      <c r="T25" s="664" t="s">
        <v>14</v>
      </c>
      <c r="U25" s="665">
        <f>H25</f>
        <v>102</v>
      </c>
      <c r="V25" s="664" t="s">
        <v>14</v>
      </c>
      <c r="W25" s="665">
        <f>J25</f>
        <v>100</v>
      </c>
      <c r="X25" s="1260"/>
      <c r="Y25" s="3439"/>
      <c r="Z25" s="1259" t="str">
        <f>Q25</f>
        <v>自然及人文环境状况</v>
      </c>
      <c r="AA25" s="1259">
        <f t="shared" si="3"/>
        <v>0.98039215686274506</v>
      </c>
      <c r="AB25" s="1259">
        <f t="shared" si="4"/>
        <v>0.98039215686274506</v>
      </c>
      <c r="AC25" s="1259">
        <f t="shared" si="5"/>
        <v>1</v>
      </c>
    </row>
    <row r="26" spans="1:29" ht="15">
      <c r="A26" s="346"/>
      <c r="B26" s="393"/>
      <c r="C26" s="384" t="s">
        <v>3387</v>
      </c>
      <c r="D26" s="385"/>
      <c r="E26" s="1752" t="s">
        <v>3545</v>
      </c>
      <c r="F26" s="385"/>
      <c r="G26" s="1752" t="s">
        <v>3545</v>
      </c>
      <c r="H26" s="385"/>
      <c r="I26" s="384" t="s">
        <v>3387</v>
      </c>
      <c r="J26" s="385"/>
      <c r="K26" s="590"/>
      <c r="L26" s="2485"/>
      <c r="M26" s="2480"/>
      <c r="N26" s="2480"/>
      <c r="O26" s="2535"/>
      <c r="P26" s="3439"/>
      <c r="Q26" s="1258"/>
      <c r="R26" s="664"/>
      <c r="S26" s="665"/>
      <c r="T26" s="664"/>
      <c r="U26" s="665"/>
      <c r="V26" s="664"/>
      <c r="W26" s="665"/>
      <c r="X26" s="1260"/>
      <c r="Y26" s="3439"/>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102</v>
      </c>
      <c r="G27" s="389"/>
      <c r="H27" s="387">
        <f>SUMIF(99:99,G28,100:100)-SUMIF(99:99,C28,100:100)+100</f>
        <v>102</v>
      </c>
      <c r="I27" s="391"/>
      <c r="J27" s="387">
        <f>SUMIF(99:99,I28,100:100)-SUMIF(99:99,C28,100:100)+100</f>
        <v>100</v>
      </c>
      <c r="K27" s="591">
        <v>2</v>
      </c>
      <c r="L27" s="2481"/>
      <c r="M27" s="2432"/>
      <c r="N27" s="2432"/>
      <c r="O27" s="2533"/>
      <c r="P27" s="3439"/>
      <c r="Q27" s="528" t="str">
        <f t="shared" si="8"/>
        <v>公共配套设施</v>
      </c>
      <c r="R27" s="661" t="s">
        <v>14</v>
      </c>
      <c r="S27" s="662">
        <f>F27</f>
        <v>102</v>
      </c>
      <c r="T27" s="661" t="s">
        <v>14</v>
      </c>
      <c r="U27" s="662">
        <f>H27</f>
        <v>102</v>
      </c>
      <c r="V27" s="661" t="s">
        <v>14</v>
      </c>
      <c r="W27" s="662">
        <f>J27</f>
        <v>100</v>
      </c>
      <c r="X27" s="663"/>
      <c r="Y27" s="3439"/>
      <c r="Z27" s="49" t="str">
        <f>Q27</f>
        <v>公共配套设施</v>
      </c>
      <c r="AA27" s="1259">
        <f>D27/F27</f>
        <v>0.98039215686274506</v>
      </c>
      <c r="AB27" s="1259">
        <f>D27/H27</f>
        <v>0.98039215686274506</v>
      </c>
      <c r="AC27" s="1259">
        <f>D27/J27</f>
        <v>1</v>
      </c>
    </row>
    <row r="28" spans="1:29" s="100" customFormat="1" ht="15">
      <c r="A28" s="441"/>
      <c r="B28" s="393"/>
      <c r="C28" s="1819" t="s">
        <v>3546</v>
      </c>
      <c r="D28" s="385"/>
      <c r="E28" s="1752" t="s">
        <v>3387</v>
      </c>
      <c r="F28" s="385"/>
      <c r="G28" s="1752" t="s">
        <v>3387</v>
      </c>
      <c r="H28" s="385"/>
      <c r="I28" s="384" t="s">
        <v>3546</v>
      </c>
      <c r="J28" s="385"/>
      <c r="K28" s="590"/>
      <c r="L28" s="2481"/>
      <c r="M28" s="2432"/>
      <c r="N28" s="2432"/>
      <c r="O28" s="2533"/>
      <c r="P28" s="3439"/>
      <c r="Q28" s="528"/>
      <c r="R28" s="661"/>
      <c r="S28" s="662"/>
      <c r="T28" s="661"/>
      <c r="U28" s="662"/>
      <c r="V28" s="661"/>
      <c r="W28" s="662"/>
      <c r="X28" s="663"/>
      <c r="Y28" s="3439"/>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1"/>
      <c r="M29" s="2432"/>
      <c r="N29" s="2432"/>
      <c r="O29" s="2533"/>
      <c r="P29" s="3439"/>
      <c r="Q29" s="528" t="str">
        <f t="shared" ref="Q29" si="9">B29</f>
        <v>基础设施水平</v>
      </c>
      <c r="R29" s="661" t="s">
        <v>14</v>
      </c>
      <c r="S29" s="662">
        <f>F29</f>
        <v>100</v>
      </c>
      <c r="T29" s="661" t="s">
        <v>14</v>
      </c>
      <c r="U29" s="662">
        <f>H29</f>
        <v>100</v>
      </c>
      <c r="V29" s="661" t="s">
        <v>14</v>
      </c>
      <c r="W29" s="662">
        <f>J29</f>
        <v>100</v>
      </c>
      <c r="X29" s="663"/>
      <c r="Y29" s="3439"/>
      <c r="Z29" s="49" t="str">
        <f>Q29</f>
        <v>基础设施水平</v>
      </c>
      <c r="AA29" s="1259">
        <f>D29/F29</f>
        <v>1</v>
      </c>
      <c r="AB29" s="1259">
        <f>D29/H29</f>
        <v>1</v>
      </c>
      <c r="AC29" s="1259">
        <f>D29/J29</f>
        <v>1</v>
      </c>
    </row>
    <row r="30" spans="1:29" s="100" customFormat="1" ht="15">
      <c r="A30" s="441"/>
      <c r="B30" s="393"/>
      <c r="C30" s="1819" t="s">
        <v>3389</v>
      </c>
      <c r="D30" s="385"/>
      <c r="E30" s="1820" t="s">
        <v>3389</v>
      </c>
      <c r="F30" s="385"/>
      <c r="G30" s="1820" t="s">
        <v>3389</v>
      </c>
      <c r="H30" s="385"/>
      <c r="I30" s="1820" t="s">
        <v>3389</v>
      </c>
      <c r="J30" s="385"/>
      <c r="K30" s="590"/>
      <c r="L30" s="2481"/>
      <c r="M30" s="2432"/>
      <c r="N30" s="2432"/>
      <c r="O30" s="2533"/>
      <c r="P30" s="3439"/>
      <c r="Q30" s="528"/>
      <c r="R30" s="661"/>
      <c r="S30" s="662"/>
      <c r="T30" s="661"/>
      <c r="U30" s="662"/>
      <c r="V30" s="661"/>
      <c r="W30" s="662"/>
      <c r="X30" s="663"/>
      <c r="Y30" s="3439"/>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9"/>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39"/>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9"/>
      <c r="Q32" s="1258" t="str">
        <f t="shared" si="8"/>
        <v>毗邻道路的类型与等级</v>
      </c>
      <c r="R32" s="664" t="s">
        <v>14</v>
      </c>
      <c r="S32" s="665">
        <f t="shared" si="10"/>
        <v>100</v>
      </c>
      <c r="T32" s="664" t="s">
        <v>14</v>
      </c>
      <c r="U32" s="665">
        <f t="shared" si="11"/>
        <v>100</v>
      </c>
      <c r="V32" s="664" t="s">
        <v>14</v>
      </c>
      <c r="W32" s="665">
        <f t="shared" si="12"/>
        <v>100</v>
      </c>
      <c r="X32" s="1260"/>
      <c r="Y32" s="3439"/>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39"/>
      <c r="Q33" s="1258"/>
      <c r="R33" s="664"/>
      <c r="S33" s="665"/>
      <c r="T33" s="664"/>
      <c r="U33" s="665"/>
      <c r="V33" s="664"/>
      <c r="W33" s="665"/>
      <c r="X33" s="1260"/>
      <c r="Y33" s="3439"/>
      <c r="Z33" s="1259"/>
      <c r="AA33" s="1259">
        <v>1</v>
      </c>
      <c r="AB33" s="1259">
        <v>1</v>
      </c>
      <c r="AC33" s="1259">
        <v>1</v>
      </c>
    </row>
    <row r="34" spans="1:29" ht="15">
      <c r="A34" s="365"/>
      <c r="B34" s="362" t="s">
        <v>1873</v>
      </c>
      <c r="C34" s="540" t="s">
        <v>29</v>
      </c>
      <c r="D34" s="372">
        <v>100</v>
      </c>
      <c r="E34" s="556" t="s">
        <v>303</v>
      </c>
      <c r="F34" s="372">
        <f>SUMIF(107:107,E34,108:108)-SUMIF(107:107,C34,108:108)+100</f>
        <v>101</v>
      </c>
      <c r="G34" s="556" t="s">
        <v>303</v>
      </c>
      <c r="H34" s="372">
        <f>SUMIF(107:107,G34,108:108)-SUMIF(107:107,C34,108:108)+100</f>
        <v>101</v>
      </c>
      <c r="I34" s="540" t="s">
        <v>29</v>
      </c>
      <c r="J34" s="372">
        <f>SUMIF(107:107,I34,108:108)-SUMIF(107:107,C34,108:108)+100</f>
        <v>100</v>
      </c>
      <c r="K34" s="536">
        <v>1</v>
      </c>
      <c r="L34" s="2485"/>
      <c r="M34" s="2480"/>
      <c r="N34" s="2480"/>
      <c r="O34" s="2535"/>
      <c r="P34" s="3439"/>
      <c r="Q34" s="1258" t="str">
        <f t="shared" si="8"/>
        <v>土地级别</v>
      </c>
      <c r="R34" s="664" t="s">
        <v>14</v>
      </c>
      <c r="S34" s="665">
        <f t="shared" si="10"/>
        <v>101</v>
      </c>
      <c r="T34" s="664" t="s">
        <v>14</v>
      </c>
      <c r="U34" s="665">
        <f t="shared" si="11"/>
        <v>101</v>
      </c>
      <c r="V34" s="664" t="s">
        <v>14</v>
      </c>
      <c r="W34" s="665">
        <f t="shared" si="12"/>
        <v>100</v>
      </c>
      <c r="X34" s="1260"/>
      <c r="Y34" s="3439"/>
      <c r="Z34" s="1259" t="str">
        <f t="shared" si="13"/>
        <v>土地级别</v>
      </c>
      <c r="AA34" s="1259">
        <f t="shared" si="3"/>
        <v>0.99009900990099009</v>
      </c>
      <c r="AB34" s="1259">
        <f t="shared" si="4"/>
        <v>0.99009900990099009</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9"/>
      <c r="Q35" s="1258">
        <f t="shared" si="8"/>
        <v>111</v>
      </c>
      <c r="R35" s="664" t="s">
        <v>14</v>
      </c>
      <c r="S35" s="665">
        <f t="shared" si="10"/>
        <v>100</v>
      </c>
      <c r="T35" s="664" t="s">
        <v>14</v>
      </c>
      <c r="U35" s="665">
        <f t="shared" si="11"/>
        <v>100</v>
      </c>
      <c r="V35" s="664" t="s">
        <v>14</v>
      </c>
      <c r="W35" s="665">
        <f t="shared" si="12"/>
        <v>100</v>
      </c>
      <c r="X35" s="1260"/>
      <c r="Y35" s="3439"/>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40" t="s">
        <v>1696</v>
      </c>
      <c r="Q36" s="1258">
        <f t="shared" si="8"/>
        <v>111</v>
      </c>
      <c r="R36" s="664" t="s">
        <v>14</v>
      </c>
      <c r="S36" s="665">
        <f t="shared" si="10"/>
        <v>100</v>
      </c>
      <c r="T36" s="664" t="s">
        <v>14</v>
      </c>
      <c r="U36" s="665">
        <f t="shared" si="11"/>
        <v>100</v>
      </c>
      <c r="V36" s="664" t="s">
        <v>14</v>
      </c>
      <c r="W36" s="665">
        <f t="shared" si="12"/>
        <v>100</v>
      </c>
      <c r="X36" s="1260"/>
      <c r="Y36" s="3441" t="s">
        <v>1696</v>
      </c>
      <c r="Z36" s="1259">
        <f t="shared" si="13"/>
        <v>111</v>
      </c>
      <c r="AA36" s="1259">
        <f t="shared" si="3"/>
        <v>1</v>
      </c>
      <c r="AB36" s="1259">
        <f t="shared" si="4"/>
        <v>1</v>
      </c>
      <c r="AC36" s="1259">
        <f t="shared" si="5"/>
        <v>1</v>
      </c>
    </row>
    <row r="37" spans="1:29" s="406" customFormat="1" ht="15.6"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41"/>
      <c r="Q37" s="1258">
        <f t="shared" si="8"/>
        <v>111</v>
      </c>
      <c r="R37" s="666" t="s">
        <v>14</v>
      </c>
      <c r="S37" s="667">
        <f t="shared" si="10"/>
        <v>100</v>
      </c>
      <c r="T37" s="666" t="s">
        <v>14</v>
      </c>
      <c r="U37" s="667">
        <f t="shared" si="11"/>
        <v>100</v>
      </c>
      <c r="V37" s="666" t="s">
        <v>14</v>
      </c>
      <c r="W37" s="667">
        <f t="shared" si="12"/>
        <v>100</v>
      </c>
      <c r="X37" s="668"/>
      <c r="Y37" s="3441"/>
      <c r="Z37" s="669">
        <f t="shared" si="13"/>
        <v>111</v>
      </c>
      <c r="AA37" s="1259">
        <f t="shared" si="3"/>
        <v>1</v>
      </c>
      <c r="AB37" s="1259">
        <f t="shared" si="4"/>
        <v>1</v>
      </c>
      <c r="AC37" s="1259">
        <f t="shared" si="5"/>
        <v>1</v>
      </c>
    </row>
    <row r="38" spans="1:29" ht="15.6">
      <c r="A38" s="407" t="s">
        <v>1694</v>
      </c>
      <c r="B38" s="393" t="s">
        <v>1874</v>
      </c>
      <c r="C38" s="597">
        <v>17102.490000000002</v>
      </c>
      <c r="D38" s="403">
        <v>100</v>
      </c>
      <c r="E38" s="597">
        <f>土地案例!H10</f>
        <v>41146.67</v>
      </c>
      <c r="F38" s="403">
        <f>LOOKUP(E38,116:116,117:117)-LOOKUP(C38,116:116,117:117)+100</f>
        <v>102</v>
      </c>
      <c r="G38" s="597">
        <f>土地案例!H21</f>
        <v>41186.94</v>
      </c>
      <c r="H38" s="403">
        <f>LOOKUP(G38,116:116,117:117)-LOOKUP(C38,116:116,117:117)+100</f>
        <v>102</v>
      </c>
      <c r="I38" s="460">
        <f>土地案例!H28</f>
        <v>26609.75</v>
      </c>
      <c r="J38" s="403">
        <f>LOOKUP(I38,116:116,117:117)-LOOKUP(C38,116:116,117:117)+100</f>
        <v>101</v>
      </c>
      <c r="K38" s="537"/>
      <c r="L38" s="2485"/>
      <c r="M38" s="2480"/>
      <c r="N38" s="2480"/>
      <c r="O38" s="2535"/>
      <c r="P38" s="3441"/>
      <c r="Q38" s="1258" t="str">
        <f>B38</f>
        <v>宗地面积</v>
      </c>
      <c r="R38" s="664" t="s">
        <v>14</v>
      </c>
      <c r="S38" s="665">
        <f t="shared" si="10"/>
        <v>102</v>
      </c>
      <c r="T38" s="664" t="s">
        <v>14</v>
      </c>
      <c r="U38" s="665">
        <f t="shared" si="11"/>
        <v>102</v>
      </c>
      <c r="V38" s="664" t="s">
        <v>14</v>
      </c>
      <c r="W38" s="665">
        <f t="shared" si="12"/>
        <v>101</v>
      </c>
      <c r="X38" s="1260"/>
      <c r="Y38" s="3441"/>
      <c r="Z38" s="1259" t="str">
        <f t="shared" si="13"/>
        <v>宗地面积</v>
      </c>
      <c r="AA38" s="1259">
        <f t="shared" si="3"/>
        <v>0.98039215686274506</v>
      </c>
      <c r="AB38" s="1259">
        <f t="shared" si="4"/>
        <v>0.98039215686274506</v>
      </c>
      <c r="AC38" s="1259">
        <f t="shared" si="5"/>
        <v>0.99009900990099009</v>
      </c>
    </row>
    <row r="39" spans="1:29" ht="15">
      <c r="A39" s="407"/>
      <c r="B39" s="362" t="s">
        <v>1875</v>
      </c>
      <c r="C39" s="1754" t="s">
        <v>3566</v>
      </c>
      <c r="D39" s="372">
        <v>100</v>
      </c>
      <c r="E39" s="1754" t="s">
        <v>3549</v>
      </c>
      <c r="F39" s="372">
        <f>SUMIF(118:118,E39,119:119)-SUMIF(118:118,C39,119:119)+100</f>
        <v>99</v>
      </c>
      <c r="G39" s="1754" t="s">
        <v>3567</v>
      </c>
      <c r="H39" s="372">
        <f>SUMIF(118:118,G39,119:119)-SUMIF(118:118,C39,119:119)+100</f>
        <v>98</v>
      </c>
      <c r="I39" s="1754" t="s">
        <v>3566</v>
      </c>
      <c r="J39" s="372">
        <f>SUMIF(118:118,I39,119:119)-SUMIF(118:118,C39,119:119)+100</f>
        <v>100</v>
      </c>
      <c r="K39" s="536">
        <v>1</v>
      </c>
      <c r="L39" s="2485"/>
      <c r="M39" s="2480"/>
      <c r="N39" s="2480"/>
      <c r="O39" s="2535"/>
      <c r="P39" s="3441"/>
      <c r="Q39" s="1258" t="str">
        <f t="shared" ref="Q39:Q45" si="14">B39</f>
        <v>宗地形状</v>
      </c>
      <c r="R39" s="664" t="s">
        <v>14</v>
      </c>
      <c r="S39" s="665">
        <f t="shared" si="10"/>
        <v>99</v>
      </c>
      <c r="T39" s="664" t="s">
        <v>14</v>
      </c>
      <c r="U39" s="665">
        <f t="shared" si="11"/>
        <v>98</v>
      </c>
      <c r="V39" s="664" t="s">
        <v>14</v>
      </c>
      <c r="W39" s="665">
        <f t="shared" si="12"/>
        <v>100</v>
      </c>
      <c r="X39" s="1260"/>
      <c r="Y39" s="3441"/>
      <c r="Z39" s="1259" t="str">
        <f t="shared" si="13"/>
        <v>宗地形状</v>
      </c>
      <c r="AA39" s="1259">
        <f t="shared" si="3"/>
        <v>1.0101010101010102</v>
      </c>
      <c r="AB39" s="1259">
        <f t="shared" si="4"/>
        <v>1.0204081632653061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41"/>
      <c r="Q40" s="1258" t="str">
        <f t="shared" si="14"/>
        <v>临街宽度及深度</v>
      </c>
      <c r="R40" s="664" t="s">
        <v>14</v>
      </c>
      <c r="S40" s="665">
        <f t="shared" si="10"/>
        <v>100</v>
      </c>
      <c r="T40" s="664" t="s">
        <v>14</v>
      </c>
      <c r="U40" s="665">
        <f t="shared" si="11"/>
        <v>100</v>
      </c>
      <c r="V40" s="664" t="s">
        <v>14</v>
      </c>
      <c r="W40" s="665">
        <f t="shared" si="12"/>
        <v>100</v>
      </c>
      <c r="X40" s="1260"/>
      <c r="Y40" s="3441"/>
      <c r="Z40" s="1259" t="str">
        <f t="shared" si="13"/>
        <v>临街宽度及深度</v>
      </c>
      <c r="AA40" s="1259">
        <f t="shared" si="3"/>
        <v>1</v>
      </c>
      <c r="AB40" s="1259">
        <f t="shared" si="4"/>
        <v>1</v>
      </c>
      <c r="AC40" s="1259">
        <f t="shared" si="5"/>
        <v>1</v>
      </c>
    </row>
    <row r="41" spans="1:29" s="100" customFormat="1" ht="15">
      <c r="A41" s="408"/>
      <c r="B41" s="362" t="s">
        <v>1877</v>
      </c>
      <c r="C41" s="3196" t="s">
        <v>3389</v>
      </c>
      <c r="D41" s="117">
        <v>100</v>
      </c>
      <c r="E41" s="1821" t="s">
        <v>3521</v>
      </c>
      <c r="F41" s="372">
        <f>SUMIF(122:122,E41,123:123)-SUMIF(122:122,C41,123:123)+100</f>
        <v>98</v>
      </c>
      <c r="G41" s="1821" t="s">
        <v>3521</v>
      </c>
      <c r="H41" s="372">
        <f>SUMIF(122:122,G41,123:123)-SUMIF(122:122,C41,123:123)+100</f>
        <v>98</v>
      </c>
      <c r="I41" s="1821" t="s">
        <v>3521</v>
      </c>
      <c r="J41" s="372">
        <f>SUMIF(122:122,I41,123:123)-SUMIF(122:122,C41,123:123)+100</f>
        <v>98</v>
      </c>
      <c r="K41" s="536">
        <v>1</v>
      </c>
      <c r="L41" s="2481"/>
      <c r="M41" s="2432"/>
      <c r="N41" s="2432"/>
      <c r="O41" s="2533"/>
      <c r="P41" s="3441"/>
      <c r="Q41" s="1258" t="str">
        <f t="shared" si="14"/>
        <v>宗地开发程度</v>
      </c>
      <c r="R41" s="661" t="s">
        <v>14</v>
      </c>
      <c r="S41" s="662">
        <f t="shared" si="10"/>
        <v>98</v>
      </c>
      <c r="T41" s="661" t="s">
        <v>14</v>
      </c>
      <c r="U41" s="662">
        <f t="shared" si="11"/>
        <v>98</v>
      </c>
      <c r="V41" s="661" t="s">
        <v>14</v>
      </c>
      <c r="W41" s="662">
        <f t="shared" si="12"/>
        <v>98</v>
      </c>
      <c r="X41" s="663"/>
      <c r="Y41" s="3441"/>
      <c r="Z41" s="49" t="str">
        <f t="shared" si="13"/>
        <v>宗地开发程度</v>
      </c>
      <c r="AA41" s="49">
        <f t="shared" si="3"/>
        <v>1.0204081632653061</v>
      </c>
      <c r="AB41" s="49">
        <f t="shared" si="4"/>
        <v>1.0204081632653061</v>
      </c>
      <c r="AC41" s="49">
        <f t="shared" si="5"/>
        <v>1.0204081632653061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41" t="s">
        <v>1696</v>
      </c>
      <c r="Q42" s="1258" t="str">
        <f t="shared" si="14"/>
        <v>工程地质条件</v>
      </c>
      <c r="R42" s="664" t="s">
        <v>14</v>
      </c>
      <c r="S42" s="665">
        <f t="shared" si="10"/>
        <v>100</v>
      </c>
      <c r="T42" s="664" t="s">
        <v>14</v>
      </c>
      <c r="U42" s="665">
        <f t="shared" si="11"/>
        <v>100</v>
      </c>
      <c r="V42" s="664" t="s">
        <v>14</v>
      </c>
      <c r="W42" s="665">
        <f t="shared" si="12"/>
        <v>100</v>
      </c>
      <c r="X42" s="1260"/>
      <c r="Y42" s="3441"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41"/>
      <c r="Q43" s="1258">
        <f t="shared" si="14"/>
        <v>111</v>
      </c>
      <c r="R43" s="664" t="s">
        <v>14</v>
      </c>
      <c r="S43" s="665">
        <f t="shared" si="10"/>
        <v>100</v>
      </c>
      <c r="T43" s="664" t="s">
        <v>14</v>
      </c>
      <c r="U43" s="665">
        <f t="shared" si="11"/>
        <v>100</v>
      </c>
      <c r="V43" s="664" t="s">
        <v>14</v>
      </c>
      <c r="W43" s="665">
        <f t="shared" si="12"/>
        <v>100</v>
      </c>
      <c r="X43" s="1260"/>
      <c r="Y43" s="3441"/>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41"/>
      <c r="Q44" s="1258">
        <f t="shared" si="14"/>
        <v>111</v>
      </c>
      <c r="R44" s="664" t="s">
        <v>14</v>
      </c>
      <c r="S44" s="665">
        <f t="shared" si="10"/>
        <v>100</v>
      </c>
      <c r="T44" s="664" t="s">
        <v>14</v>
      </c>
      <c r="U44" s="665">
        <f t="shared" si="11"/>
        <v>100</v>
      </c>
      <c r="V44" s="664" t="s">
        <v>14</v>
      </c>
      <c r="W44" s="665">
        <f t="shared" si="12"/>
        <v>100</v>
      </c>
      <c r="X44" s="1260"/>
      <c r="Y44" s="3441"/>
      <c r="Z44" s="1259">
        <f t="shared" si="13"/>
        <v>111</v>
      </c>
      <c r="AA44" s="1259">
        <f t="shared" si="3"/>
        <v>1</v>
      </c>
      <c r="AB44" s="1259">
        <f t="shared" si="4"/>
        <v>1</v>
      </c>
      <c r="AC44" s="1259">
        <f t="shared" si="5"/>
        <v>1</v>
      </c>
    </row>
    <row r="45" spans="1:29" s="406" customFormat="1" ht="15.6"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41"/>
      <c r="Q45" s="1258">
        <f t="shared" si="14"/>
        <v>111</v>
      </c>
      <c r="R45" s="666" t="s">
        <v>14</v>
      </c>
      <c r="S45" s="667">
        <f t="shared" si="10"/>
        <v>100</v>
      </c>
      <c r="T45" s="666" t="s">
        <v>14</v>
      </c>
      <c r="U45" s="667">
        <f t="shared" si="11"/>
        <v>100</v>
      </c>
      <c r="V45" s="666" t="s">
        <v>14</v>
      </c>
      <c r="W45" s="667">
        <f t="shared" si="12"/>
        <v>100</v>
      </c>
      <c r="X45" s="668"/>
      <c r="Y45" s="3441"/>
      <c r="Z45" s="669">
        <f t="shared" si="13"/>
        <v>111</v>
      </c>
      <c r="AA45" s="1259">
        <f t="shared" si="3"/>
        <v>1</v>
      </c>
      <c r="AB45" s="1259">
        <f t="shared" si="4"/>
        <v>1</v>
      </c>
      <c r="AC45" s="1259">
        <f t="shared" si="5"/>
        <v>1</v>
      </c>
    </row>
    <row r="46" spans="1:29" ht="14.4">
      <c r="A46" s="414" t="s">
        <v>1844</v>
      </c>
      <c r="B46" s="1823" t="s">
        <v>1879</v>
      </c>
      <c r="C46" s="600" t="s">
        <v>0</v>
      </c>
      <c r="D46" s="416"/>
      <c r="E46" s="417">
        <f>土地案例!M10</f>
        <v>47042</v>
      </c>
      <c r="F46" s="418"/>
      <c r="G46" s="419">
        <f>土地案例!M21</f>
        <v>49472</v>
      </c>
      <c r="H46" s="420"/>
      <c r="I46" s="417">
        <f>土地案例!M28</f>
        <v>47008</v>
      </c>
      <c r="J46" s="420"/>
      <c r="K46" s="671"/>
      <c r="L46" s="2487"/>
      <c r="M46" s="2480"/>
      <c r="N46" s="2480"/>
      <c r="O46" s="2480"/>
      <c r="P46" s="3437" t="str">
        <f>A46</f>
        <v>成交单价</v>
      </c>
      <c r="Q46" s="3437"/>
      <c r="R46" s="3433">
        <f>E46</f>
        <v>47042</v>
      </c>
      <c r="S46" s="3433"/>
      <c r="T46" s="3433">
        <f>G46</f>
        <v>49472</v>
      </c>
      <c r="U46" s="3433"/>
      <c r="V46" s="3433">
        <f>I46</f>
        <v>47008</v>
      </c>
      <c r="W46" s="3433"/>
      <c r="X46" s="383"/>
      <c r="Y46" s="670"/>
      <c r="Z46" s="383"/>
      <c r="AA46" s="383"/>
      <c r="AB46" s="383"/>
      <c r="AC46" s="383"/>
    </row>
    <row r="47" spans="1:29" ht="15" thickBot="1">
      <c r="A47" s="421" t="s">
        <v>1709</v>
      </c>
      <c r="B47" s="601"/>
      <c r="C47" s="424">
        <f>R48</f>
        <v>51185</v>
      </c>
      <c r="D47" s="2134" t="s">
        <v>2138</v>
      </c>
      <c r="E47" s="424">
        <f>R47</f>
        <v>50350</v>
      </c>
      <c r="F47" s="2135"/>
      <c r="G47" s="423">
        <f>T47</f>
        <v>52176</v>
      </c>
      <c r="H47" s="2135"/>
      <c r="I47" s="424">
        <f>V47</f>
        <v>51028</v>
      </c>
      <c r="J47" s="2135"/>
      <c r="K47" s="2137">
        <f>F47+H47+J47</f>
        <v>0</v>
      </c>
      <c r="L47" s="2487"/>
      <c r="M47" s="2480"/>
      <c r="N47" s="2480"/>
      <c r="O47" s="2480"/>
      <c r="P47" s="3437" t="str">
        <f>A47</f>
        <v>比较价值（元/平方米）</v>
      </c>
      <c r="Q47" s="3437"/>
      <c r="R47" s="3444">
        <f>ROUND(PRODUCT(R46,AA7:AA45),0)</f>
        <v>50350</v>
      </c>
      <c r="S47" s="3444"/>
      <c r="T47" s="3444">
        <f>ROUND(PRODUCT(T46,AB7:AB45),0)</f>
        <v>52176</v>
      </c>
      <c r="U47" s="3444"/>
      <c r="V47" s="3444">
        <f>ROUND(PRODUCT(V46,AC7:AC45),0)</f>
        <v>51028</v>
      </c>
      <c r="W47" s="3444"/>
      <c r="X47" s="383"/>
      <c r="Y47" s="383"/>
      <c r="Z47" s="383"/>
      <c r="AA47" s="383"/>
      <c r="AB47" s="383"/>
      <c r="AC47" s="383"/>
    </row>
    <row r="48" spans="1:29" ht="15" thickBot="1">
      <c r="A48" s="425" t="s">
        <v>1880</v>
      </c>
      <c r="B48" s="426"/>
      <c r="C48" s="427">
        <f>R48</f>
        <v>51185</v>
      </c>
      <c r="D48" s="427"/>
      <c r="E48" s="427"/>
      <c r="F48" s="427"/>
      <c r="G48" s="427"/>
      <c r="H48" s="427"/>
      <c r="I48" s="427"/>
      <c r="J48" s="427"/>
      <c r="K48" s="672"/>
      <c r="L48" s="2487"/>
      <c r="M48" s="2480"/>
      <c r="N48" s="2480"/>
      <c r="O48" s="2480"/>
      <c r="P48" s="3445" t="str">
        <f>A48</f>
        <v>估价对象XX用房的比较价值（楼面单价，元/平方米）</v>
      </c>
      <c r="Q48" s="3446"/>
      <c r="R48" s="3447">
        <f>ROUND(IF(D47="简单平均",AVERAGE(R47:W47),R47*F47+T47*H47+V47*J47),0)</f>
        <v>51185</v>
      </c>
      <c r="S48" s="3447"/>
      <c r="T48" s="3447"/>
      <c r="U48" s="3447"/>
      <c r="V48" s="3447"/>
      <c r="W48" s="3447"/>
      <c r="X48" s="383"/>
      <c r="Y48" s="383"/>
      <c r="Z48" s="383"/>
      <c r="AA48" s="383"/>
      <c r="AB48" s="383"/>
      <c r="AC48" s="383"/>
    </row>
    <row r="49" spans="1:29">
      <c r="A49" s="2480"/>
      <c r="B49" s="2480"/>
      <c r="C49" s="2480"/>
      <c r="D49" s="2480"/>
      <c r="E49" s="2480" t="str">
        <f>土地案例!V10</f>
        <v>绿城·晓风印月</v>
      </c>
      <c r="F49" s="2480"/>
      <c r="G49" s="2491" t="str">
        <f>土地案例!V21</f>
        <v>和光悦府</v>
      </c>
      <c r="H49" s="2480"/>
      <c r="I49" s="2480" t="str">
        <f>土地案例!V28</f>
        <v>华樾国际领尚</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f>土地案例!R10</f>
        <v>88000</v>
      </c>
      <c r="F50" s="2480"/>
      <c r="G50" s="2480">
        <f>土地案例!W21</f>
        <v>81000</v>
      </c>
      <c r="H50" s="2480"/>
      <c r="I50" s="2480">
        <f>土地案例!R28</f>
        <v>70000</v>
      </c>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1711</v>
      </c>
      <c r="D51" s="431"/>
      <c r="E51" s="432">
        <f>IF(E46&lt;E47,E47/E46-1,E46/E47-1)</f>
        <v>7.032013944985338E-2</v>
      </c>
      <c r="F51" s="433" t="str">
        <f>IF(OR(E51&gt;=0.3,E51&lt;=-0.3),"超过30%","")</f>
        <v/>
      </c>
      <c r="G51" s="432">
        <f>IF(G46&lt;G47,G47/G46-1,G46/G47-1)</f>
        <v>5.4657179818887514E-2</v>
      </c>
      <c r="H51" s="433" t="str">
        <f>IF(OR(G51&gt;=0.3,G51&lt;=-0.3),"超过30%","")</f>
        <v/>
      </c>
      <c r="I51" s="432">
        <f>IF(I46&lt;I47,I47/I46-1,I46/I47-1)</f>
        <v>8.5517358747447147E-2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1712</v>
      </c>
      <c r="D52" s="434"/>
      <c r="E52" s="432">
        <f>IF(E47&lt;G47,G47/E47-1,E47/G47-1)</f>
        <v>3.6266137040714908E-2</v>
      </c>
      <c r="F52" s="433" t="str">
        <f>IF(OR(E52&gt;=0.2,E52&lt;=-0.2),"超过20%","")</f>
        <v/>
      </c>
      <c r="G52" s="432">
        <f>IF(G47&lt;I47,I47/G47-1,G47/I47-1)</f>
        <v>2.2497452379085958E-2</v>
      </c>
      <c r="H52" s="433" t="str">
        <f>IF(OR(G52&gt;=0.2,G52&lt;=-0.2),"超过20%","")</f>
        <v/>
      </c>
      <c r="I52" s="432">
        <f>IF(I47&lt;E47,E47/I47-1,I47/E47-1)</f>
        <v>1.346573982125121E-2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1713</v>
      </c>
      <c r="D53" s="434"/>
      <c r="E53" s="432">
        <f>IF(E46&lt;G46,G46/E46-1,E46/G46-1)</f>
        <v>5.1655967008205517E-2</v>
      </c>
      <c r="F53" s="433" t="str">
        <f>IF(OR(E53&gt;=0.3,E53&lt;=-0.3),"超过30%","")</f>
        <v/>
      </c>
      <c r="G53" s="432">
        <f>IF(G46&lt;I46,I46/G46-1,G46/I46-1)</f>
        <v>5.241660993873376E-2</v>
      </c>
      <c r="H53" s="433" t="str">
        <f>IF(OR(G53&gt;=0.3,G53&lt;=-0.3),"超过30%","")</f>
        <v/>
      </c>
      <c r="I53" s="432">
        <f>IF(I46&lt;E46,E46/I46-1,I46/E46-1)</f>
        <v>7.2328114363506835E-4</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4.4"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9" t="s">
        <v>1887</v>
      </c>
      <c r="H55" s="3442"/>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51185</v>
      </c>
      <c r="C56" s="608">
        <v>1</v>
      </c>
      <c r="D56" s="885">
        <v>1</v>
      </c>
      <c r="E56" s="608">
        <f>'数据-汇总表'!E8+'数据-汇总表'!E9</f>
        <v>22498.01</v>
      </c>
      <c r="F56" s="828">
        <f t="shared" ref="F56:F64" si="15">ROUND(B56*E56/10000,0)</f>
        <v>115156</v>
      </c>
      <c r="G56" s="3443"/>
      <c r="H56" s="3437"/>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0</v>
      </c>
      <c r="C57" s="161">
        <f t="shared" ref="C57:C64" si="16">IF($C$55="北京市系数",I57,J57)</f>
        <v>0</v>
      </c>
      <c r="D57" s="886">
        <v>0.25</v>
      </c>
      <c r="E57" s="612"/>
      <c r="F57" s="828">
        <f t="shared" si="15"/>
        <v>0</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0</v>
      </c>
      <c r="C58" s="161">
        <f t="shared" si="16"/>
        <v>0</v>
      </c>
      <c r="D58" s="886">
        <v>0.25</v>
      </c>
      <c r="E58" s="612"/>
      <c r="F58" s="828">
        <f t="shared" si="15"/>
        <v>0</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0</v>
      </c>
      <c r="C59" s="161">
        <f t="shared" si="16"/>
        <v>0</v>
      </c>
      <c r="D59" s="886">
        <v>0.25</v>
      </c>
      <c r="E59" s="612"/>
      <c r="F59" s="828">
        <f t="shared" si="15"/>
        <v>0</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0</v>
      </c>
      <c r="C60" s="161">
        <f t="shared" si="16"/>
        <v>0</v>
      </c>
      <c r="D60" s="886">
        <v>0.25</v>
      </c>
      <c r="E60" s="207">
        <f>'数据-汇总表'!E11</f>
        <v>0</v>
      </c>
      <c r="F60" s="828">
        <f t="shared" si="15"/>
        <v>0</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3199</v>
      </c>
      <c r="C61" s="161">
        <f t="shared" si="16"/>
        <v>0.25</v>
      </c>
      <c r="D61" s="886">
        <v>0.25</v>
      </c>
      <c r="E61" s="207">
        <f>'数据-汇总表'!E12</f>
        <v>1909.58</v>
      </c>
      <c r="F61" s="828">
        <f t="shared" si="15"/>
        <v>611</v>
      </c>
      <c r="G61" s="834" t="s">
        <v>3373</v>
      </c>
      <c r="H61" s="829" t="str">
        <f>IF(G61="商业",项目基本情况!B37,IF(G61="办公",项目基本情况!C37,IF(G61="住宅",项目基本情况!D37,项目基本情况!E37)))</f>
        <v>六级</v>
      </c>
      <c r="I61" s="833">
        <f>SUMIF(修正!A57:A68,H61,修正!F57:F68)</f>
        <v>0.25</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1919</v>
      </c>
      <c r="C62" s="161">
        <f t="shared" si="16"/>
        <v>0.15</v>
      </c>
      <c r="D62" s="886">
        <v>0.25</v>
      </c>
      <c r="E62" s="207">
        <f>'数据-汇总表'!E13</f>
        <v>11415.02</v>
      </c>
      <c r="F62" s="828">
        <f t="shared" si="15"/>
        <v>2191</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0</v>
      </c>
      <c r="C63" s="161">
        <f t="shared" si="16"/>
        <v>0</v>
      </c>
      <c r="D63" s="886">
        <v>0.25</v>
      </c>
      <c r="E63" s="207">
        <f>'数据-汇总表'!E14</f>
        <v>0</v>
      </c>
      <c r="F63" s="828">
        <f t="shared" si="15"/>
        <v>0</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4.4" thickBot="1">
      <c r="A64" s="611" t="s">
        <v>1902</v>
      </c>
      <c r="B64" s="208">
        <f t="shared" si="17"/>
        <v>0</v>
      </c>
      <c r="C64" s="161">
        <f t="shared" si="16"/>
        <v>0</v>
      </c>
      <c r="D64" s="886">
        <v>0.25</v>
      </c>
      <c r="E64" s="207">
        <f>'数据-汇总表'!E15</f>
        <v>0</v>
      </c>
      <c r="F64" s="828">
        <f t="shared" si="15"/>
        <v>0</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thickBot="1">
      <c r="A65" s="613" t="s">
        <v>1903</v>
      </c>
      <c r="B65" s="614" t="s">
        <v>22</v>
      </c>
      <c r="C65" s="614" t="s">
        <v>22</v>
      </c>
      <c r="D65" s="614" t="s">
        <v>392</v>
      </c>
      <c r="E65" s="614">
        <f>IF(B46="楼面地价",SUM(E56:E64),'数据-汇总表'!D3)</f>
        <v>35822.61</v>
      </c>
      <c r="F65" s="615">
        <f>IF(B46="楼面地价",SUM(F56:F64),ROUND(C48*E65/10000,0))</f>
        <v>117958</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2.2" thickBot="1">
      <c r="A68" s="655" t="s">
        <v>1714</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4.4">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3373</v>
      </c>
      <c r="B70" s="278" t="str">
        <f>"北京市平均增长率"&amp;TEXT(SUMIF(基准地价修正!N25:N29,A70,基准地价修正!P25:P29),"0.00%")</f>
        <v>北京市平均增长率0.00%</v>
      </c>
      <c r="C70" s="528">
        <v>100</v>
      </c>
      <c r="D70" s="6">
        <f>C70-$C$71</f>
        <v>99.5</v>
      </c>
      <c r="E70" s="6">
        <f t="shared" ref="E70:M70" si="20">D70-$C$71</f>
        <v>99</v>
      </c>
      <c r="F70" s="6">
        <f t="shared" si="20"/>
        <v>98.5</v>
      </c>
      <c r="G70" s="6">
        <f t="shared" si="20"/>
        <v>98</v>
      </c>
      <c r="H70" s="6">
        <f t="shared" si="20"/>
        <v>97.5</v>
      </c>
      <c r="I70" s="6">
        <f t="shared" si="20"/>
        <v>97</v>
      </c>
      <c r="J70" s="6">
        <f t="shared" si="20"/>
        <v>96.5</v>
      </c>
      <c r="K70" s="6">
        <f t="shared" si="20"/>
        <v>96</v>
      </c>
      <c r="L70" s="6">
        <f t="shared" si="20"/>
        <v>95.5</v>
      </c>
      <c r="M70" s="6">
        <f t="shared" si="20"/>
        <v>95</v>
      </c>
      <c r="N70" s="6"/>
      <c r="O70" s="1093"/>
      <c r="P70" s="2501"/>
      <c r="Q70" s="2432"/>
      <c r="R70" s="2432"/>
      <c r="S70" s="2432"/>
      <c r="T70" s="2432"/>
      <c r="U70" s="2432"/>
      <c r="V70" s="2432"/>
      <c r="W70" s="2432"/>
      <c r="X70" s="2432"/>
      <c r="Y70" s="2432"/>
      <c r="Z70" s="2432"/>
      <c r="AA70" s="2432"/>
      <c r="AB70" s="2432"/>
      <c r="AC70" s="2432"/>
    </row>
    <row r="71" spans="1:29" s="100" customFormat="1" ht="15" thickBot="1">
      <c r="A71" s="447" t="s">
        <v>1716</v>
      </c>
      <c r="B71" s="448"/>
      <c r="C71" s="449">
        <v>0.5</v>
      </c>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4.4">
      <c r="A72" s="453" t="s">
        <v>1681</v>
      </c>
      <c r="B72" s="442"/>
      <c r="C72" s="454" t="s">
        <v>1718</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4.4"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ht="14.4">
      <c r="A74" s="377" t="s">
        <v>1719</v>
      </c>
      <c r="B74" s="458" t="s">
        <v>1685</v>
      </c>
      <c r="C74" s="3160" t="s">
        <v>3533</v>
      </c>
      <c r="D74" s="3160" t="s">
        <v>3535</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4.4" thickBot="1">
      <c r="A75" s="365"/>
      <c r="B75" s="464"/>
      <c r="C75" s="465">
        <v>100</v>
      </c>
      <c r="D75" s="465">
        <v>98</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9.4"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4.4"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 thickTop="1">
      <c r="A78" s="365"/>
      <c r="B78" s="475" t="s">
        <v>1689</v>
      </c>
      <c r="C78" s="476" t="str">
        <f>C79&amp;"（含）"&amp;"-"&amp;D79</f>
        <v>0（含）-1</v>
      </c>
      <c r="D78" s="476" t="str">
        <f t="shared" ref="D78:L78" si="21">D79&amp;"（含）"&amp;"-"&amp;E79</f>
        <v>1（含）-1.5</v>
      </c>
      <c r="E78" s="476" t="str">
        <f t="shared" si="21"/>
        <v>1.5（含）-2</v>
      </c>
      <c r="F78" s="476" t="str">
        <f t="shared" si="21"/>
        <v>2（含）-2.5</v>
      </c>
      <c r="G78" s="476" t="str">
        <f t="shared" si="21"/>
        <v>2.5（含）-</v>
      </c>
      <c r="H78" s="476" t="str">
        <f t="shared" si="21"/>
        <v>（含）-</v>
      </c>
      <c r="I78" s="476" t="str">
        <f t="shared" si="21"/>
        <v>（含）-</v>
      </c>
      <c r="J78" s="476" t="str">
        <f t="shared" si="21"/>
        <v>（含）-</v>
      </c>
      <c r="K78" s="476" t="str">
        <f t="shared" si="21"/>
        <v>（含）-</v>
      </c>
      <c r="L78" s="476" t="str">
        <f t="shared" si="21"/>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c r="A79" s="365"/>
      <c r="B79" s="477"/>
      <c r="C79" s="478">
        <v>0</v>
      </c>
      <c r="D79" s="478">
        <v>1</v>
      </c>
      <c r="E79" s="478">
        <v>1.5</v>
      </c>
      <c r="F79" s="478">
        <v>2</v>
      </c>
      <c r="G79" s="478">
        <v>2.5</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4.4" thickBot="1">
      <c r="A80" s="365"/>
      <c r="B80" s="464"/>
      <c r="C80" s="473">
        <v>100</v>
      </c>
      <c r="D80" s="473">
        <f t="shared" ref="D80:M80" si="22">IF($B$46="单位面积地价",C80+$K11,C80-$K11)</f>
        <v>95</v>
      </c>
      <c r="E80" s="473">
        <f t="shared" si="22"/>
        <v>90</v>
      </c>
      <c r="F80" s="473">
        <f t="shared" si="22"/>
        <v>85</v>
      </c>
      <c r="G80" s="473">
        <f t="shared" si="22"/>
        <v>80</v>
      </c>
      <c r="H80" s="473">
        <f t="shared" si="22"/>
        <v>75</v>
      </c>
      <c r="I80" s="473">
        <f t="shared" si="22"/>
        <v>70</v>
      </c>
      <c r="J80" s="473">
        <f t="shared" si="22"/>
        <v>65</v>
      </c>
      <c r="K80" s="473">
        <f t="shared" si="22"/>
        <v>60</v>
      </c>
      <c r="L80" s="473">
        <f t="shared" si="22"/>
        <v>55</v>
      </c>
      <c r="M80" s="473">
        <f t="shared" si="22"/>
        <v>50</v>
      </c>
      <c r="N80" s="2515"/>
      <c r="O80" s="2515"/>
      <c r="P80" s="2513"/>
      <c r="Q80" s="2501"/>
      <c r="R80" s="2480"/>
      <c r="S80" s="2480"/>
      <c r="T80" s="2480"/>
      <c r="U80" s="2480"/>
      <c r="V80" s="2480"/>
      <c r="W80" s="2480"/>
      <c r="X80" s="2480"/>
      <c r="Y80" s="2480"/>
      <c r="Z80" s="2480"/>
      <c r="AA80" s="2480"/>
      <c r="AB80" s="2480"/>
      <c r="AC80" s="2480"/>
    </row>
    <row r="81" spans="1:29" s="406" customFormat="1" ht="15" thickTop="1">
      <c r="A81" s="482"/>
      <c r="B81" s="467" t="str">
        <f>B12</f>
        <v>配建</v>
      </c>
      <c r="C81" s="3164" t="s">
        <v>3538</v>
      </c>
      <c r="D81" s="3164" t="s">
        <v>3541</v>
      </c>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4.4" thickBot="1">
      <c r="A82" s="482"/>
      <c r="B82" s="472"/>
      <c r="C82" s="489">
        <v>100</v>
      </c>
      <c r="D82" s="465">
        <v>95</v>
      </c>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 thickTop="1">
      <c r="A83" s="482"/>
      <c r="B83" s="467" t="str">
        <f>B13</f>
        <v>限制现房</v>
      </c>
      <c r="C83" s="3164" t="s">
        <v>3538</v>
      </c>
      <c r="D83" s="3164" t="s">
        <v>3539</v>
      </c>
      <c r="E83" s="3164" t="s">
        <v>3540</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4.4" thickBot="1">
      <c r="A84" s="482"/>
      <c r="B84" s="472"/>
      <c r="C84" s="489">
        <v>100</v>
      </c>
      <c r="D84" s="489">
        <v>98</v>
      </c>
      <c r="E84" s="489">
        <v>96</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 thickTop="1">
      <c r="A85" s="482"/>
      <c r="B85" s="475" t="str">
        <f>B14</f>
        <v>自持</v>
      </c>
      <c r="C85" s="3163" t="s">
        <v>3538</v>
      </c>
      <c r="D85" s="3163" t="s">
        <v>3539</v>
      </c>
      <c r="E85" s="3163" t="s">
        <v>3540</v>
      </c>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4.4" thickBot="1">
      <c r="A86" s="497"/>
      <c r="B86" s="498"/>
      <c r="C86" s="499">
        <v>100</v>
      </c>
      <c r="D86" s="499">
        <v>97</v>
      </c>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ht="14.4">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4.4" thickBot="1">
      <c r="A88" s="365"/>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4.4"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29.4"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4.4"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9.4"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4.4" thickBot="1">
      <c r="A98" s="368"/>
      <c r="B98" s="472"/>
      <c r="C98" s="473">
        <v>100</v>
      </c>
      <c r="D98" s="473">
        <f>C98-$K25</f>
        <v>98</v>
      </c>
      <c r="E98" s="473">
        <f>D98-$K25</f>
        <v>96</v>
      </c>
      <c r="F98" s="473">
        <f>E98-$K25</f>
        <v>94</v>
      </c>
      <c r="G98" s="473">
        <f>F98-$K25</f>
        <v>92</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4.4"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4.4"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4.4"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5"/>
      <c r="B105" s="467" t="s">
        <v>1815</v>
      </c>
      <c r="C105" s="3164" t="s">
        <v>3565</v>
      </c>
      <c r="D105" s="3164" t="s">
        <v>3562</v>
      </c>
      <c r="E105" s="3164" t="s">
        <v>3563</v>
      </c>
      <c r="F105" s="3164" t="s">
        <v>3564</v>
      </c>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4.4"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5"/>
      <c r="B107" s="467" t="s">
        <v>1873</v>
      </c>
      <c r="C107" s="3176" t="s">
        <v>3543</v>
      </c>
      <c r="D107" s="3176" t="s">
        <v>3544</v>
      </c>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4.4" thickBot="1">
      <c r="A108" s="365"/>
      <c r="B108" s="472"/>
      <c r="C108" s="473">
        <v>100</v>
      </c>
      <c r="D108" s="473">
        <f t="shared" ref="D108:M108" si="25">C108-$K34</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473">
        <f t="shared" si="25"/>
        <v>90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4.4"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4.4"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4.4"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4.4"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4.4"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7.6">
      <c r="A115" s="377" t="s">
        <v>1694</v>
      </c>
      <c r="B115" s="458" t="s">
        <v>1913</v>
      </c>
      <c r="C115" s="459" t="str">
        <f>C116&amp;"(含)"&amp;"-"&amp;D116</f>
        <v>0(含)-20000</v>
      </c>
      <c r="D115" s="459" t="str">
        <f t="shared" ref="D115:M115" si="26">D116&amp;"(含)"&amp;"-"&amp;E116</f>
        <v>20000(含)-40000</v>
      </c>
      <c r="E115" s="459" t="str">
        <f t="shared" si="26"/>
        <v>40000(含)-60000</v>
      </c>
      <c r="F115" s="459" t="str">
        <f t="shared" si="26"/>
        <v>60000(含)-80000</v>
      </c>
      <c r="G115" s="459" t="str">
        <f t="shared" si="26"/>
        <v>80000(含)-</v>
      </c>
      <c r="H115" s="459" t="str">
        <f t="shared" si="26"/>
        <v>(含)-</v>
      </c>
      <c r="I115" s="459" t="str">
        <f t="shared" si="26"/>
        <v>(含)-</v>
      </c>
      <c r="J115" s="459" t="str">
        <f t="shared" si="26"/>
        <v>(含)-</v>
      </c>
      <c r="K115" s="459" t="str">
        <f t="shared" si="26"/>
        <v>(含)-</v>
      </c>
      <c r="L115" s="459" t="str">
        <f t="shared" si="26"/>
        <v>(含)-</v>
      </c>
      <c r="M115" s="459" t="str">
        <f t="shared" si="26"/>
        <v>(含)-</v>
      </c>
      <c r="N115" s="2514"/>
      <c r="O115" s="2514"/>
      <c r="P115" s="2513"/>
      <c r="Q115" s="2501"/>
      <c r="R115" s="2480"/>
      <c r="S115" s="2480"/>
      <c r="T115" s="2480"/>
      <c r="U115" s="2480"/>
      <c r="V115" s="2480"/>
      <c r="W115" s="2480"/>
      <c r="X115" s="2480"/>
      <c r="Y115" s="2480"/>
      <c r="Z115" s="2480"/>
      <c r="AA115" s="2480"/>
      <c r="AB115" s="2480"/>
      <c r="AC115" s="2480"/>
    </row>
    <row r="116" spans="1:29">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4.4" thickBot="1">
      <c r="A117" s="365"/>
      <c r="B117" s="472"/>
      <c r="C117" s="499">
        <v>100</v>
      </c>
      <c r="D117" s="519">
        <v>101</v>
      </c>
      <c r="E117" s="519">
        <v>102</v>
      </c>
      <c r="F117" s="519">
        <v>103</v>
      </c>
      <c r="G117" s="519">
        <v>104</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3176" t="s">
        <v>3548</v>
      </c>
      <c r="D118" s="3176" t="s">
        <v>3550</v>
      </c>
      <c r="E118" s="3176" t="s">
        <v>3551</v>
      </c>
      <c r="F118" s="3176" t="s">
        <v>3552</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4.4"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4.4"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4" t="s">
        <v>3553</v>
      </c>
      <c r="D122" s="3164" t="s">
        <v>3554</v>
      </c>
      <c r="E122" s="3164" t="s">
        <v>3555</v>
      </c>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4.4"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4.4" thickBot="1">
      <c r="A125" s="365"/>
      <c r="B125" s="472"/>
      <c r="C125" s="473">
        <v>100</v>
      </c>
      <c r="D125" s="473">
        <f t="shared" ref="D125:M125" si="30">C125-$K42</f>
        <v>100</v>
      </c>
      <c r="E125" s="473">
        <f t="shared" si="30"/>
        <v>100</v>
      </c>
      <c r="F125" s="473">
        <f t="shared" si="30"/>
        <v>100</v>
      </c>
      <c r="G125" s="473">
        <f t="shared" si="30"/>
        <v>100</v>
      </c>
      <c r="H125" s="473">
        <f t="shared" si="30"/>
        <v>100</v>
      </c>
      <c r="I125" s="473">
        <f t="shared" si="30"/>
        <v>100</v>
      </c>
      <c r="J125" s="473">
        <f t="shared" si="30"/>
        <v>100</v>
      </c>
      <c r="K125" s="473">
        <f t="shared" si="30"/>
        <v>100</v>
      </c>
      <c r="L125" s="473">
        <f t="shared" si="30"/>
        <v>100</v>
      </c>
      <c r="M125" s="474">
        <f t="shared" si="30"/>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4.4"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4.4"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4.4"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4.4"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4.4"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1">
    <cfRule type="expression" dxfId="145" priority="13" stopIfTrue="1">
      <formula>$F$51="超过30%"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F7:F45 H7:H45 J7:J45">
    <cfRule type="cellIs" dxfId="142" priority="1" operator="notEqual">
      <formula>100</formula>
    </cfRule>
  </conditionalFormatting>
  <conditionalFormatting sqref="F47">
    <cfRule type="expression" dxfId="141" priority="4">
      <formula>$D$47="简单平均"</formula>
    </cfRule>
  </conditionalFormatting>
  <conditionalFormatting sqref="F51:F53 H51:H53 J51:J53">
    <cfRule type="containsText" dxfId="140" priority="14" stopIfTrue="1" operator="containsText" text="超过">
      <formula>NOT(ISERROR(SEARCH("超过",F51)))</formula>
    </cfRule>
  </conditionalFormatting>
  <conditionalFormatting sqref="G51">
    <cfRule type="expression" dxfId="139" priority="9" stopIfTrue="1">
      <formula>$H$53+$H$51="超过30%"</formula>
    </cfRule>
  </conditionalFormatting>
  <conditionalFormatting sqref="G52">
    <cfRule type="expression" dxfId="138" priority="8" stopIfTrue="1">
      <formula>$H$52="超过20%"</formula>
    </cfRule>
  </conditionalFormatting>
  <conditionalFormatting sqref="G53">
    <cfRule type="expression" dxfId="137" priority="12" stopIfTrue="1">
      <formula>$H$53="超过30%"</formula>
    </cfRule>
  </conditionalFormatting>
  <conditionalFormatting sqref="H47">
    <cfRule type="expression" dxfId="136" priority="3">
      <formula>$D$47="简单平均"</formula>
    </cfRule>
  </conditionalFormatting>
  <conditionalFormatting sqref="I51">
    <cfRule type="expression" dxfId="135" priority="7" stopIfTrue="1">
      <formula>$J$51="超过30%"</formula>
    </cfRule>
  </conditionalFormatting>
  <conditionalFormatting sqref="I52">
    <cfRule type="expression" dxfId="134" priority="6" stopIfTrue="1">
      <formula>$J$52="超过20%"</formula>
    </cfRule>
  </conditionalFormatting>
  <conditionalFormatting sqref="I53">
    <cfRule type="expression" dxfId="133" priority="5" stopIfTrue="1">
      <formula>$J$53="超过30%"</formula>
    </cfRule>
  </conditionalFormatting>
  <conditionalFormatting sqref="J47">
    <cfRule type="expression" dxfId="132" priority="2">
      <formula>$D$47="简单平均"</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7"/>
  <sheetViews>
    <sheetView view="pageBreakPreview" zoomScale="85" zoomScaleNormal="70" zoomScaleSheetLayoutView="85" workbookViewId="0">
      <selection activeCell="C4" sqref="C4"/>
    </sheetView>
  </sheetViews>
  <sheetFormatPr defaultColWidth="6.6640625" defaultRowHeight="13.2"/>
  <cols>
    <col min="1" max="1" width="9.77734375" style="684" customWidth="1"/>
    <col min="2" max="2" width="25.77734375" style="730" customWidth="1"/>
    <col min="3" max="3" width="10.33203125" style="769" customWidth="1"/>
    <col min="4" max="4" width="9.88671875" style="730" customWidth="1"/>
    <col min="5" max="5" width="9.44140625" style="684" customWidth="1"/>
    <col min="6" max="6" width="10.109375" style="730" customWidth="1"/>
    <col min="7" max="7" width="10.77734375" style="730" customWidth="1"/>
    <col min="8" max="8" width="10" style="730" customWidth="1"/>
    <col min="9" max="9" width="3.44140625" style="730" customWidth="1"/>
    <col min="10" max="11" width="9.44140625" style="730" hidden="1" customWidth="1"/>
    <col min="12" max="12" width="9" style="730" customWidth="1"/>
    <col min="13" max="13" width="10.44140625" style="730" bestFit="1" customWidth="1"/>
    <col min="14" max="254" width="9" style="730" customWidth="1"/>
    <col min="255" max="16384" width="6.6640625" style="730"/>
  </cols>
  <sheetData>
    <row r="1" spans="1:33" ht="21">
      <c r="A1" s="186" t="s">
        <v>1594</v>
      </c>
      <c r="B1" s="119"/>
      <c r="C1" s="1105"/>
      <c r="D1" s="1104"/>
      <c r="E1" s="2560"/>
      <c r="F1" s="2560"/>
      <c r="G1" s="2441"/>
      <c r="H1" s="2560"/>
      <c r="I1" s="2560"/>
      <c r="J1" s="2560"/>
      <c r="K1" s="2561">
        <f>MATCH(C1,'数据-取费表'!A6:A16,0)+5</f>
        <v>9</v>
      </c>
    </row>
    <row r="2" spans="1:33" ht="18" customHeight="1">
      <c r="A2" s="191" t="s">
        <v>1462</v>
      </c>
      <c r="B2" s="194">
        <f ca="1">C32</f>
        <v>165067</v>
      </c>
      <c r="C2" s="266" t="s">
        <v>1595</v>
      </c>
      <c r="D2" s="266"/>
      <c r="E2" s="2560"/>
      <c r="F2" s="2560"/>
      <c r="G2" s="2560"/>
      <c r="H2" s="2560"/>
      <c r="I2" s="2560"/>
      <c r="J2" s="2560"/>
      <c r="K2" s="2560"/>
    </row>
    <row r="3" spans="1:33" ht="18" customHeight="1" thickBot="1">
      <c r="A3" s="193" t="s">
        <v>1464</v>
      </c>
      <c r="B3" s="194">
        <f ca="1">ROUND(B2*10000/IF(C1="",'数据-汇总表'!E3,INDIRECT("'数据-取费表'!K"&amp;$K$1)),0)</f>
        <v>46079</v>
      </c>
      <c r="C3" s="266" t="s">
        <v>1596</v>
      </c>
      <c r="D3" s="266"/>
      <c r="E3" s="2560"/>
      <c r="F3" s="2560"/>
      <c r="G3" s="2560"/>
      <c r="H3" s="2560"/>
      <c r="I3" s="2560"/>
      <c r="J3" s="2560"/>
      <c r="K3" s="2560"/>
    </row>
    <row r="4" spans="1:33" s="734" customFormat="1" ht="16.5" customHeight="1">
      <c r="A4" s="731" t="s">
        <v>1597</v>
      </c>
      <c r="B4" s="732"/>
      <c r="C4" s="770">
        <f>SUM(C8:K8)</f>
        <v>198137</v>
      </c>
      <c r="D4" s="732"/>
      <c r="E4" s="732"/>
      <c r="F4" s="732"/>
      <c r="G4" s="732"/>
      <c r="H4" s="732"/>
      <c r="I4" s="732"/>
      <c r="J4" s="732"/>
      <c r="K4" s="733"/>
      <c r="M4" s="734">
        <v>175000</v>
      </c>
      <c r="N4" s="734">
        <f>M4/C4</f>
        <v>0.88322726194501788</v>
      </c>
    </row>
    <row r="5" spans="1:33" s="738" customFormat="1" ht="14.4">
      <c r="A5" s="735" t="s">
        <v>1598</v>
      </c>
      <c r="B5" s="736" t="s">
        <v>1599</v>
      </c>
      <c r="C5" s="1713" t="s">
        <v>3373</v>
      </c>
      <c r="D5" s="1713" t="s">
        <v>3336</v>
      </c>
      <c r="E5" s="1713" t="s">
        <v>3384</v>
      </c>
      <c r="F5" s="1713"/>
      <c r="G5" s="1713"/>
      <c r="H5" s="1713"/>
      <c r="I5" s="1713"/>
      <c r="J5" s="1713"/>
      <c r="K5" s="1713"/>
      <c r="L5" s="737"/>
      <c r="M5" s="737"/>
      <c r="N5" s="737"/>
      <c r="O5" s="737"/>
      <c r="P5" s="737"/>
      <c r="Q5" s="737"/>
      <c r="R5" s="737"/>
      <c r="S5" s="737"/>
      <c r="T5" s="737"/>
      <c r="U5" s="737"/>
      <c r="V5" s="737"/>
      <c r="W5" s="737"/>
      <c r="X5" s="737"/>
      <c r="Y5" s="737"/>
      <c r="Z5" s="737"/>
      <c r="AA5" s="737"/>
      <c r="AB5" s="737"/>
      <c r="AC5" s="737"/>
      <c r="AD5" s="737"/>
      <c r="AE5" s="737"/>
      <c r="AF5" s="737"/>
      <c r="AG5" s="737"/>
    </row>
    <row r="6" spans="1:33" s="120" customFormat="1" ht="13.5" customHeight="1">
      <c r="A6" s="739" t="s">
        <v>357</v>
      </c>
      <c r="B6" s="121" t="s">
        <v>1600</v>
      </c>
      <c r="C6" s="740">
        <f>'比较法-住宅'!B3</f>
        <v>79208</v>
      </c>
      <c r="D6" s="740">
        <f>'比较法-仓储'!B3</f>
        <v>29036</v>
      </c>
      <c r="E6" s="740">
        <f>'比较法-车位'!B3</f>
        <v>12606</v>
      </c>
      <c r="F6" s="740"/>
      <c r="G6" s="740"/>
      <c r="H6" s="740"/>
      <c r="I6" s="740"/>
      <c r="J6" s="740"/>
      <c r="K6" s="741"/>
      <c r="L6" s="681"/>
      <c r="M6" s="681">
        <f>D6/C6</f>
        <v>0.36657913342086657</v>
      </c>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39" t="s">
        <v>1601</v>
      </c>
      <c r="B7" s="121" t="s">
        <v>1602</v>
      </c>
      <c r="C7" s="267">
        <f>SUMIF('数据-汇总表'!$C19:$C33,假设开发法!C5,'数据-汇总表'!$E19:$E33)</f>
        <v>22498.01</v>
      </c>
      <c r="D7" s="267">
        <f>SUMIF('数据-汇总表'!$C19:$C33,假设开发法!D5,'数据-汇总表'!$E19:$E33)</f>
        <v>1909.58</v>
      </c>
      <c r="E7" s="267">
        <f>SUMIF('数据-汇总表'!$C19:$C33,假设开发法!E5,'数据-汇总表'!$E19:$E33)</f>
        <v>11415.02</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f>E8*10000/E7</f>
        <v>12606.197799040212</v>
      </c>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4" t="s">
        <v>1603</v>
      </c>
      <c r="B8" s="154" t="s">
        <v>1604</v>
      </c>
      <c r="C8" s="771">
        <f>'比较法-住宅'!B2</f>
        <v>178202</v>
      </c>
      <c r="D8" s="771">
        <f>'比较法-仓储'!B2</f>
        <v>5545</v>
      </c>
      <c r="E8" s="771">
        <f>'比较法-车位'!B2</f>
        <v>14390</v>
      </c>
      <c r="F8" s="772"/>
      <c r="G8" s="772"/>
      <c r="H8" s="772"/>
      <c r="I8" s="772"/>
      <c r="J8" s="772"/>
      <c r="K8" s="773"/>
      <c r="L8" s="681"/>
      <c r="M8" s="681"/>
      <c r="N8" s="681"/>
      <c r="O8" s="681"/>
      <c r="P8" s="681"/>
      <c r="Q8" s="681"/>
      <c r="R8" s="681"/>
      <c r="S8" s="681"/>
      <c r="T8" s="681"/>
      <c r="U8" s="681"/>
      <c r="V8" s="681"/>
      <c r="W8" s="681"/>
      <c r="X8" s="681"/>
      <c r="Y8" s="681"/>
      <c r="Z8" s="681"/>
      <c r="AA8" s="681"/>
      <c r="AB8" s="681"/>
      <c r="AC8" s="681"/>
      <c r="AD8" s="681"/>
      <c r="AE8" s="681"/>
      <c r="AF8" s="681"/>
      <c r="AG8" s="681"/>
    </row>
    <row r="9" spans="1:33" s="734" customFormat="1" ht="16.5" customHeight="1">
      <c r="A9" s="731" t="s">
        <v>1605</v>
      </c>
      <c r="B9" s="732"/>
      <c r="C9" s="732"/>
      <c r="D9" s="732"/>
      <c r="E9" s="732"/>
      <c r="F9" s="732"/>
      <c r="G9" s="732"/>
      <c r="H9" s="732"/>
      <c r="I9" s="732"/>
      <c r="J9" s="732"/>
      <c r="K9" s="733"/>
    </row>
    <row r="10" spans="1:33" s="746" customFormat="1" ht="13.5" customHeight="1">
      <c r="A10" s="735" t="s">
        <v>1606</v>
      </c>
      <c r="B10" s="5" t="s">
        <v>1607</v>
      </c>
      <c r="C10" s="742" t="s">
        <v>1608</v>
      </c>
      <c r="D10" s="743" t="s">
        <v>1609</v>
      </c>
      <c r="E10" s="743" t="s">
        <v>1610</v>
      </c>
      <c r="F10" s="743" t="s">
        <v>1611</v>
      </c>
      <c r="G10" s="5"/>
      <c r="H10" s="744"/>
      <c r="I10" s="744"/>
      <c r="J10" s="744"/>
      <c r="K10" s="745"/>
    </row>
    <row r="11" spans="1:33" s="750" customFormat="1" ht="13.5" customHeight="1">
      <c r="A11" s="747" t="s">
        <v>635</v>
      </c>
      <c r="B11" s="748" t="s">
        <v>1612</v>
      </c>
      <c r="C11" s="269">
        <f ca="1">IF(C1="",'数据-取费表'!P16,INDIRECT("'数据-取费表'!p"&amp;$K$1)+INDIRECT("'数据-取费表'!ar"&amp;$K$1))</f>
        <v>4722</v>
      </c>
      <c r="D11" s="749"/>
      <c r="E11" s="136"/>
      <c r="F11" s="759">
        <f ca="1">1-IF('数据-取费表'!B24=0,1,IF(C1="",'数据-取费表'!N16,INDIRECT("'数据-取费表'!n"&amp;$K$1)))</f>
        <v>0.23699999999999999</v>
      </c>
      <c r="G11" s="5"/>
      <c r="H11" s="744"/>
      <c r="I11" s="744"/>
      <c r="J11" s="744"/>
      <c r="K11" s="745"/>
      <c r="L11" s="750">
        <f>6500*22498.01*(1-75%)/10000+4000*1909.58*(1-80%)/10000+4000*11415.02*(1-80%)/10000</f>
        <v>4721.8946249999999</v>
      </c>
    </row>
    <row r="12" spans="1:33" s="750" customFormat="1" ht="13.5" customHeight="1">
      <c r="A12" s="747" t="s">
        <v>636</v>
      </c>
      <c r="B12" s="748" t="s">
        <v>1613</v>
      </c>
      <c r="C12" s="20">
        <f ca="1">ROUND(C11*F12,0)</f>
        <v>142</v>
      </c>
      <c r="D12" s="749"/>
      <c r="E12" s="136"/>
      <c r="F12" s="759">
        <f>'数据-取费表'!B33</f>
        <v>0.03</v>
      </c>
      <c r="G12" s="5" t="s">
        <v>1614</v>
      </c>
      <c r="H12" s="744"/>
      <c r="I12" s="744"/>
      <c r="J12" s="744"/>
      <c r="K12" s="745"/>
      <c r="L12" s="750">
        <f>6500*22498.01*(1-75%)/10000*3%</f>
        <v>109.67779874999999</v>
      </c>
    </row>
    <row r="13" spans="1:33" s="750" customFormat="1" ht="13.5" customHeight="1">
      <c r="A13" s="747" t="s">
        <v>637</v>
      </c>
      <c r="B13" s="748" t="s">
        <v>1615</v>
      </c>
      <c r="C13" s="20">
        <f ca="1">ROUND(IF(C1="",SUMIF('数据-取费表'!C:C,"住宅",'数据-取费表'!P:P)*F13,IF(INDIRECT("'数据-取费表'!c"&amp;$K$1)="住宅",INDIRECT("'数据-取费表'!P"&amp;$K$1)*F13,0)),0)</f>
        <v>110</v>
      </c>
      <c r="D13" s="791"/>
      <c r="E13" s="136"/>
      <c r="F13" s="759">
        <f>'数据-取费表'!B34</f>
        <v>0.03</v>
      </c>
      <c r="G13" s="5" t="s">
        <v>1616</v>
      </c>
      <c r="H13" s="744"/>
      <c r="I13" s="744"/>
      <c r="J13" s="744"/>
      <c r="K13" s="745"/>
    </row>
    <row r="14" spans="1:33" s="752" customFormat="1" ht="13.5" customHeight="1">
      <c r="A14" s="747" t="s">
        <v>638</v>
      </c>
      <c r="B14" s="748" t="s">
        <v>1617</v>
      </c>
      <c r="C14" s="20">
        <f ca="1">ROUND(D14*E14*F11/10000,0)</f>
        <v>170</v>
      </c>
      <c r="D14" s="791">
        <f ca="1">IF(C1="",'数据-汇总表'!E3,INDIRECT("'数据-取费表'!K"&amp;$K$1)+INDIRECT("'数据-取费表'!S"&amp;$K$1))</f>
        <v>35822.61</v>
      </c>
      <c r="E14" s="20">
        <f>'数据-取费表'!B35</f>
        <v>200</v>
      </c>
      <c r="F14" s="751"/>
      <c r="G14" s="5" t="s">
        <v>1618</v>
      </c>
      <c r="H14" s="744"/>
      <c r="I14" s="744"/>
      <c r="J14" s="744"/>
      <c r="K14" s="745"/>
      <c r="L14" s="750">
        <f>200*35822.61*(1-76.3%)/10000</f>
        <v>169.79917140000001</v>
      </c>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1619</v>
      </c>
      <c r="C15" s="758">
        <f ca="1">ROUND(C11*F15,0)</f>
        <v>71</v>
      </c>
      <c r="D15" s="753"/>
      <c r="E15" s="758"/>
      <c r="F15" s="759">
        <f>'数据-取费表'!B36</f>
        <v>1.4999999999999999E-2</v>
      </c>
      <c r="G15" s="121" t="s">
        <v>1620</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1621</v>
      </c>
      <c r="C16" s="758">
        <f ca="1">SUM(C11:C15)</f>
        <v>5215</v>
      </c>
      <c r="D16" s="753"/>
      <c r="E16" s="758"/>
      <c r="F16" s="759"/>
      <c r="G16" s="121"/>
      <c r="H16" s="1102"/>
      <c r="I16" s="754"/>
      <c r="J16" s="754"/>
      <c r="K16" s="755"/>
      <c r="L16" s="750">
        <f>4722+142+110+170+71</f>
        <v>5215</v>
      </c>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1622</v>
      </c>
      <c r="C17" s="20">
        <f ca="1">ROUND(D17*E17/10000,0)</f>
        <v>0</v>
      </c>
      <c r="D17" s="791">
        <f ca="1">D14</f>
        <v>35822.61</v>
      </c>
      <c r="E17" s="20">
        <f>'数据-取费表'!B32</f>
        <v>0</v>
      </c>
      <c r="F17" s="753"/>
      <c r="G17" s="121" t="s">
        <v>1623</v>
      </c>
      <c r="H17" s="1102"/>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1624</v>
      </c>
      <c r="C18" s="20">
        <f ca="1">C19+C20-IF(C1="",'数据-取费表'!B29,IF(G18="已全部缴纳",C19+C20,H18))</f>
        <v>0</v>
      </c>
      <c r="D18" s="791"/>
      <c r="E18" s="20"/>
      <c r="F18" s="751"/>
      <c r="G18" s="1715" t="s">
        <v>3855</v>
      </c>
      <c r="H18" s="1101"/>
      <c r="I18" s="1716" t="s">
        <v>1625</v>
      </c>
      <c r="J18" s="754"/>
      <c r="K18" s="755"/>
    </row>
    <row r="19" spans="1:33" s="750" customFormat="1" ht="13.5" customHeight="1">
      <c r="A19" s="747" t="s">
        <v>360</v>
      </c>
      <c r="B19" s="748" t="s">
        <v>1626</v>
      </c>
      <c r="C19" s="20">
        <f ca="1">ROUND(D19*E19/10000,0)</f>
        <v>360</v>
      </c>
      <c r="D19" s="791">
        <f ca="1">IF(C1="",'数据-汇总表'!E5,IF(INDIRECT("'数据-取费表'!c"&amp;$K$1)="住宅",INDIRECT("'数据-取费表'!k"&amp;$K$1),0))</f>
        <v>22498.01</v>
      </c>
      <c r="E19" s="20">
        <f>'数据-取费表'!B27</f>
        <v>160</v>
      </c>
      <c r="F19" s="751"/>
      <c r="G19" s="11"/>
      <c r="H19" s="1103"/>
      <c r="I19" s="756"/>
      <c r="J19" s="756"/>
      <c r="K19" s="757"/>
    </row>
    <row r="20" spans="1:33" s="750" customFormat="1" ht="13.5" customHeight="1">
      <c r="A20" s="747" t="s">
        <v>361</v>
      </c>
      <c r="B20" s="748" t="s">
        <v>1627</v>
      </c>
      <c r="C20" s="20">
        <f ca="1">ROUND(D20*E20/10000,0)</f>
        <v>266</v>
      </c>
      <c r="D20" s="791">
        <f ca="1">IF(C1="",'数据-汇总表'!E6,IF(INDIRECT("'数据-取费表'!c"&amp;$K$1)="住宅",INDIRECT("'数据-取费表'!s"&amp;$K$1),INDIRECT("'数据-取费表'!k"&amp;$K$1)+INDIRECT("'数据-取费表'!s"&amp;$K$1)))</f>
        <v>13324.600000000002</v>
      </c>
      <c r="E20" s="20">
        <f>'数据-取费表'!B28</f>
        <v>200</v>
      </c>
      <c r="F20" s="751"/>
      <c r="G20" s="11"/>
      <c r="H20" s="756"/>
      <c r="I20" s="756"/>
      <c r="J20" s="756"/>
      <c r="K20" s="757"/>
    </row>
    <row r="21" spans="1:33" s="750" customFormat="1" ht="13.5" customHeight="1">
      <c r="A21" s="739" t="s">
        <v>357</v>
      </c>
      <c r="B21" s="760" t="s">
        <v>1628</v>
      </c>
      <c r="C21" s="761">
        <f ca="1">C16+C17+C18</f>
        <v>5215</v>
      </c>
      <c r="D21" s="762"/>
      <c r="E21" s="271"/>
      <c r="F21" s="271"/>
      <c r="G21" s="121" t="s">
        <v>1629</v>
      </c>
      <c r="H21" s="754"/>
      <c r="I21" s="754"/>
      <c r="J21" s="754"/>
      <c r="K21" s="755"/>
    </row>
    <row r="22" spans="1:33" s="750" customFormat="1" ht="13.5" customHeight="1">
      <c r="A22" s="739" t="s">
        <v>1601</v>
      </c>
      <c r="B22" s="760" t="s">
        <v>1630</v>
      </c>
      <c r="C22" s="761">
        <f ca="1">ROUND(C21*F22,0)</f>
        <v>156</v>
      </c>
      <c r="D22" s="271"/>
      <c r="E22" s="271"/>
      <c r="F22" s="763">
        <f>'数据-取费表'!B37</f>
        <v>0.03</v>
      </c>
      <c r="G22" s="5" t="s">
        <v>1631</v>
      </c>
      <c r="H22" s="744"/>
      <c r="I22" s="744"/>
      <c r="J22" s="744"/>
      <c r="K22" s="745"/>
    </row>
    <row r="23" spans="1:33" s="750" customFormat="1" ht="13.5" customHeight="1">
      <c r="A23" s="739" t="s">
        <v>1603</v>
      </c>
      <c r="B23" s="760" t="s">
        <v>1632</v>
      </c>
      <c r="C23" s="761">
        <f ca="1">ROUND(C4*F23*F11,0)</f>
        <v>1409</v>
      </c>
      <c r="D23" s="271"/>
      <c r="E23" s="271"/>
      <c r="F23" s="763">
        <f>'数据-取费表'!B38</f>
        <v>0.03</v>
      </c>
      <c r="G23" s="5" t="s">
        <v>1633</v>
      </c>
      <c r="H23" s="744"/>
      <c r="I23" s="744"/>
      <c r="J23" s="744"/>
      <c r="K23" s="745"/>
      <c r="L23" s="750">
        <f>198137*3%*(1-76.3%)</f>
        <v>1408.75407</v>
      </c>
    </row>
    <row r="24" spans="1:33" s="750" customFormat="1" ht="13.5" customHeight="1">
      <c r="A24" s="739" t="s">
        <v>1634</v>
      </c>
      <c r="B24" s="760" t="s">
        <v>1635</v>
      </c>
      <c r="C24" s="270">
        <f>ROUND(F24/(1+'数据-取费表'!C42),4)</f>
        <v>2.9000000000000001E-2</v>
      </c>
      <c r="D24" s="271" t="s">
        <v>12</v>
      </c>
      <c r="E24" s="271"/>
      <c r="F24" s="763">
        <f>IF(项目基本情况!B8="出让",0,'数据-取费表'!B48+'数据-取费表'!B49)</f>
        <v>3.0499999999999999E-2</v>
      </c>
      <c r="G24" s="5" t="s">
        <v>1636</v>
      </c>
      <c r="H24" s="765"/>
      <c r="I24" s="765"/>
      <c r="J24" s="765"/>
      <c r="K24" s="54"/>
    </row>
    <row r="25" spans="1:33" s="750" customFormat="1" ht="13.5" customHeight="1">
      <c r="A25" s="739" t="s">
        <v>1637</v>
      </c>
      <c r="B25" s="762" t="s">
        <v>1638</v>
      </c>
      <c r="C25" s="1038">
        <f ca="1">C27</f>
        <v>83</v>
      </c>
      <c r="D25" s="270">
        <f ca="1">C26</f>
        <v>2.5399999999999999E-2</v>
      </c>
      <c r="E25" s="272" t="s">
        <v>12</v>
      </c>
      <c r="F25" s="273">
        <f ca="1">'数据-取费表'!B40</f>
        <v>4.1499999999999995E-2</v>
      </c>
      <c r="G25" s="121" t="str">
        <f>IF('数据-取费表'!B22&lt;=1,"单利计息。","复利计息。")&amp;"后续开发成本、管理费用及销售费用产生的利息。"</f>
        <v>复利计息。后续开发成本、管理费用及销售费用产生的利息。</v>
      </c>
      <c r="H25" s="765"/>
      <c r="I25" s="765"/>
      <c r="J25" s="765"/>
      <c r="K25" s="54"/>
    </row>
    <row r="26" spans="1:33" s="767" customFormat="1" ht="13.5" customHeight="1">
      <c r="A26" s="747" t="s">
        <v>358</v>
      </c>
      <c r="B26" s="766" t="s">
        <v>1639</v>
      </c>
      <c r="C26" s="1039">
        <f ca="1">ROUND(IF('数据-取费表'!B22&lt;=1,(1+C24)*F25*'数据-取费表'!B24,(1+C24)*(POWER((1+F25),'数据-取费表'!B24)-1)),4)</f>
        <v>2.5399999999999999E-2</v>
      </c>
      <c r="D26" s="274"/>
      <c r="E26" s="275"/>
      <c r="F26" s="276"/>
      <c r="G26" s="1717"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1640</v>
      </c>
      <c r="C27" s="1040">
        <f ca="1">ROUND(IF('数据-取费表'!B22&lt;=1,(C21+C22+C23)*F25*'数据-取费表'!B24/2,(C21+C22+C23)*(POWER((1+F25),'数据-取费表'!B24/2)-1)),0)</f>
        <v>83</v>
      </c>
      <c r="D27" s="274"/>
      <c r="E27" s="275"/>
      <c r="F27" s="276"/>
      <c r="G27" s="1717" t="str">
        <f>IF('数据-取费表'!B22&lt;=1,"（1）-（3）项×年利率×建设期÷2","（1）-（3）项×((1+年利率)^(建设期÷2)-1)")</f>
        <v>（1）-（3）项×((1+年利率)^(建设期÷2)-1)</v>
      </c>
      <c r="H27" s="754"/>
      <c r="I27" s="754"/>
      <c r="J27" s="754"/>
      <c r="K27" s="755"/>
    </row>
    <row r="28" spans="1:33" s="279" customFormat="1" ht="13.5" customHeight="1">
      <c r="A28" s="739" t="s">
        <v>1641</v>
      </c>
      <c r="B28" s="1718" t="s">
        <v>1642</v>
      </c>
      <c r="C28" s="277">
        <f ca="1">C30</f>
        <v>949</v>
      </c>
      <c r="D28" s="270">
        <f ca="1">C29</f>
        <v>3.4599999999999999E-2</v>
      </c>
      <c r="E28" s="272" t="s">
        <v>12</v>
      </c>
      <c r="F28" s="278">
        <f ca="1">IF(C1="",'数据-取费表'!Q16,INDIRECT("'数据-取费表'!q"&amp;$K$1))</f>
        <v>0.14000000000000001</v>
      </c>
      <c r="G28" s="764"/>
      <c r="H28" s="765"/>
      <c r="I28" s="765"/>
      <c r="J28" s="765"/>
      <c r="K28" s="54"/>
    </row>
    <row r="29" spans="1:33" s="281" customFormat="1" ht="13.5" customHeight="1">
      <c r="A29" s="747" t="s">
        <v>358</v>
      </c>
      <c r="B29" s="768" t="s">
        <v>1643</v>
      </c>
      <c r="C29" s="274">
        <f ca="1">ROUND((1+C24)*F28*'数据-取费表'!B24/'数据-取费表'!B20,4)</f>
        <v>3.4599999999999999E-2</v>
      </c>
      <c r="D29" s="274"/>
      <c r="E29" s="275"/>
      <c r="F29" s="280"/>
      <c r="G29" s="121" t="s">
        <v>1644</v>
      </c>
      <c r="H29" s="754"/>
      <c r="I29" s="754"/>
      <c r="J29" s="754"/>
      <c r="K29" s="755"/>
    </row>
    <row r="30" spans="1:33" s="281" customFormat="1" ht="13.5" customHeight="1">
      <c r="A30" s="747" t="s">
        <v>359</v>
      </c>
      <c r="B30" s="768" t="s">
        <v>1645</v>
      </c>
      <c r="C30" s="282">
        <f ca="1">ROUND((C21+C22+C23)*F28,0)</f>
        <v>949</v>
      </c>
      <c r="D30" s="274"/>
      <c r="E30" s="275"/>
      <c r="F30" s="280"/>
      <c r="G30" s="121"/>
      <c r="H30" s="754"/>
      <c r="I30" s="754"/>
      <c r="J30" s="754"/>
      <c r="K30" s="755"/>
    </row>
    <row r="31" spans="1:33" s="750" customFormat="1" ht="13.5" customHeight="1" thickBot="1">
      <c r="A31" s="1719" t="s">
        <v>1646</v>
      </c>
      <c r="B31" s="778" t="s">
        <v>1647</v>
      </c>
      <c r="C31" s="779">
        <f>ROUND(C4*F31/(1+'数据-取费表'!C42),0)</f>
        <v>10567</v>
      </c>
      <c r="D31" s="780"/>
      <c r="E31" s="781"/>
      <c r="F31" s="782">
        <f>'数据-取费表'!B41</f>
        <v>5.6000000000000001E-2</v>
      </c>
      <c r="G31" s="783" t="s">
        <v>1648</v>
      </c>
      <c r="H31" s="784"/>
      <c r="I31" s="784"/>
      <c r="J31" s="784"/>
      <c r="K31" s="785"/>
    </row>
    <row r="32" spans="1:33" s="746" customFormat="1" ht="13.5" customHeight="1" thickBot="1">
      <c r="A32" s="447" t="s">
        <v>1649</v>
      </c>
      <c r="B32" s="774"/>
      <c r="C32" s="775">
        <f ca="1">ROUND((C4-C21-C22-C23-C25-C28-C31)/(1+C24+D25+D28),0)</f>
        <v>165067</v>
      </c>
      <c r="D32" s="774"/>
      <c r="E32" s="774"/>
      <c r="F32" s="774"/>
      <c r="G32" s="776" t="s">
        <v>1650</v>
      </c>
      <c r="H32" s="774"/>
      <c r="I32" s="774"/>
      <c r="J32" s="774"/>
      <c r="K32" s="777"/>
    </row>
    <row r="34" spans="7:8" ht="12.75" customHeight="1">
      <c r="G34" s="730">
        <f>19.5</f>
        <v>19.5</v>
      </c>
    </row>
    <row r="37" spans="7:8">
      <c r="H37" s="730">
        <f>198137/(1+5%)*5.6%</f>
        <v>10567.306666666665</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89"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zoomScale="90" zoomScaleNormal="90" workbookViewId="0">
      <selection activeCell="F24" sqref="F24"/>
    </sheetView>
  </sheetViews>
  <sheetFormatPr defaultColWidth="9" defaultRowHeight="14.4"/>
  <cols>
    <col min="1" max="1" width="6.77734375" style="3140" customWidth="1"/>
    <col min="2" max="2" width="39.44140625" style="3140" customWidth="1"/>
    <col min="3" max="4" width="20" style="3140" customWidth="1"/>
    <col min="5" max="5" width="11.88671875" style="3140" customWidth="1"/>
    <col min="6" max="6" width="21.33203125" style="3140" bestFit="1" customWidth="1"/>
    <col min="7" max="7" width="11.21875" style="3140" customWidth="1"/>
    <col min="8" max="8" width="14.77734375" style="3140" customWidth="1"/>
    <col min="9" max="9" width="13.33203125" style="3140" hidden="1" customWidth="1"/>
    <col min="10" max="10" width="11.21875" style="3140" customWidth="1"/>
    <col min="11" max="11" width="11.88671875" style="3140" customWidth="1"/>
    <col min="12" max="12" width="9" style="3140" customWidth="1"/>
    <col min="13" max="13" width="11.21875" style="3140" customWidth="1"/>
    <col min="14" max="14" width="10.109375" style="3140" bestFit="1" customWidth="1"/>
    <col min="15" max="15" width="21.44140625" style="3140" bestFit="1" customWidth="1"/>
    <col min="16" max="16" width="13.109375" style="3140" bestFit="1" customWidth="1"/>
    <col min="17" max="17" width="14.88671875" style="3142" customWidth="1"/>
    <col min="18" max="19" width="9" style="3142"/>
    <col min="20" max="20" width="10.77734375" style="3181" customWidth="1"/>
    <col min="21" max="21" width="12.77734375" style="3142" bestFit="1" customWidth="1"/>
    <col min="22" max="22" width="9" style="3142"/>
    <col min="23" max="23" width="9" style="3140"/>
    <col min="24" max="16384" width="9" style="3142"/>
  </cols>
  <sheetData>
    <row r="1" spans="1:23" ht="28.8">
      <c r="A1" s="1435" t="s">
        <v>3391</v>
      </c>
      <c r="B1" s="3140" t="s">
        <v>3392</v>
      </c>
      <c r="C1" s="3140" t="s">
        <v>3393</v>
      </c>
      <c r="D1" s="3140" t="s">
        <v>3394</v>
      </c>
      <c r="E1" s="3140" t="s">
        <v>3395</v>
      </c>
      <c r="F1" s="3140" t="s">
        <v>3396</v>
      </c>
      <c r="G1" s="3140" t="s">
        <v>3397</v>
      </c>
      <c r="H1" s="3140" t="s">
        <v>3398</v>
      </c>
      <c r="I1" s="3140" t="s">
        <v>3399</v>
      </c>
      <c r="J1" s="3140" t="s">
        <v>3400</v>
      </c>
      <c r="K1" s="3140" t="s">
        <v>3401</v>
      </c>
      <c r="L1" s="3140" t="s">
        <v>3402</v>
      </c>
      <c r="M1" s="3140" t="s">
        <v>3403</v>
      </c>
      <c r="N1" s="3140" t="s">
        <v>3404</v>
      </c>
      <c r="O1" s="3140" t="s">
        <v>3405</v>
      </c>
      <c r="P1" s="3140" t="s">
        <v>3406</v>
      </c>
      <c r="Q1" s="1435" t="s">
        <v>3451</v>
      </c>
      <c r="R1" s="1435" t="s">
        <v>3452</v>
      </c>
      <c r="S1" s="1435" t="s">
        <v>3515</v>
      </c>
      <c r="T1" s="3179" t="s">
        <v>3542</v>
      </c>
    </row>
    <row r="2" spans="1:23" ht="28.8" hidden="1">
      <c r="A2" s="3140">
        <v>1</v>
      </c>
      <c r="B2" s="3140" t="s">
        <v>3453</v>
      </c>
      <c r="C2" s="3140" t="s">
        <v>3454</v>
      </c>
      <c r="D2" s="3140" t="s">
        <v>3409</v>
      </c>
      <c r="E2" s="3140">
        <v>2.5</v>
      </c>
      <c r="F2" s="3140" t="s">
        <v>3410</v>
      </c>
      <c r="G2" s="3140">
        <v>30150</v>
      </c>
      <c r="H2" s="3140">
        <v>12060.05</v>
      </c>
      <c r="I2" s="3140" t="s">
        <v>3455</v>
      </c>
      <c r="J2" s="3140">
        <v>124000</v>
      </c>
      <c r="K2" s="3143">
        <v>44965.000497685185</v>
      </c>
      <c r="L2" s="3140">
        <v>142600</v>
      </c>
      <c r="M2" s="3140">
        <v>47297</v>
      </c>
      <c r="N2" s="3144">
        <v>0.15</v>
      </c>
      <c r="O2" s="3140" t="s">
        <v>3456</v>
      </c>
      <c r="P2" s="3140">
        <v>25000</v>
      </c>
      <c r="Q2" s="3140"/>
      <c r="R2" s="3140"/>
      <c r="S2" s="3140"/>
      <c r="T2" s="3144"/>
    </row>
    <row r="3" spans="1:23" ht="43.2" hidden="1">
      <c r="A3" s="3140">
        <v>2</v>
      </c>
      <c r="B3" s="3140" t="s">
        <v>3407</v>
      </c>
      <c r="C3" s="3140" t="s">
        <v>3408</v>
      </c>
      <c r="D3" s="3140" t="s">
        <v>3409</v>
      </c>
      <c r="E3" s="3140">
        <v>2.5</v>
      </c>
      <c r="F3" s="3140" t="s">
        <v>3410</v>
      </c>
      <c r="G3" s="3140">
        <v>46703.06</v>
      </c>
      <c r="H3" s="3140">
        <v>18681.22</v>
      </c>
      <c r="I3" s="3140" t="s">
        <v>3411</v>
      </c>
      <c r="J3" s="3140">
        <v>212000</v>
      </c>
      <c r="K3" s="3143">
        <v>44894.000497685185</v>
      </c>
      <c r="L3" s="3140">
        <v>243800</v>
      </c>
      <c r="M3" s="3140">
        <v>52202</v>
      </c>
      <c r="N3" s="3144">
        <v>0.15</v>
      </c>
      <c r="O3" s="3140" t="s">
        <v>3412</v>
      </c>
      <c r="P3" s="3140">
        <v>43000</v>
      </c>
      <c r="Q3" s="1435" t="s">
        <v>3517</v>
      </c>
      <c r="R3" s="3140">
        <v>85000</v>
      </c>
      <c r="S3" s="1435" t="s">
        <v>3516</v>
      </c>
      <c r="T3" s="3144"/>
    </row>
    <row r="4" spans="1:23" ht="43.2" hidden="1">
      <c r="A4" s="3140">
        <v>3</v>
      </c>
      <c r="B4" s="3140" t="s">
        <v>3413</v>
      </c>
      <c r="C4" s="3140" t="s">
        <v>3414</v>
      </c>
      <c r="D4" s="3140" t="s">
        <v>3409</v>
      </c>
      <c r="E4" s="3140">
        <v>2.5</v>
      </c>
      <c r="F4" s="3140" t="s">
        <v>3410</v>
      </c>
      <c r="G4" s="3140">
        <v>49009.63</v>
      </c>
      <c r="H4" s="3140">
        <v>19603.849999999999</v>
      </c>
      <c r="I4" s="3140" t="s">
        <v>3411</v>
      </c>
      <c r="J4" s="3140">
        <v>222000</v>
      </c>
      <c r="K4" s="3143">
        <v>44894.000497685185</v>
      </c>
      <c r="L4" s="3140">
        <v>255300</v>
      </c>
      <c r="M4" s="3140">
        <v>52092</v>
      </c>
      <c r="N4" s="3144">
        <v>0.15</v>
      </c>
      <c r="O4" s="3140" t="s">
        <v>3415</v>
      </c>
      <c r="P4" s="3140">
        <v>45000</v>
      </c>
      <c r="Q4" s="1435" t="s">
        <v>3517</v>
      </c>
      <c r="R4" s="3140">
        <v>85000</v>
      </c>
      <c r="S4" s="1435" t="s">
        <v>3516</v>
      </c>
      <c r="T4" s="3144"/>
    </row>
    <row r="5" spans="1:23" ht="28.8" hidden="1">
      <c r="A5" s="3140">
        <v>4</v>
      </c>
      <c r="B5" s="3140" t="s">
        <v>3457</v>
      </c>
      <c r="C5" s="3140" t="s">
        <v>3458</v>
      </c>
      <c r="D5" s="3140" t="s">
        <v>3409</v>
      </c>
      <c r="E5" s="3140">
        <v>2.2200000000000002</v>
      </c>
      <c r="F5" s="3140" t="s">
        <v>3410</v>
      </c>
      <c r="G5" s="3140">
        <v>70864</v>
      </c>
      <c r="H5" s="3140">
        <v>31920.74</v>
      </c>
      <c r="I5" s="3140" t="s">
        <v>3411</v>
      </c>
      <c r="J5" s="3140">
        <v>281000</v>
      </c>
      <c r="K5" s="3143">
        <v>44894.000497685185</v>
      </c>
      <c r="L5" s="3140">
        <v>323150</v>
      </c>
      <c r="M5" s="3140">
        <v>45601</v>
      </c>
      <c r="N5" s="3144">
        <v>0.15</v>
      </c>
      <c r="O5" s="3140" t="s">
        <v>3459</v>
      </c>
      <c r="P5" s="3140">
        <v>57000</v>
      </c>
      <c r="Q5" s="1435" t="s">
        <v>3517</v>
      </c>
      <c r="R5" s="3140">
        <v>82000</v>
      </c>
      <c r="S5" s="1435" t="s">
        <v>3517</v>
      </c>
      <c r="T5" s="3144"/>
    </row>
    <row r="6" spans="1:23" ht="28.8" hidden="1">
      <c r="A6" s="3140">
        <v>5</v>
      </c>
      <c r="B6" s="3140" t="s">
        <v>3460</v>
      </c>
      <c r="C6" s="3140" t="s">
        <v>3461</v>
      </c>
      <c r="D6" s="3140" t="s">
        <v>3409</v>
      </c>
      <c r="E6" s="3147">
        <v>1.4</v>
      </c>
      <c r="F6" s="3140" t="s">
        <v>3410</v>
      </c>
      <c r="G6" s="3140">
        <v>56712</v>
      </c>
      <c r="H6" s="3140">
        <v>40508.61</v>
      </c>
      <c r="I6" s="3140" t="s">
        <v>3462</v>
      </c>
      <c r="J6" s="3140">
        <v>263000</v>
      </c>
      <c r="K6" s="3143">
        <v>44713.000497685185</v>
      </c>
      <c r="L6" s="3140">
        <v>298000</v>
      </c>
      <c r="M6" s="3140">
        <v>52546</v>
      </c>
      <c r="N6" s="3144">
        <v>0.1331</v>
      </c>
      <c r="O6" s="3140" t="s">
        <v>3463</v>
      </c>
      <c r="P6" s="3140">
        <v>53000</v>
      </c>
      <c r="Q6" s="3140"/>
      <c r="R6" s="3140"/>
      <c r="S6" s="3140"/>
      <c r="T6" s="3144"/>
    </row>
    <row r="7" spans="1:23" ht="57.6" hidden="1">
      <c r="A7" s="3140">
        <v>6</v>
      </c>
      <c r="B7" s="3140" t="s">
        <v>3464</v>
      </c>
      <c r="C7" s="3140" t="s">
        <v>3465</v>
      </c>
      <c r="D7" s="3140" t="s">
        <v>3409</v>
      </c>
      <c r="E7" s="3140">
        <v>2.5</v>
      </c>
      <c r="F7" s="3140" t="s">
        <v>3410</v>
      </c>
      <c r="G7" s="3140">
        <v>86256</v>
      </c>
      <c r="H7" s="3140">
        <v>34502.36</v>
      </c>
      <c r="I7" s="3140" t="s">
        <v>3462</v>
      </c>
      <c r="J7" s="3140">
        <v>388000</v>
      </c>
      <c r="K7" s="3143">
        <v>44712.000497685185</v>
      </c>
      <c r="L7" s="3140">
        <v>388000</v>
      </c>
      <c r="M7" s="3140">
        <v>44982</v>
      </c>
      <c r="N7" s="3144">
        <v>0</v>
      </c>
      <c r="O7" s="3140" t="s">
        <v>3466</v>
      </c>
      <c r="P7" s="3140">
        <v>78000</v>
      </c>
      <c r="Q7" s="3140"/>
      <c r="R7" s="3140"/>
      <c r="S7" s="3140"/>
      <c r="T7" s="3144"/>
    </row>
    <row r="8" spans="1:23" ht="28.8" hidden="1">
      <c r="A8" s="3140">
        <v>7</v>
      </c>
      <c r="B8" s="3140" t="s">
        <v>3467</v>
      </c>
      <c r="C8" s="3140" t="s">
        <v>3468</v>
      </c>
      <c r="D8" s="3140" t="s">
        <v>3409</v>
      </c>
      <c r="E8" s="3140">
        <v>2.8</v>
      </c>
      <c r="F8" s="3140" t="s">
        <v>3410</v>
      </c>
      <c r="G8" s="3140">
        <v>75711.3</v>
      </c>
      <c r="H8" s="3140">
        <v>27039.75</v>
      </c>
      <c r="I8" s="3140" t="s">
        <v>3462</v>
      </c>
      <c r="J8" s="3140">
        <v>581000</v>
      </c>
      <c r="K8" s="3143">
        <v>44713.000497685185</v>
      </c>
      <c r="L8" s="3140">
        <v>668150</v>
      </c>
      <c r="M8" s="3140">
        <v>88250</v>
      </c>
      <c r="N8" s="3144">
        <v>0.15</v>
      </c>
      <c r="O8" s="3140" t="s">
        <v>3469</v>
      </c>
      <c r="P8" s="3140">
        <v>116200</v>
      </c>
      <c r="Q8" s="3140"/>
      <c r="R8" s="3140"/>
      <c r="S8" s="3140"/>
      <c r="T8" s="3144"/>
    </row>
    <row r="9" spans="1:23" ht="43.2" hidden="1">
      <c r="A9" s="3140">
        <v>8</v>
      </c>
      <c r="B9" s="3140" t="s">
        <v>3470</v>
      </c>
      <c r="C9" s="3140" t="s">
        <v>3471</v>
      </c>
      <c r="D9" s="3140" t="s">
        <v>3417</v>
      </c>
      <c r="E9" s="3140">
        <v>2.2200000000000002</v>
      </c>
      <c r="F9" s="3140" t="s">
        <v>3472</v>
      </c>
      <c r="G9" s="3140">
        <v>93514</v>
      </c>
      <c r="H9" s="3140">
        <v>44618.19</v>
      </c>
      <c r="I9" s="3140" t="s">
        <v>3462</v>
      </c>
      <c r="J9" s="3140">
        <v>394000</v>
      </c>
      <c r="K9" s="3143">
        <v>44713.000497685185</v>
      </c>
      <c r="L9" s="3140">
        <v>400000</v>
      </c>
      <c r="M9" s="3140">
        <v>42774</v>
      </c>
      <c r="N9" s="3144">
        <v>1.52E-2</v>
      </c>
      <c r="O9" s="3140" t="s">
        <v>3473</v>
      </c>
      <c r="P9" s="3140">
        <v>79000</v>
      </c>
      <c r="Q9" s="1435" t="s">
        <v>3518</v>
      </c>
      <c r="R9" s="3140">
        <v>85000</v>
      </c>
      <c r="S9" s="1435" t="s">
        <v>3517</v>
      </c>
      <c r="T9" s="3144"/>
    </row>
    <row r="10" spans="1:23" s="3153" customFormat="1" ht="57.6">
      <c r="A10" s="3150">
        <v>9</v>
      </c>
      <c r="B10" s="3157" t="s">
        <v>3526</v>
      </c>
      <c r="C10" s="3150" t="s">
        <v>3416</v>
      </c>
      <c r="D10" s="3150" t="s">
        <v>3417</v>
      </c>
      <c r="E10" s="3150">
        <v>2.5</v>
      </c>
      <c r="F10" s="3157" t="s">
        <v>3852</v>
      </c>
      <c r="G10" s="3150">
        <v>92406</v>
      </c>
      <c r="H10" s="3150">
        <v>41146.67</v>
      </c>
      <c r="I10" s="3150" t="s">
        <v>3418</v>
      </c>
      <c r="J10" s="3150">
        <v>378000</v>
      </c>
      <c r="K10" s="3151">
        <v>44609.000497685185</v>
      </c>
      <c r="L10" s="3150">
        <v>434700</v>
      </c>
      <c r="M10" s="3150">
        <v>47042</v>
      </c>
      <c r="N10" s="3152">
        <v>0.15</v>
      </c>
      <c r="O10" s="3150" t="s">
        <v>3419</v>
      </c>
      <c r="P10" s="3150">
        <v>76000</v>
      </c>
      <c r="Q10" s="3157" t="s">
        <v>3523</v>
      </c>
      <c r="R10" s="3150">
        <v>88000</v>
      </c>
      <c r="S10" s="3157" t="s">
        <v>3520</v>
      </c>
      <c r="T10" s="3180">
        <f>4400/G10</f>
        <v>4.7615955673873993E-2</v>
      </c>
      <c r="U10" s="3157" t="s">
        <v>3522</v>
      </c>
      <c r="V10" s="3157" t="s">
        <v>3525</v>
      </c>
      <c r="W10" s="3150">
        <v>83000</v>
      </c>
    </row>
    <row r="11" spans="1:23" ht="43.2" hidden="1">
      <c r="A11" s="3140">
        <v>10</v>
      </c>
      <c r="B11" s="3140" t="s">
        <v>3474</v>
      </c>
      <c r="C11" s="3140" t="s">
        <v>3475</v>
      </c>
      <c r="D11" s="3140" t="s">
        <v>3409</v>
      </c>
      <c r="E11" s="3140">
        <v>2.5</v>
      </c>
      <c r="F11" s="3140" t="s">
        <v>3410</v>
      </c>
      <c r="G11" s="3140">
        <v>92122</v>
      </c>
      <c r="H11" s="3140">
        <v>36848.99</v>
      </c>
      <c r="I11" s="3140" t="s">
        <v>3418</v>
      </c>
      <c r="J11" s="3140">
        <v>392000</v>
      </c>
      <c r="K11" s="3143">
        <v>44609.000497685185</v>
      </c>
      <c r="L11" s="3140">
        <v>424000</v>
      </c>
      <c r="M11" s="3140">
        <v>46026</v>
      </c>
      <c r="N11" s="3144">
        <v>8.1600000000000006E-2</v>
      </c>
      <c r="O11" s="3140" t="s">
        <v>3476</v>
      </c>
      <c r="P11" s="3140">
        <v>78500</v>
      </c>
      <c r="Q11" s="3140"/>
      <c r="R11" s="3140"/>
      <c r="S11" s="3140"/>
      <c r="T11" s="3144"/>
    </row>
    <row r="12" spans="1:23" ht="28.8" hidden="1">
      <c r="A12" s="3140">
        <v>11</v>
      </c>
      <c r="B12" s="3140" t="s">
        <v>3477</v>
      </c>
      <c r="C12" s="3140" t="s">
        <v>3478</v>
      </c>
      <c r="D12" s="3140" t="s">
        <v>3417</v>
      </c>
      <c r="E12" s="3140">
        <v>3.2</v>
      </c>
      <c r="F12" s="3140" t="s">
        <v>3479</v>
      </c>
      <c r="G12" s="3140">
        <v>40108</v>
      </c>
      <c r="H12" s="3140">
        <v>12533.84</v>
      </c>
      <c r="I12" s="3140" t="s">
        <v>3422</v>
      </c>
      <c r="J12" s="3140">
        <v>114000</v>
      </c>
      <c r="K12" s="3143">
        <v>44554.000497685185</v>
      </c>
      <c r="L12" s="3140">
        <v>114000</v>
      </c>
      <c r="M12" s="3140">
        <v>28423</v>
      </c>
      <c r="N12" s="3144">
        <v>0</v>
      </c>
      <c r="O12" s="3140" t="s">
        <v>3480</v>
      </c>
      <c r="P12" s="3140">
        <v>23000</v>
      </c>
      <c r="Q12" s="3140"/>
      <c r="R12" s="3140"/>
      <c r="S12" s="3140"/>
      <c r="T12" s="3144"/>
    </row>
    <row r="13" spans="1:23" s="3156" customFormat="1" ht="43.2" hidden="1">
      <c r="A13" s="3147">
        <v>12</v>
      </c>
      <c r="B13" s="3147" t="s">
        <v>3420</v>
      </c>
      <c r="C13" s="3147" t="s">
        <v>3421</v>
      </c>
      <c r="D13" s="3147" t="s">
        <v>3409</v>
      </c>
      <c r="E13" s="3147">
        <v>2.2999999999999998</v>
      </c>
      <c r="F13" s="3147" t="s">
        <v>3410</v>
      </c>
      <c r="G13" s="3147">
        <v>132000</v>
      </c>
      <c r="H13" s="3147">
        <v>57220.14</v>
      </c>
      <c r="I13" s="3147" t="s">
        <v>3422</v>
      </c>
      <c r="J13" s="3147">
        <v>561000</v>
      </c>
      <c r="K13" s="3148">
        <v>44554.000497685185</v>
      </c>
      <c r="L13" s="3147">
        <v>561000</v>
      </c>
      <c r="M13" s="3147">
        <v>42500</v>
      </c>
      <c r="N13" s="3149">
        <v>0</v>
      </c>
      <c r="O13" s="3147" t="s">
        <v>3423</v>
      </c>
      <c r="P13" s="3147">
        <v>112200</v>
      </c>
      <c r="Q13" s="3158" t="s">
        <v>3519</v>
      </c>
      <c r="R13" s="3147">
        <v>81000</v>
      </c>
      <c r="S13" s="3147"/>
      <c r="T13" s="3149">
        <f>20000/G13</f>
        <v>0.15151515151515152</v>
      </c>
      <c r="V13" s="3182" t="s">
        <v>3558</v>
      </c>
      <c r="W13" s="3147">
        <v>79000</v>
      </c>
    </row>
    <row r="14" spans="1:23" s="3156" customFormat="1" ht="43.2" hidden="1">
      <c r="A14" s="3147">
        <v>13</v>
      </c>
      <c r="B14" s="3147" t="s">
        <v>3424</v>
      </c>
      <c r="C14" s="3147" t="s">
        <v>3425</v>
      </c>
      <c r="D14" s="3147" t="s">
        <v>3409</v>
      </c>
      <c r="E14" s="3147">
        <v>1.8</v>
      </c>
      <c r="F14" s="3147" t="s">
        <v>3410</v>
      </c>
      <c r="G14" s="3147">
        <v>137000</v>
      </c>
      <c r="H14" s="3147">
        <v>76681.88</v>
      </c>
      <c r="I14" s="3147" t="s">
        <v>3422</v>
      </c>
      <c r="J14" s="3147">
        <v>707000</v>
      </c>
      <c r="K14" s="3148">
        <v>44554.000497685185</v>
      </c>
      <c r="L14" s="3147">
        <v>707000</v>
      </c>
      <c r="M14" s="3147">
        <v>51606</v>
      </c>
      <c r="N14" s="3149">
        <v>0</v>
      </c>
      <c r="O14" s="3147" t="s">
        <v>3423</v>
      </c>
      <c r="P14" s="3147">
        <v>142000</v>
      </c>
      <c r="Q14" s="3147"/>
      <c r="R14" s="3147"/>
      <c r="S14" s="3147"/>
      <c r="T14" s="3149"/>
      <c r="W14" s="3147"/>
    </row>
    <row r="15" spans="1:23" ht="43.2" hidden="1">
      <c r="A15" s="3140">
        <v>14</v>
      </c>
      <c r="B15" s="3140" t="s">
        <v>3481</v>
      </c>
      <c r="C15" s="3140" t="s">
        <v>3482</v>
      </c>
      <c r="D15" s="3140" t="s">
        <v>3409</v>
      </c>
      <c r="E15" s="3140">
        <v>2.2000000000000002</v>
      </c>
      <c r="F15" s="3140" t="s">
        <v>3410</v>
      </c>
      <c r="G15" s="3140">
        <v>47764</v>
      </c>
      <c r="H15" s="3140">
        <v>21711.13</v>
      </c>
      <c r="I15" s="3140" t="s">
        <v>3422</v>
      </c>
      <c r="J15" s="3140">
        <v>208000</v>
      </c>
      <c r="K15" s="3143">
        <v>44554.000497685185</v>
      </c>
      <c r="L15" s="3140">
        <v>208000</v>
      </c>
      <c r="M15" s="3140">
        <v>43547</v>
      </c>
      <c r="N15" s="3144">
        <v>0</v>
      </c>
      <c r="O15" s="3140" t="s">
        <v>3483</v>
      </c>
      <c r="P15" s="3140">
        <v>42000</v>
      </c>
      <c r="Q15" s="3140"/>
      <c r="R15" s="3140"/>
      <c r="S15" s="3140"/>
      <c r="T15" s="3144"/>
    </row>
    <row r="16" spans="1:23" s="3156" customFormat="1" ht="43.2" hidden="1">
      <c r="A16" s="3147">
        <v>15</v>
      </c>
      <c r="B16" s="3147" t="s">
        <v>3426</v>
      </c>
      <c r="C16" s="3147" t="s">
        <v>3427</v>
      </c>
      <c r="D16" s="3147" t="s">
        <v>3409</v>
      </c>
      <c r="E16" s="3147">
        <v>1.47</v>
      </c>
      <c r="F16" s="3147" t="s">
        <v>3410</v>
      </c>
      <c r="G16" s="3147">
        <v>94000</v>
      </c>
      <c r="H16" s="3147">
        <v>63959.72</v>
      </c>
      <c r="I16" s="3147" t="s">
        <v>3422</v>
      </c>
      <c r="J16" s="3147">
        <v>485000</v>
      </c>
      <c r="K16" s="3148">
        <v>44554.000497685185</v>
      </c>
      <c r="L16" s="3147">
        <v>485000</v>
      </c>
      <c r="M16" s="3147">
        <v>51596</v>
      </c>
      <c r="N16" s="3149">
        <v>0</v>
      </c>
      <c r="O16" s="3147" t="s">
        <v>3423</v>
      </c>
      <c r="P16" s="3147">
        <v>97000</v>
      </c>
      <c r="Q16" s="3147"/>
      <c r="R16" s="3147"/>
      <c r="S16" s="3147"/>
      <c r="T16" s="3149"/>
      <c r="W16" s="3147"/>
    </row>
    <row r="17" spans="1:23" ht="43.2" hidden="1">
      <c r="A17" s="3140">
        <v>16</v>
      </c>
      <c r="B17" s="3140" t="s">
        <v>3484</v>
      </c>
      <c r="C17" s="3140" t="s">
        <v>3485</v>
      </c>
      <c r="D17" s="3140" t="s">
        <v>3409</v>
      </c>
      <c r="E17" s="3140">
        <v>2.5</v>
      </c>
      <c r="F17" s="3140" t="s">
        <v>3410</v>
      </c>
      <c r="G17" s="3140">
        <v>68416</v>
      </c>
      <c r="H17" s="3140">
        <v>27366.58</v>
      </c>
      <c r="I17" s="3140" t="s">
        <v>3486</v>
      </c>
      <c r="J17" s="3140">
        <v>376000</v>
      </c>
      <c r="K17" s="3143">
        <v>44481.000497685185</v>
      </c>
      <c r="L17" s="3140">
        <v>376000</v>
      </c>
      <c r="M17" s="3140">
        <v>54958</v>
      </c>
      <c r="N17" s="3144">
        <v>0</v>
      </c>
      <c r="O17" s="3140" t="s">
        <v>3487</v>
      </c>
      <c r="P17" s="3140">
        <v>75500</v>
      </c>
      <c r="Q17" s="3140"/>
      <c r="R17" s="3140"/>
      <c r="S17" s="3140"/>
      <c r="T17" s="3144"/>
    </row>
    <row r="18" spans="1:23" ht="28.8" hidden="1">
      <c r="A18" s="3140">
        <v>17</v>
      </c>
      <c r="B18" s="3140" t="s">
        <v>3428</v>
      </c>
      <c r="C18" s="3140" t="s">
        <v>3429</v>
      </c>
      <c r="D18" s="3140" t="s">
        <v>3417</v>
      </c>
      <c r="E18" s="3140" t="s">
        <v>3430</v>
      </c>
      <c r="F18" s="3140" t="s">
        <v>3431</v>
      </c>
      <c r="G18" s="3140">
        <v>70415</v>
      </c>
      <c r="H18" s="3140">
        <v>23471.66</v>
      </c>
      <c r="I18" s="3140" t="s">
        <v>3432</v>
      </c>
      <c r="J18" s="3140">
        <v>243500</v>
      </c>
      <c r="K18" s="3143">
        <v>44343.000497685185</v>
      </c>
      <c r="L18" s="3140">
        <v>280000</v>
      </c>
      <c r="M18" s="3140">
        <v>39764</v>
      </c>
      <c r="N18" s="3144">
        <v>0.14990000000000001</v>
      </c>
      <c r="O18" s="3140" t="s">
        <v>3433</v>
      </c>
      <c r="P18" s="3140">
        <v>49000</v>
      </c>
      <c r="Q18" s="3140"/>
      <c r="R18" s="3140"/>
      <c r="S18" s="3140"/>
      <c r="T18" s="3144"/>
    </row>
    <row r="19" spans="1:23" ht="28.8" hidden="1">
      <c r="A19" s="3140">
        <v>18</v>
      </c>
      <c r="B19" s="3140" t="s">
        <v>3488</v>
      </c>
      <c r="C19" s="3140" t="s">
        <v>3489</v>
      </c>
      <c r="D19" s="3140" t="s">
        <v>3417</v>
      </c>
      <c r="E19" s="3140" t="s">
        <v>3437</v>
      </c>
      <c r="F19" s="3140" t="s">
        <v>3431</v>
      </c>
      <c r="G19" s="3140">
        <v>242377.36</v>
      </c>
      <c r="H19" s="3140">
        <v>85059.12</v>
      </c>
      <c r="I19" s="3140" t="s">
        <v>3432</v>
      </c>
      <c r="J19" s="3140">
        <v>593000</v>
      </c>
      <c r="K19" s="3143">
        <v>44342.000497685185</v>
      </c>
      <c r="L19" s="3140">
        <v>682000</v>
      </c>
      <c r="M19" s="3140">
        <v>28138</v>
      </c>
      <c r="N19" s="3144">
        <v>0.15010000000000001</v>
      </c>
      <c r="O19" s="3140" t="s">
        <v>3490</v>
      </c>
      <c r="P19" s="3140">
        <v>120000</v>
      </c>
      <c r="Q19" s="3140"/>
      <c r="R19" s="3140"/>
      <c r="S19" s="3140"/>
      <c r="T19" s="3144"/>
    </row>
    <row r="20" spans="1:23" ht="72" hidden="1">
      <c r="A20" s="3140">
        <v>19</v>
      </c>
      <c r="B20" s="3140" t="s">
        <v>3491</v>
      </c>
      <c r="C20" s="3140" t="s">
        <v>3492</v>
      </c>
      <c r="D20" s="3140" t="s">
        <v>3409</v>
      </c>
      <c r="E20" s="3140" t="s">
        <v>3493</v>
      </c>
      <c r="F20" s="3140" t="s">
        <v>3410</v>
      </c>
      <c r="G20" s="3140">
        <v>80955</v>
      </c>
      <c r="H20" s="3140">
        <v>32382.01</v>
      </c>
      <c r="I20" s="3140" t="s">
        <v>3432</v>
      </c>
      <c r="J20" s="3140">
        <v>300000</v>
      </c>
      <c r="K20" s="3143">
        <v>44340.000497685185</v>
      </c>
      <c r="L20" s="3140">
        <v>315000</v>
      </c>
      <c r="M20" s="3140">
        <v>38911</v>
      </c>
      <c r="N20" s="3144">
        <v>0.05</v>
      </c>
      <c r="O20" s="3140" t="s">
        <v>3494</v>
      </c>
      <c r="P20" s="3140">
        <v>60000</v>
      </c>
      <c r="Q20" s="3140"/>
      <c r="R20" s="3140"/>
      <c r="S20" s="3140"/>
      <c r="T20" s="3144"/>
    </row>
    <row r="21" spans="1:23" s="3153" customFormat="1" ht="72">
      <c r="A21" s="3150">
        <v>20</v>
      </c>
      <c r="B21" s="3157" t="s">
        <v>3524</v>
      </c>
      <c r="C21" s="3150" t="s">
        <v>3434</v>
      </c>
      <c r="D21" s="3150" t="s">
        <v>3409</v>
      </c>
      <c r="E21" s="3150">
        <v>2.5</v>
      </c>
      <c r="F21" s="3150" t="s">
        <v>3410</v>
      </c>
      <c r="G21" s="3150">
        <v>102967</v>
      </c>
      <c r="H21" s="3150">
        <v>41186.94</v>
      </c>
      <c r="I21" s="3150" t="s">
        <v>3432</v>
      </c>
      <c r="J21" s="3150">
        <v>443000</v>
      </c>
      <c r="K21" s="3151">
        <v>44326.000497685185</v>
      </c>
      <c r="L21" s="3150">
        <v>509400</v>
      </c>
      <c r="M21" s="3150">
        <v>49472</v>
      </c>
      <c r="N21" s="3152">
        <v>0.14990000000000001</v>
      </c>
      <c r="O21" s="3150" t="s">
        <v>3435</v>
      </c>
      <c r="P21" s="3150">
        <v>89000</v>
      </c>
      <c r="Q21" s="3150">
        <v>10300</v>
      </c>
      <c r="R21" s="3150">
        <v>82000</v>
      </c>
      <c r="S21" s="3157" t="s">
        <v>3517</v>
      </c>
      <c r="T21" s="3152">
        <f>Q21/G21</f>
        <v>0.10003204910311071</v>
      </c>
      <c r="U21" s="3157" t="s">
        <v>3522</v>
      </c>
      <c r="V21" s="3157" t="s">
        <v>3527</v>
      </c>
      <c r="W21" s="3150">
        <v>81000</v>
      </c>
    </row>
    <row r="22" spans="1:23" ht="72" hidden="1">
      <c r="A22" s="3140">
        <v>21</v>
      </c>
      <c r="B22" s="3140" t="s">
        <v>3495</v>
      </c>
      <c r="C22" s="3140" t="s">
        <v>3496</v>
      </c>
      <c r="D22" s="3140" t="s">
        <v>3409</v>
      </c>
      <c r="E22" s="3140" t="s">
        <v>3493</v>
      </c>
      <c r="F22" s="3140" t="s">
        <v>3410</v>
      </c>
      <c r="G22" s="3140">
        <v>122022</v>
      </c>
      <c r="H22" s="3140">
        <v>48808.67</v>
      </c>
      <c r="I22" s="3140" t="s">
        <v>3432</v>
      </c>
      <c r="J22" s="3140">
        <v>519000</v>
      </c>
      <c r="K22" s="3143">
        <v>44343.000497685185</v>
      </c>
      <c r="L22" s="3140">
        <v>545000</v>
      </c>
      <c r="M22" s="3140">
        <v>44664</v>
      </c>
      <c r="N22" s="3144">
        <v>5.0099999999999999E-2</v>
      </c>
      <c r="O22" s="3140" t="s">
        <v>3497</v>
      </c>
      <c r="P22" s="3140">
        <v>104000</v>
      </c>
      <c r="Q22" s="3140"/>
      <c r="R22" s="3140"/>
      <c r="S22" s="3140"/>
      <c r="T22" s="3144"/>
    </row>
    <row r="23" spans="1:23" ht="28.8" hidden="1">
      <c r="A23" s="3140">
        <v>22</v>
      </c>
      <c r="B23" s="3140" t="s">
        <v>3498</v>
      </c>
      <c r="C23" s="3140" t="s">
        <v>3499</v>
      </c>
      <c r="D23" s="3140" t="s">
        <v>3409</v>
      </c>
      <c r="E23" s="3140" t="s">
        <v>3500</v>
      </c>
      <c r="F23" s="3140" t="s">
        <v>3410</v>
      </c>
      <c r="G23" s="3140">
        <v>50639</v>
      </c>
      <c r="H23" s="3140">
        <v>38953.300000000003</v>
      </c>
      <c r="I23" s="3140" t="s">
        <v>3432</v>
      </c>
      <c r="J23" s="3140">
        <v>258300</v>
      </c>
      <c r="K23" s="3143">
        <v>44326.000497685185</v>
      </c>
      <c r="L23" s="3140">
        <v>268300</v>
      </c>
      <c r="M23" s="3140">
        <v>52983</v>
      </c>
      <c r="N23" s="3144">
        <v>3.8699999999999998E-2</v>
      </c>
      <c r="O23" s="3140" t="s">
        <v>3501</v>
      </c>
      <c r="P23" s="3140">
        <v>51660</v>
      </c>
      <c r="Q23" s="3140"/>
      <c r="R23" s="3140"/>
      <c r="S23" s="3140"/>
      <c r="T23" s="3144"/>
    </row>
    <row r="24" spans="1:23" s="3155" customFormat="1" ht="43.2">
      <c r="A24" s="3141">
        <v>23</v>
      </c>
      <c r="B24" s="3197" t="s">
        <v>3854</v>
      </c>
      <c r="C24" s="3141" t="s">
        <v>3436</v>
      </c>
      <c r="D24" s="3141" t="s">
        <v>3409</v>
      </c>
      <c r="E24" s="3141">
        <v>2.8</v>
      </c>
      <c r="F24" s="3141" t="s">
        <v>3410</v>
      </c>
      <c r="G24" s="3141">
        <v>47887</v>
      </c>
      <c r="H24" s="3141">
        <v>17102.490000000002</v>
      </c>
      <c r="I24" s="3141" t="s">
        <v>3432</v>
      </c>
      <c r="J24" s="3141">
        <v>217000</v>
      </c>
      <c r="K24" s="3145">
        <v>44326.000497685185</v>
      </c>
      <c r="L24" s="3141">
        <v>228000</v>
      </c>
      <c r="M24" s="3141">
        <v>47612</v>
      </c>
      <c r="N24" s="3146">
        <v>5.0700000000000002E-2</v>
      </c>
      <c r="O24" s="3141" t="s">
        <v>3438</v>
      </c>
      <c r="P24" s="3141">
        <v>44000</v>
      </c>
      <c r="Q24" s="3141">
        <v>10000</v>
      </c>
      <c r="R24" s="3141">
        <v>80000</v>
      </c>
      <c r="S24" s="3197" t="s">
        <v>3853</v>
      </c>
      <c r="T24" s="3146">
        <f>Q24/G24</f>
        <v>0.20882494205107857</v>
      </c>
      <c r="V24" s="3159" t="s">
        <v>3529</v>
      </c>
      <c r="W24" s="3141"/>
    </row>
    <row r="25" spans="1:23" s="3171" customFormat="1" ht="43.2" hidden="1">
      <c r="A25" s="3168">
        <v>24</v>
      </c>
      <c r="B25" s="3172" t="s">
        <v>3557</v>
      </c>
      <c r="C25" s="3168" t="s">
        <v>3439</v>
      </c>
      <c r="D25" s="3168" t="s">
        <v>3409</v>
      </c>
      <c r="E25" s="3168">
        <v>2.5</v>
      </c>
      <c r="F25" s="3168" t="s">
        <v>3410</v>
      </c>
      <c r="G25" s="3168">
        <v>85297</v>
      </c>
      <c r="H25" s="3168">
        <v>34118.69</v>
      </c>
      <c r="I25" s="3168" t="s">
        <v>3432</v>
      </c>
      <c r="J25" s="3168">
        <v>367000</v>
      </c>
      <c r="K25" s="3169">
        <v>44326.000497685185</v>
      </c>
      <c r="L25" s="3168">
        <v>422000</v>
      </c>
      <c r="M25" s="3168">
        <v>49474</v>
      </c>
      <c r="N25" s="3170">
        <v>0.14990000000000001</v>
      </c>
      <c r="O25" s="3168" t="s">
        <v>3440</v>
      </c>
      <c r="P25" s="3168">
        <v>74000</v>
      </c>
      <c r="Q25" s="3168">
        <v>28500</v>
      </c>
      <c r="R25" s="3168">
        <v>90000</v>
      </c>
      <c r="S25" s="3172" t="s">
        <v>3517</v>
      </c>
      <c r="T25" s="3170">
        <f>Q25/G25</f>
        <v>0.33412663985837721</v>
      </c>
      <c r="U25" s="3172" t="s">
        <v>3522</v>
      </c>
      <c r="V25" s="3172" t="s">
        <v>3528</v>
      </c>
      <c r="W25" s="3168"/>
    </row>
    <row r="26" spans="1:23" ht="43.2" hidden="1">
      <c r="A26" s="3140">
        <v>25</v>
      </c>
      <c r="B26" s="3140" t="s">
        <v>3502</v>
      </c>
      <c r="C26" s="3140" t="s">
        <v>3503</v>
      </c>
      <c r="D26" s="3140" t="s">
        <v>3417</v>
      </c>
      <c r="E26" s="3140" t="s">
        <v>3504</v>
      </c>
      <c r="F26" s="3140" t="s">
        <v>3472</v>
      </c>
      <c r="G26" s="3140">
        <v>73016</v>
      </c>
      <c r="H26" s="3140">
        <v>32742.57</v>
      </c>
      <c r="I26" s="3140" t="s">
        <v>3432</v>
      </c>
      <c r="J26" s="3140">
        <v>294500</v>
      </c>
      <c r="K26" s="3143">
        <v>44343.000497685185</v>
      </c>
      <c r="L26" s="3140">
        <v>309500</v>
      </c>
      <c r="M26" s="3140">
        <v>42388</v>
      </c>
      <c r="N26" s="3144">
        <v>5.0900000000000001E-2</v>
      </c>
      <c r="O26" s="3140" t="s">
        <v>3505</v>
      </c>
      <c r="P26" s="3140">
        <v>59000</v>
      </c>
      <c r="Q26" s="3140"/>
      <c r="R26" s="3140"/>
      <c r="S26" s="3140"/>
      <c r="T26" s="3144"/>
    </row>
    <row r="27" spans="1:23" ht="28.8" hidden="1">
      <c r="A27" s="3140">
        <v>26</v>
      </c>
      <c r="B27" s="3140" t="s">
        <v>3506</v>
      </c>
      <c r="C27" s="3140" t="s">
        <v>3507</v>
      </c>
      <c r="D27" s="3140" t="s">
        <v>3409</v>
      </c>
      <c r="E27" s="3140" t="s">
        <v>3500</v>
      </c>
      <c r="F27" s="3140" t="s">
        <v>3410</v>
      </c>
      <c r="G27" s="3140">
        <v>74111</v>
      </c>
      <c r="H27" s="3140">
        <v>57008.47</v>
      </c>
      <c r="I27" s="3140" t="s">
        <v>3432</v>
      </c>
      <c r="J27" s="3140">
        <v>378000</v>
      </c>
      <c r="K27" s="3143">
        <v>44326.000497685185</v>
      </c>
      <c r="L27" s="3140">
        <v>392700</v>
      </c>
      <c r="M27" s="3140">
        <v>52988</v>
      </c>
      <c r="N27" s="3144">
        <v>3.8900000000000004E-2</v>
      </c>
      <c r="O27" s="3140" t="s">
        <v>3508</v>
      </c>
      <c r="P27" s="3140">
        <v>76000</v>
      </c>
      <c r="Q27" s="3140"/>
      <c r="R27" s="3140"/>
      <c r="S27" s="3140"/>
      <c r="T27" s="3144"/>
    </row>
    <row r="28" spans="1:23" s="3153" customFormat="1" ht="57.6">
      <c r="A28" s="3150">
        <v>27</v>
      </c>
      <c r="B28" s="3150" t="s">
        <v>3441</v>
      </c>
      <c r="C28" s="3150" t="s">
        <v>3442</v>
      </c>
      <c r="D28" s="3150" t="s">
        <v>3409</v>
      </c>
      <c r="E28" s="3150">
        <v>2.8</v>
      </c>
      <c r="F28" s="3150" t="s">
        <v>3410</v>
      </c>
      <c r="G28" s="3150">
        <v>74507</v>
      </c>
      <c r="H28" s="3150">
        <v>26609.75</v>
      </c>
      <c r="I28" s="3150" t="s">
        <v>3443</v>
      </c>
      <c r="J28" s="3150">
        <v>338400</v>
      </c>
      <c r="K28" s="3151">
        <v>44179.000497685185</v>
      </c>
      <c r="L28" s="3150">
        <v>350244</v>
      </c>
      <c r="M28" s="3150">
        <v>47008</v>
      </c>
      <c r="N28" s="3152">
        <v>3.5000000000000003E-2</v>
      </c>
      <c r="O28" s="3150" t="s">
        <v>3444</v>
      </c>
      <c r="P28" s="3150">
        <v>68000</v>
      </c>
      <c r="Q28" s="3157" t="s">
        <v>3532</v>
      </c>
      <c r="R28" s="3150">
        <v>70000</v>
      </c>
      <c r="S28" s="3157" t="s">
        <v>3517</v>
      </c>
      <c r="T28" s="3152">
        <v>0</v>
      </c>
      <c r="U28" s="3157" t="s">
        <v>3522</v>
      </c>
      <c r="V28" s="3157" t="s">
        <v>3531</v>
      </c>
      <c r="W28" s="3150">
        <v>69400</v>
      </c>
    </row>
    <row r="29" spans="1:23" ht="72" hidden="1">
      <c r="A29" s="3140">
        <v>28</v>
      </c>
      <c r="B29" s="3140" t="s">
        <v>3445</v>
      </c>
      <c r="C29" s="3140" t="s">
        <v>3446</v>
      </c>
      <c r="D29" s="3140" t="s">
        <v>3417</v>
      </c>
      <c r="E29" s="3140" t="s">
        <v>3447</v>
      </c>
      <c r="F29" s="3140" t="s">
        <v>3448</v>
      </c>
      <c r="G29" s="3140">
        <v>48528</v>
      </c>
      <c r="H29" s="3140">
        <v>20188.580000000002</v>
      </c>
      <c r="I29" s="3140" t="s">
        <v>3449</v>
      </c>
      <c r="J29" s="3140">
        <v>205500</v>
      </c>
      <c r="K29" s="3143">
        <v>43966.000497685185</v>
      </c>
      <c r="L29" s="3140">
        <v>205500</v>
      </c>
      <c r="M29" s="3140">
        <v>42347</v>
      </c>
      <c r="N29" s="3144">
        <v>0</v>
      </c>
      <c r="O29" s="3140" t="s">
        <v>3450</v>
      </c>
      <c r="P29" s="3140">
        <v>41100</v>
      </c>
      <c r="Q29" s="1435" t="s">
        <v>3518</v>
      </c>
      <c r="R29" s="3140">
        <v>69422</v>
      </c>
      <c r="S29" s="3140"/>
      <c r="T29" s="3144"/>
      <c r="V29" s="3154" t="s">
        <v>3530</v>
      </c>
    </row>
    <row r="30" spans="1:23" ht="57.6" hidden="1">
      <c r="A30" s="3140">
        <v>29</v>
      </c>
      <c r="B30" s="3140" t="s">
        <v>3509</v>
      </c>
      <c r="C30" s="3140" t="s">
        <v>3510</v>
      </c>
      <c r="D30" s="3140" t="s">
        <v>3417</v>
      </c>
      <c r="E30" s="3140" t="s">
        <v>3511</v>
      </c>
      <c r="F30" s="3140" t="s">
        <v>3512</v>
      </c>
      <c r="G30" s="3140">
        <v>112042</v>
      </c>
      <c r="H30" s="3140">
        <v>80892.990000000005</v>
      </c>
      <c r="I30" s="3140" t="s">
        <v>3513</v>
      </c>
      <c r="J30" s="3140">
        <v>460000</v>
      </c>
      <c r="K30" s="3143">
        <v>43923.000497685185</v>
      </c>
      <c r="L30" s="3140">
        <v>460000</v>
      </c>
      <c r="M30" s="3140">
        <v>41056</v>
      </c>
      <c r="N30" s="3144">
        <v>0</v>
      </c>
      <c r="O30" s="3140" t="s">
        <v>3514</v>
      </c>
      <c r="P30" s="3140">
        <v>92000</v>
      </c>
      <c r="Q30" s="3140"/>
      <c r="R30" s="3140"/>
      <c r="S30" s="3140"/>
      <c r="T30" s="3144"/>
    </row>
  </sheetData>
  <autoFilter ref="A1:V30"/>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69"/>
      <c r="C1" s="1712" t="s">
        <v>1563</v>
      </c>
      <c r="D1" s="188"/>
      <c r="E1" s="188"/>
      <c r="F1" s="188"/>
      <c r="G1" s="1057">
        <f>MATCH(B1,'数据-取费表'!A6:A16,0)+5</f>
        <v>9</v>
      </c>
      <c r="H1" s="993" t="str">
        <f>IF(ISERROR(FIND("住宅",B1)),"非住宅","住宅")</f>
        <v>非住宅</v>
      </c>
    </row>
    <row r="2" spans="1:8" s="190" customFormat="1" ht="18" customHeight="1">
      <c r="A2" s="191" t="s">
        <v>1462</v>
      </c>
      <c r="B2" s="3116">
        <f ca="1">ROUND(IF(D2="——",C52/10000,C52/10000-E2),4)</f>
        <v>31556.365399999999</v>
      </c>
      <c r="C2" s="189" t="s">
        <v>1463</v>
      </c>
      <c r="D2" s="1706" t="s">
        <v>43</v>
      </c>
      <c r="E2" s="1084" t="e">
        <f ca="1">SUMIF(INDIRECT("'"&amp;G2&amp;"'"&amp;"!A:A"),"承租人权益价值",INDIRECT("'"&amp;G2&amp;"'"&amp;"!c:c"))</f>
        <v>#REF!</v>
      </c>
      <c r="F2" s="1707" t="s">
        <v>1463</v>
      </c>
      <c r="G2" s="1708"/>
    </row>
    <row r="3" spans="1:8" s="190" customFormat="1" ht="18" customHeight="1" thickBot="1">
      <c r="A3" s="193" t="s">
        <v>1464</v>
      </c>
      <c r="B3" s="194">
        <f ca="1">ROUND(B2*10000/(IF(B1="",'数据-汇总表'!E3,INDIRECT("'数据-取费表'!k"&amp;$G$1))),0)</f>
        <v>8809</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6264602</v>
      </c>
      <c r="D5" s="201" t="s">
        <v>1469</v>
      </c>
      <c r="E5" s="202" t="s">
        <v>1470</v>
      </c>
      <c r="F5" s="202" t="s">
        <v>1471</v>
      </c>
      <c r="G5" s="203"/>
    </row>
    <row r="6" spans="1:8" s="204" customFormat="1" ht="13.5" customHeight="1">
      <c r="A6" s="727" t="s">
        <v>1472</v>
      </c>
      <c r="B6" s="205" t="s">
        <v>1473</v>
      </c>
      <c r="C6" s="206"/>
      <c r="D6" s="207"/>
      <c r="E6" s="208"/>
      <c r="F6" s="208"/>
      <c r="G6" s="209"/>
    </row>
    <row r="7" spans="1:8" s="204" customFormat="1" ht="13.5" customHeight="1">
      <c r="A7" s="727" t="s">
        <v>1474</v>
      </c>
      <c r="B7" s="205" t="s">
        <v>1475</v>
      </c>
      <c r="C7" s="210">
        <f>ROUND(C6*F7,0)</f>
        <v>0</v>
      </c>
      <c r="D7" s="210"/>
      <c r="E7" s="208"/>
      <c r="F7" s="211">
        <f>IF(项目基本情况!B8="出让",0,'数据-取费表'!B48+'数据-取费表'!B49)</f>
        <v>3.0499999999999999E-2</v>
      </c>
      <c r="G7" s="209"/>
    </row>
    <row r="8" spans="1:8" s="213" customFormat="1">
      <c r="A8" s="727" t="s">
        <v>1476</v>
      </c>
      <c r="B8" s="205" t="s">
        <v>1477</v>
      </c>
      <c r="C8" s="210">
        <f ca="1">IF(G8="已包含在土地购买价格中",0,C9+C10)</f>
        <v>6264602</v>
      </c>
      <c r="D8" s="212"/>
      <c r="E8" s="210"/>
      <c r="F8" s="211"/>
      <c r="G8" s="1709"/>
    </row>
    <row r="9" spans="1:8" s="204" customFormat="1" ht="13.5" customHeight="1">
      <c r="A9" s="728" t="s">
        <v>355</v>
      </c>
      <c r="B9" s="214" t="s">
        <v>1478</v>
      </c>
      <c r="C9" s="215">
        <f ca="1">ROUND(D9*E9,0)</f>
        <v>3599682</v>
      </c>
      <c r="D9" s="790">
        <f ca="1">IF(B1="",'数据-汇总表'!E5,IF(INDIRECT("'数据-取费表'!c"&amp;$G$1)="住宅",INDIRECT("'数据-取费表'!k"&amp;$G$1),0))</f>
        <v>22498.01</v>
      </c>
      <c r="E9" s="215">
        <f>'数据-取费表'!B27</f>
        <v>160</v>
      </c>
      <c r="F9" s="211"/>
      <c r="G9" s="216"/>
    </row>
    <row r="10" spans="1:8" s="204" customFormat="1" ht="13.5" customHeight="1">
      <c r="A10" s="728" t="s">
        <v>356</v>
      </c>
      <c r="B10" s="214" t="s">
        <v>1480</v>
      </c>
      <c r="C10" s="215">
        <f ca="1">ROUND(D10*E10,0)</f>
        <v>2664920</v>
      </c>
      <c r="D10" s="790">
        <f ca="1">IF(B1="",'数据-汇总表'!E6,IF(INDIRECT("'数据-取费表'!c"&amp;$G$1)="住宅",INDIRECT("'数据-取费表'!s"&amp;$G$1),INDIRECT("'数据-取费表'!k"&amp;$G$1)+INDIRECT("'数据-取费表'!s"&amp;$G$1)))</f>
        <v>13324.600000000002</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7164522</v>
      </c>
      <c r="D19" s="202">
        <f ca="1">D9+D10</f>
        <v>35822.61</v>
      </c>
      <c r="E19" s="201">
        <f>'数据-取费表'!B31</f>
        <v>200</v>
      </c>
      <c r="F19" s="221"/>
      <c r="G19" s="1709"/>
    </row>
    <row r="20" spans="1:7" s="204" customFormat="1" ht="13.5" customHeight="1">
      <c r="A20" s="245" t="s">
        <v>1574</v>
      </c>
      <c r="B20" s="200" t="s">
        <v>1575</v>
      </c>
      <c r="C20" s="222">
        <f ca="1">ROUND((C5+C19)*F20,0)</f>
        <v>402874</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1457941</v>
      </c>
      <c r="D22" s="225">
        <f ca="1">C26</f>
        <v>1.6000000000000001E-3</v>
      </c>
      <c r="E22" s="226" t="s">
        <v>1579</v>
      </c>
      <c r="F22" s="227">
        <f ca="1">'数据-取费表'!B40</f>
        <v>4.1499999999999995E-2</v>
      </c>
      <c r="G22" s="224" t="str">
        <f>IF('数据-取费表'!B22&lt;=1,"单利计息","复利计息")</f>
        <v>复利计息</v>
      </c>
    </row>
    <row r="23" spans="1:7" s="204" customFormat="1" ht="13.5" customHeight="1">
      <c r="A23" s="729" t="s">
        <v>1472</v>
      </c>
      <c r="B23" s="205" t="s">
        <v>1583</v>
      </c>
      <c r="C23" s="228">
        <f ca="1">ROUND(IF('数据-取费表'!B22&lt;=1,C5*F22*'数据-取费表'!B22,C5*(POWER((1+F22),'数据-取费表'!B22)-1)),0)</f>
        <v>670321</v>
      </c>
      <c r="D23" s="228"/>
      <c r="E23" s="228"/>
      <c r="F23" s="229"/>
      <c r="G23" s="230" t="s">
        <v>1584</v>
      </c>
    </row>
    <row r="24" spans="1:7" s="204" customFormat="1" ht="13.5" customHeight="1">
      <c r="A24" s="729" t="s">
        <v>1474</v>
      </c>
      <c r="B24" s="205" t="s">
        <v>1585</v>
      </c>
      <c r="C24" s="228">
        <f ca="1">ROUND(IF('数据-取费表'!B22&lt;=1,C19*F22*('数据-取费表'!B19/2+'数据-取费表'!B20),C19*(POWER((1+F22),('数据-取费表'!B19/2+'数据-取费表'!B20))-1)),0)</f>
        <v>766614</v>
      </c>
      <c r="D24" s="228"/>
      <c r="E24" s="228"/>
      <c r="F24" s="229"/>
      <c r="G24" s="230" t="s">
        <v>1586</v>
      </c>
    </row>
    <row r="25" spans="1:7" s="204" customFormat="1" ht="24">
      <c r="A25" s="729" t="s">
        <v>1476</v>
      </c>
      <c r="B25" s="205" t="s">
        <v>1587</v>
      </c>
      <c r="C25" s="228">
        <f ca="1">ROUND(IF('数据-取费表'!B22&lt;=1,C20*F22*'数据-取费表'!B22/2,C20*(POWER((1+F22),'数据-取费表'!B22/2)-1)),0)</f>
        <v>21006</v>
      </c>
      <c r="D25" s="228"/>
      <c r="E25" s="231"/>
      <c r="F25" s="229"/>
      <c r="G25" s="232" t="s">
        <v>1588</v>
      </c>
    </row>
    <row r="26" spans="1:7" s="204" customFormat="1">
      <c r="A26" s="729" t="s">
        <v>350</v>
      </c>
      <c r="B26" s="205" t="s">
        <v>1511</v>
      </c>
      <c r="C26" s="228">
        <f ca="1">ROUND(IF('数据-取费表'!B22&lt;=1,F21*F22*'数据-取费表'!B22/2,F21*(POWER((1+F22),'数据-取费表'!B22/2)-1)),4)</f>
        <v>1.6000000000000001E-3</v>
      </c>
      <c r="D26" s="228"/>
      <c r="E26" s="231"/>
      <c r="F26" s="229"/>
      <c r="G26" s="233"/>
    </row>
    <row r="27" spans="1:7" s="204" customFormat="1" ht="26.4">
      <c r="A27" s="245" t="s">
        <v>1512</v>
      </c>
      <c r="B27" s="234" t="s">
        <v>1513</v>
      </c>
      <c r="C27" s="235">
        <f ca="1">C28</f>
        <v>1936480</v>
      </c>
      <c r="D27" s="225">
        <f ca="1">C29</f>
        <v>4.1999999999999997E-3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ROUND((C5+C19+C20)*F27,0)</f>
        <v>1936480</v>
      </c>
      <c r="D28" s="225"/>
      <c r="E28" s="226"/>
      <c r="F28" s="236"/>
      <c r="G28" s="237"/>
    </row>
    <row r="29" spans="1:7" s="204" customFormat="1" ht="13.5" customHeight="1">
      <c r="A29" s="729" t="s">
        <v>347</v>
      </c>
      <c r="B29" s="238" t="s">
        <v>1517</v>
      </c>
      <c r="C29" s="228">
        <f ca="1">ROUND(C21*F27,4)</f>
        <v>4.1999999999999997E-3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18911427</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220066195</v>
      </c>
      <c r="D33" s="222"/>
      <c r="E33" s="202"/>
      <c r="F33" s="231"/>
      <c r="G33" s="224"/>
    </row>
    <row r="34" spans="1:7" s="248" customFormat="1" ht="13.5" customHeight="1">
      <c r="A34" s="729" t="s">
        <v>346</v>
      </c>
      <c r="B34" s="205" t="s">
        <v>1525</v>
      </c>
      <c r="C34" s="210">
        <f ca="1">ROUND(IF(B1="",SUMPRODUCT('数据-取费表'!K6:K14,'数据-取费表'!L6:L14),INDIRECT("'数据-取费表'!l"&amp;$G$1)*INDIRECT("'数据-取费表'!k"&amp;$G$1)+'数据-取费表'!L14*INDIRECT("'数据-取费表'!S"&amp;$G$1)),0)</f>
        <v>199535465</v>
      </c>
      <c r="D34" s="207"/>
      <c r="E34" s="210"/>
      <c r="F34" s="247"/>
      <c r="G34" s="209"/>
    </row>
    <row r="35" spans="1:7" ht="13.5" customHeight="1">
      <c r="A35" s="729" t="s">
        <v>351</v>
      </c>
      <c r="B35" s="205" t="s">
        <v>1527</v>
      </c>
      <c r="C35" s="210">
        <f ca="1">ROUND(C34*F35,0)</f>
        <v>5986064</v>
      </c>
      <c r="D35" s="210"/>
      <c r="E35" s="210"/>
      <c r="F35" s="249">
        <f>'数据-取费表'!B33</f>
        <v>0.03</v>
      </c>
      <c r="G35" s="209" t="s">
        <v>1528</v>
      </c>
    </row>
    <row r="36" spans="1:7" ht="24">
      <c r="A36" s="729" t="s">
        <v>352</v>
      </c>
      <c r="B36" s="205" t="s">
        <v>1529</v>
      </c>
      <c r="C36" s="210">
        <f ca="1">ROUND(IF(B1="",SUM('数据-取费表'!AP6:AP13)*F36,IF(INDIRECT("'数据-取费表'!c"&amp;$G$1)="住宅",INDIRECT("'数据-取费表'!k"&amp;$G$1)*INDIRECT("'数据-取费表'!l"&amp;$G$1)*F36,0)),0)</f>
        <v>4387112</v>
      </c>
      <c r="D36" s="210"/>
      <c r="E36" s="210"/>
      <c r="F36" s="249">
        <f>'数据-取费表'!B34</f>
        <v>0.03</v>
      </c>
      <c r="G36" s="250" t="s">
        <v>1530</v>
      </c>
    </row>
    <row r="37" spans="1:7" s="248" customFormat="1" ht="13.5" customHeight="1">
      <c r="A37" s="729" t="s">
        <v>353</v>
      </c>
      <c r="B37" s="205" t="s">
        <v>1531</v>
      </c>
      <c r="C37" s="239">
        <f ca="1">ROUND(E37*D37,0)</f>
        <v>7164522</v>
      </c>
      <c r="D37" s="207">
        <f ca="1">D19</f>
        <v>35822.61</v>
      </c>
      <c r="E37" s="239">
        <f>'数据-取费表'!B35</f>
        <v>200</v>
      </c>
      <c r="F37" s="249"/>
      <c r="G37" s="251"/>
    </row>
    <row r="38" spans="1:7" ht="13.5" customHeight="1">
      <c r="A38" s="729" t="s">
        <v>354</v>
      </c>
      <c r="B38" s="205" t="s">
        <v>1533</v>
      </c>
      <c r="C38" s="210">
        <f ca="1">ROUND(C34*F38,0)</f>
        <v>2993032</v>
      </c>
      <c r="D38" s="210"/>
      <c r="E38" s="210"/>
      <c r="F38" s="249">
        <f>'数据-取费表'!B36</f>
        <v>1.4999999999999999E-2</v>
      </c>
      <c r="G38" s="209" t="s">
        <v>1528</v>
      </c>
    </row>
    <row r="39" spans="1:7" s="204" customFormat="1" ht="13.5" customHeight="1">
      <c r="A39" s="245" t="s">
        <v>1534</v>
      </c>
      <c r="B39" s="200" t="s">
        <v>1535</v>
      </c>
      <c r="C39" s="222">
        <f ca="1">ROUND(C33*F20,0)</f>
        <v>6601986</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11818788</v>
      </c>
      <c r="D41" s="225">
        <f ca="1">C44</f>
        <v>1.6000000000000001E-3</v>
      </c>
      <c r="E41" s="226" t="s">
        <v>1539</v>
      </c>
      <c r="F41" s="227">
        <f ca="1">F22</f>
        <v>4.1499999999999995E-2</v>
      </c>
      <c r="G41" s="224" t="str">
        <f>IF('数据-取费表'!B22&lt;=1,"单利计息","复利计息")</f>
        <v>复利计息</v>
      </c>
    </row>
    <row r="42" spans="1:7" ht="13.5" customHeight="1">
      <c r="A42" s="729" t="s">
        <v>346</v>
      </c>
      <c r="B42" s="205" t="s">
        <v>1543</v>
      </c>
      <c r="C42" s="228">
        <f ca="1">ROUND(IF('数据-取费表'!B22&lt;=1,C33*F22*'数据-取费表'!B20/2,C33*(POWER((1+F22),'数据-取费表'!B20/2)-1)),0)</f>
        <v>11474551</v>
      </c>
      <c r="D42" s="228"/>
      <c r="E42" s="228"/>
      <c r="F42" s="229"/>
      <c r="G42" s="3403" t="s">
        <v>1591</v>
      </c>
    </row>
    <row r="43" spans="1:7" ht="13.5" customHeight="1">
      <c r="A43" s="729" t="s">
        <v>347</v>
      </c>
      <c r="B43" s="205" t="s">
        <v>1545</v>
      </c>
      <c r="C43" s="228">
        <f ca="1">ROUND(IF('数据-取费表'!B22&lt;=1,C39*F22*'数据-取费表'!B20/2,C39*(POWER((1+F22),'数据-取费表'!B20/2)-1)),0)</f>
        <v>344237</v>
      </c>
      <c r="D43" s="228"/>
      <c r="E43" s="228"/>
      <c r="F43" s="229"/>
      <c r="G43" s="3404"/>
    </row>
    <row r="44" spans="1:7" ht="13.5" customHeight="1">
      <c r="A44" s="729" t="s">
        <v>348</v>
      </c>
      <c r="B44" s="205" t="s">
        <v>1546</v>
      </c>
      <c r="C44" s="228">
        <f ca="1">ROUND(IF('数据-取费表'!B22&lt;=1,C40*F22*'数据-取费表'!B20/2,C40*(POWER((1+F22),'数据-取费表'!B20/2)-1)),4)</f>
        <v>1.6000000000000001E-3</v>
      </c>
      <c r="D44" s="228"/>
      <c r="E44" s="228"/>
      <c r="F44" s="229"/>
      <c r="G44" s="3405"/>
    </row>
    <row r="45" spans="1:7" s="204" customFormat="1" ht="13.5" customHeight="1">
      <c r="A45" s="245" t="s">
        <v>1547</v>
      </c>
      <c r="B45" s="234" t="s">
        <v>1513</v>
      </c>
      <c r="C45" s="235">
        <f ca="1">C46</f>
        <v>31733545</v>
      </c>
      <c r="D45" s="225">
        <f ca="1">C47</f>
        <v>4.1999999999999997E-3</v>
      </c>
      <c r="E45" s="226" t="s">
        <v>1539</v>
      </c>
      <c r="F45" s="236">
        <f ca="1">F27</f>
        <v>0.14000000000000001</v>
      </c>
      <c r="G45" s="237" t="s">
        <v>1548</v>
      </c>
    </row>
    <row r="46" spans="1:7" s="204" customFormat="1" ht="13.5" customHeight="1">
      <c r="A46" s="729" t="s">
        <v>346</v>
      </c>
      <c r="B46" s="238" t="s">
        <v>1549</v>
      </c>
      <c r="C46" s="239">
        <f ca="1">ROUND((C33+C39)*F27,0)</f>
        <v>31733545</v>
      </c>
      <c r="D46" s="253"/>
      <c r="E46" s="226"/>
      <c r="F46" s="236"/>
      <c r="G46" s="237"/>
    </row>
    <row r="47" spans="1:7" s="204" customFormat="1" ht="13.5" customHeight="1">
      <c r="A47" s="729" t="s">
        <v>347</v>
      </c>
      <c r="B47" s="238" t="s">
        <v>1550</v>
      </c>
      <c r="C47" s="228">
        <f ca="1">ROUND(C40*F27,4)</f>
        <v>4.1999999999999997E-3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296652227</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296652227</v>
      </c>
      <c r="D51" s="222"/>
      <c r="E51" s="222"/>
      <c r="F51" s="254"/>
      <c r="G51" s="224" t="s">
        <v>1560</v>
      </c>
    </row>
    <row r="52" spans="1:7" s="198" customFormat="1" ht="16.8" thickBot="1">
      <c r="A52" s="255" t="s">
        <v>1561</v>
      </c>
      <c r="B52" s="256"/>
      <c r="C52" s="257">
        <f ca="1">C31+C51</f>
        <v>315563654</v>
      </c>
      <c r="D52" s="256"/>
      <c r="E52" s="256"/>
      <c r="F52" s="256"/>
      <c r="G52" s="258"/>
    </row>
    <row r="55" spans="1:7" ht="15">
      <c r="B55" s="260" t="s">
        <v>1562</v>
      </c>
      <c r="C55" s="261"/>
    </row>
    <row r="56" spans="1:7">
      <c r="B56" s="263" t="s">
        <v>802</v>
      </c>
      <c r="C56" s="265">
        <f ca="1">1-C57</f>
        <v>6.0000000000000053E-2</v>
      </c>
    </row>
    <row r="57" spans="1:7">
      <c r="B57" s="263" t="s">
        <v>803</v>
      </c>
      <c r="C57" s="26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50" t="s">
        <v>694</v>
      </c>
      <c r="C6" s="1006">
        <f ca="1">ROUND(F6*F8*F7*(1-F9)/10000,0)</f>
        <v>0</v>
      </c>
      <c r="D6" s="145" t="s">
        <v>2109</v>
      </c>
      <c r="E6" s="292" t="s">
        <v>696</v>
      </c>
      <c r="F6" s="293">
        <f ca="1">INDIRECT("'数据-取费表'!u"&amp;$G$1)</f>
        <v>0</v>
      </c>
      <c r="G6" s="1287"/>
      <c r="H6" s="1001" t="s">
        <v>398</v>
      </c>
      <c r="I6" s="3450" t="s">
        <v>694</v>
      </c>
      <c r="J6" s="291">
        <f ca="1">ROUND(M6*M8*M7*(1-M9)/10000,0)</f>
        <v>0</v>
      </c>
      <c r="K6" s="145" t="s">
        <v>2108</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2117</v>
      </c>
      <c r="E10" s="303" t="s">
        <v>701</v>
      </c>
      <c r="F10" s="1048"/>
      <c r="G10" s="1287"/>
      <c r="H10" s="1001" t="s">
        <v>402</v>
      </c>
      <c r="I10" s="1269" t="s">
        <v>700</v>
      </c>
      <c r="J10" s="291">
        <f ca="1">ROUND(IF(M10="押一",J6/12*M11,IF(M10="押二",J6/12*2*M11,IF(M10="押三",J6/12*3*M11,J11*M11))),0)</f>
        <v>0</v>
      </c>
      <c r="K10" s="148" t="s">
        <v>2116</v>
      </c>
      <c r="L10" s="303" t="s">
        <v>701</v>
      </c>
      <c r="M10" s="1048"/>
    </row>
    <row r="11" spans="1:37" ht="18" customHeight="1">
      <c r="A11" s="298"/>
      <c r="B11" s="1270" t="s">
        <v>679</v>
      </c>
      <c r="C11" s="900"/>
      <c r="D11" s="1271"/>
      <c r="E11" s="303" t="s">
        <v>702</v>
      </c>
      <c r="F11" s="304">
        <f ca="1">'数据-取费表'!B39</f>
        <v>1.4999999999999999E-2</v>
      </c>
      <c r="G11" s="1287"/>
      <c r="H11" s="1009"/>
      <c r="I11" s="1270" t="s">
        <v>679</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INDIRECT("'数据-取费表'!m"&amp;$G$1)+INDIRECT("'数据-取费表'!t"&amp;$G$1)</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ROUND(F17*(F43+INDIRECT("'数据-取费表'!S"&amp;$G$1))/10000,0)</f>
        <v>0</v>
      </c>
      <c r="D17" s="292" t="s">
        <v>717</v>
      </c>
      <c r="E17" s="292" t="s">
        <v>718</v>
      </c>
      <c r="F17" s="22">
        <f>'数据-取费表'!B35</f>
        <v>200</v>
      </c>
      <c r="G17" s="1298"/>
      <c r="H17" s="923" t="s">
        <v>398</v>
      </c>
      <c r="I17" s="292"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ROUND(M20*M21/10000,2)</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15</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ROUND(J14*M22,2)</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ROUND(J13*M23,2)</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ROUND(J5*M24,2)</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ROUND(IF(AND(项目基本情况!B11="自然人",项目基本情况!B10="北京市"),C6*F31/(1+'数据-取费表'!C42),C32+C33+C34),2)</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IF(项目基本情况!B11="自然人","——",ROUND(C6*F32/(1+'数据-取费表'!C42),2))</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IF(项目基本情况!B11="自然人","——",IF(D33="按租金收入计税",ROUND(C6*F33/(1+'数据-取费表'!C42),2),IF(D33="按房产原值计税",ROUND(C29*F33*0.7,2),INDIRECT("'数据-取费表'!Aj"&amp;$G$1))))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IF(项目基本情况!B11="自然人","——",ROUND(F34*F35/10000,2))</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ROUND(C29*F36,2)</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ROUND(C13*F37,2)</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70" t="s">
        <v>808</v>
      </c>
      <c r="P45" s="1361"/>
      <c r="Q45" s="1361"/>
      <c r="R45" s="1361"/>
    </row>
    <row r="46" spans="1:18" s="1287" customFormat="1" ht="13.8"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8" thickBot="1">
      <c r="A47" s="887" t="s">
        <v>687</v>
      </c>
      <c r="B47" s="919" t="s">
        <v>688</v>
      </c>
      <c r="C47" s="104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6" t="s">
        <v>439</v>
      </c>
      <c r="B49" s="1274" t="s">
        <v>779</v>
      </c>
      <c r="C49" s="1046">
        <f ca="1">ROUND(F49*F51*F50*(1-F52)/10000,0)</f>
        <v>0</v>
      </c>
      <c r="D49" s="987" t="s">
        <v>2110</v>
      </c>
      <c r="E49" s="1275" t="s">
        <v>780</v>
      </c>
      <c r="F49" s="992"/>
      <c r="H49" s="679"/>
      <c r="I49" s="1323" t="s">
        <v>823</v>
      </c>
      <c r="J49" s="1327"/>
      <c r="K49" s="1325" t="s">
        <v>824</v>
      </c>
      <c r="L49" s="1328"/>
      <c r="O49" s="1329" t="s">
        <v>405</v>
      </c>
      <c r="P49" s="1321" t="s">
        <v>825</v>
      </c>
      <c r="Q49" s="1322">
        <f ca="1">C29</f>
        <v>0</v>
      </c>
      <c r="R49" s="1322" t="s">
        <v>818</v>
      </c>
    </row>
    <row r="50" spans="1:18" s="1287" customFormat="1" ht="13.8" thickBot="1">
      <c r="A50" s="917"/>
      <c r="B50" s="920"/>
      <c r="C50" s="1050"/>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6.6" thickBot="1">
      <c r="A53" s="1074" t="s">
        <v>440</v>
      </c>
      <c r="B53" s="1276" t="s">
        <v>700</v>
      </c>
      <c r="C53" s="306">
        <f ca="1">ROUND(IF(F53="押一",C49/12*F11,IF(F53="押二",C49/12*2*F11,IF(F53="押三",C49/12*3*F11,C54*F11))),0)</f>
        <v>0</v>
      </c>
      <c r="D53" s="148" t="s">
        <v>2116</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24.6" thickBot="1">
      <c r="A54" s="1075"/>
      <c r="B54" s="1270" t="s">
        <v>679</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7.200000000000003" thickTop="1" thickBot="1">
      <c r="A56" s="898">
        <v>2</v>
      </c>
      <c r="B56" s="899" t="s">
        <v>704</v>
      </c>
      <c r="C56" s="222">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6" thickBot="1">
      <c r="A57" s="1351"/>
      <c r="B57" s="891"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6" thickBot="1">
      <c r="A58" s="305" t="s">
        <v>393</v>
      </c>
      <c r="B58" s="899" t="s">
        <v>714</v>
      </c>
      <c r="C58" s="306">
        <f ca="1">ROUND(C59+C64+C65+C66,0)</f>
        <v>0</v>
      </c>
      <c r="D58" s="901" t="s">
        <v>715</v>
      </c>
      <c r="E58" s="902"/>
      <c r="F58" s="903"/>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3" t="s">
        <v>397</v>
      </c>
      <c r="B60" s="891" t="s">
        <v>723</v>
      </c>
      <c r="C60" s="20">
        <f ca="1">IF(项目基本情况!B11="自然人","——",ROUND(C48*F60/(1+'数据-取费表'!C42),2))</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3" t="s">
        <v>781</v>
      </c>
      <c r="B61" s="891" t="s">
        <v>782</v>
      </c>
      <c r="C61" s="20">
        <f ca="1">IF(项目基本情况!B11="自然人","——",IF(D61="按租金收入计税",ROUND(C49*F61/(1+'数据-取费表'!C42),2),IF(D61="按房产原值计税",ROUND(C57*F61*0.7,2),INDIRECT("'数据-取费表'!Aj"&amp;$G$1))))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3" t="s">
        <v>784</v>
      </c>
      <c r="B62" s="890" t="s">
        <v>785</v>
      </c>
      <c r="C62" s="21">
        <f ca="1">IF(项目基本情况!B11="自然人","——",ROUND(F62*F63/10000,2))</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3" t="s">
        <v>789</v>
      </c>
      <c r="B64" s="891" t="s">
        <v>790</v>
      </c>
      <c r="C64" s="20">
        <f ca="1">ROUND(C57*F64,2)</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8" thickBot="1">
      <c r="A65" s="923" t="s">
        <v>792</v>
      </c>
      <c r="B65" s="891" t="s">
        <v>742</v>
      </c>
      <c r="C65" s="20">
        <f ca="1">ROUND(C56*F65,2)</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2" thickBot="1">
      <c r="A66" s="923" t="s">
        <v>793</v>
      </c>
      <c r="B66" s="891" t="s">
        <v>728</v>
      </c>
      <c r="C66" s="20">
        <f ca="1">ROUND(C48*F66,2)</f>
        <v>0</v>
      </c>
      <c r="D66" s="905" t="s">
        <v>794</v>
      </c>
      <c r="E66" s="891" t="s">
        <v>712</v>
      </c>
      <c r="F66" s="302">
        <f t="shared" ca="1" si="0"/>
        <v>0</v>
      </c>
      <c r="O66" s="1320" t="s">
        <v>404</v>
      </c>
      <c r="P66" s="1321" t="s">
        <v>846</v>
      </c>
      <c r="Q66" s="1322" t="e">
        <f ca="1">L60</f>
        <v>#DIV/0!</v>
      </c>
      <c r="R66" s="1322" t="s">
        <v>869</v>
      </c>
    </row>
    <row r="67" spans="1:18" s="1287" customFormat="1" ht="24.6"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2"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8" thickBot="1">
      <c r="A69" s="892"/>
      <c r="B69" s="893"/>
      <c r="C69" s="296"/>
      <c r="D69" s="911" t="s">
        <v>762</v>
      </c>
      <c r="E69" s="891" t="s">
        <v>763</v>
      </c>
      <c r="F69" s="322">
        <f ca="1">F41</f>
        <v>0</v>
      </c>
      <c r="O69" s="1329" t="s">
        <v>411</v>
      </c>
      <c r="P69" s="1366" t="s">
        <v>872</v>
      </c>
      <c r="Q69" s="1322">
        <f ca="1">C39</f>
        <v>0</v>
      </c>
      <c r="R69" s="1322" t="s">
        <v>818</v>
      </c>
    </row>
    <row r="70" spans="1:18" s="1287" customFormat="1" ht="13.8" thickBot="1">
      <c r="A70" s="895"/>
      <c r="B70" s="896"/>
      <c r="C70" s="300"/>
      <c r="D70" s="907"/>
      <c r="E70" s="891" t="s">
        <v>766</v>
      </c>
      <c r="F70" s="986"/>
      <c r="O70" s="1329" t="s">
        <v>412</v>
      </c>
      <c r="P70" s="1366" t="s">
        <v>873</v>
      </c>
      <c r="Q70" s="1322">
        <f ca="1">C13</f>
        <v>0</v>
      </c>
      <c r="R70" s="1322" t="s">
        <v>818</v>
      </c>
    </row>
    <row r="71" spans="1:18" s="1287" customFormat="1" ht="13.8" thickBot="1">
      <c r="A71" s="912" t="s">
        <v>396</v>
      </c>
      <c r="B71" s="913" t="s">
        <v>776</v>
      </c>
      <c r="C71" s="325" t="e">
        <f ca="1">ROUND(C68*10000/F71,0)</f>
        <v>#DIV/0!</v>
      </c>
      <c r="D71" s="914" t="s">
        <v>777</v>
      </c>
      <c r="E71" s="915" t="s">
        <v>778</v>
      </c>
      <c r="F71" s="328">
        <f ca="1">F43</f>
        <v>0</v>
      </c>
      <c r="O71" s="1329" t="s">
        <v>413</v>
      </c>
      <c r="P71" s="1366" t="s">
        <v>874</v>
      </c>
      <c r="Q71" s="1332">
        <f ca="1">C76</f>
        <v>0</v>
      </c>
      <c r="R71" s="1322"/>
    </row>
    <row r="72" spans="1:18" s="1287" customFormat="1" ht="13.8" thickBot="1">
      <c r="B72" s="682"/>
      <c r="C72" s="682"/>
      <c r="O72" s="1329" t="s">
        <v>407</v>
      </c>
      <c r="P72" s="1321" t="s">
        <v>852</v>
      </c>
      <c r="Q72" s="1332">
        <f>L52</f>
        <v>0</v>
      </c>
      <c r="R72" s="1322"/>
    </row>
    <row r="73" spans="1:18" ht="16.2" thickBot="1">
      <c r="A73" s="1287"/>
      <c r="B73" s="682"/>
      <c r="C73" s="682"/>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7" t="e">
        <f ca="1">ROUND(D2/10000,4)</f>
        <v>#DIV/0!</v>
      </c>
      <c r="C2" s="1284" t="s">
        <v>879</v>
      </c>
      <c r="D2" s="1370" t="e">
        <f ca="1">C40+J29+L46</f>
        <v>#DIV/0!</v>
      </c>
      <c r="E2" s="1290" t="s">
        <v>880</v>
      </c>
      <c r="F2" s="1291"/>
      <c r="G2" s="2471"/>
      <c r="H2" s="2461"/>
      <c r="I2" s="2461"/>
      <c r="J2" s="2461"/>
      <c r="K2" s="2462"/>
      <c r="L2" s="2461"/>
      <c r="M2" s="2461"/>
    </row>
    <row r="3" spans="1:37" ht="18" customHeight="1" thickBot="1">
      <c r="A3" s="1292" t="s">
        <v>881</v>
      </c>
      <c r="B3" s="1293">
        <f ca="1">IF(ISERROR(D2/F43),0,ROUND(D2/F43,0))</f>
        <v>0</v>
      </c>
      <c r="C3" s="1284" t="s">
        <v>882</v>
      </c>
      <c r="D3" s="1284"/>
      <c r="E3" s="1290"/>
      <c r="F3" s="1291"/>
      <c r="G3" s="2471"/>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0</v>
      </c>
      <c r="D5" s="1268" t="s">
        <v>889</v>
      </c>
      <c r="E5" s="1003"/>
      <c r="F5" s="1004"/>
      <c r="G5" s="1287"/>
      <c r="H5" s="289">
        <v>1</v>
      </c>
      <c r="I5" s="290" t="s">
        <v>888</v>
      </c>
      <c r="J5" s="1002">
        <f ca="1">J6+J10+J12</f>
        <v>0</v>
      </c>
      <c r="K5" s="1268" t="s">
        <v>889</v>
      </c>
      <c r="L5" s="1003"/>
      <c r="M5" s="1004"/>
    </row>
    <row r="6" spans="1:37" ht="18" customHeight="1">
      <c r="A6" s="1001" t="s">
        <v>398</v>
      </c>
      <c r="B6" s="3450" t="s">
        <v>694</v>
      </c>
      <c r="C6" s="1006">
        <f ca="1">ROUND(F6*F8*F7*(1-F9),0)</f>
        <v>0</v>
      </c>
      <c r="D6" s="145" t="s">
        <v>2106</v>
      </c>
      <c r="E6" s="292" t="s">
        <v>696</v>
      </c>
      <c r="F6" s="293">
        <f ca="1">INDIRECT("'数据-取费表'!u"&amp;$G$1)</f>
        <v>0</v>
      </c>
      <c r="G6" s="1287"/>
      <c r="H6" s="1001" t="s">
        <v>398</v>
      </c>
      <c r="I6" s="3450" t="s">
        <v>694</v>
      </c>
      <c r="J6" s="291">
        <f ca="1">ROUND(M6*M8*M7*(1-M9),0)</f>
        <v>0</v>
      </c>
      <c r="K6" s="1279" t="s">
        <v>2107</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2116</v>
      </c>
      <c r="E10" s="303" t="s">
        <v>701</v>
      </c>
      <c r="F10" s="1048"/>
      <c r="G10" s="1287"/>
      <c r="H10" s="1001" t="s">
        <v>402</v>
      </c>
      <c r="I10" s="1269" t="s">
        <v>700</v>
      </c>
      <c r="J10" s="291">
        <f ca="1">ROUND(IF(M10="押一",J6/12*M11,IF(M10="押二",J6/12*2*M11,IF(M10="押三",J6/12*3*M11,J11*M11))),0)</f>
        <v>0</v>
      </c>
      <c r="K10" s="1280" t="s">
        <v>2118</v>
      </c>
      <c r="L10" s="303" t="s">
        <v>701</v>
      </c>
      <c r="M10" s="1048"/>
    </row>
    <row r="11" spans="1:37" ht="18" customHeight="1">
      <c r="A11" s="298"/>
      <c r="B11" s="1270" t="s">
        <v>890</v>
      </c>
      <c r="C11" s="900"/>
      <c r="D11" s="297"/>
      <c r="E11" s="303" t="s">
        <v>702</v>
      </c>
      <c r="F11" s="304">
        <f ca="1">'数据-取费表'!B39</f>
        <v>1.4999999999999999E-2</v>
      </c>
      <c r="G11" s="1287"/>
      <c r="H11" s="1009"/>
      <c r="I11" s="1270" t="s">
        <v>891</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ROUND(INDIRECT("'数据-取费表'!l"&amp;$G$1)*F43+'数据-取费表'!L14*INDIRECT("'数据-取费表'!S"&amp;$G$1),0)</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ROUND(INDIRECT("'数据-取费表'!l"&amp;$G$1)*F43*F16,0)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ROUND(F17*(F43+INDIRECT("'数据-取费表'!S"&amp;$G$1)),0)</f>
        <v>0</v>
      </c>
      <c r="D17" s="292" t="s">
        <v>717</v>
      </c>
      <c r="E17" s="292" t="s">
        <v>718</v>
      </c>
      <c r="F17" s="22">
        <f>'数据-取费表'!B35</f>
        <v>200</v>
      </c>
      <c r="G17" s="1298"/>
      <c r="H17" s="923" t="s">
        <v>398</v>
      </c>
      <c r="I17" s="292"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ROUND(M20*M21,0)</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0</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ROUND(J14*M22,0)</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ROUND(J5*M24,0)</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ht="18" customHeight="1">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IF(项目基本情况!B11="自然人","——",ROUND(C6*F32/(1+'数据-取费表'!C42),0))</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IF(项目基本情况!B11="自然人","——",ROUND(F34*F35,0))</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ROUND(C29*F36,0)</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ROUND(C13*F37,0)</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8"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8" thickBot="1">
      <c r="A47" s="887" t="s">
        <v>687</v>
      </c>
      <c r="B47" s="919" t="s">
        <v>688</v>
      </c>
      <c r="C47" s="91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6" t="s">
        <v>439</v>
      </c>
      <c r="B49" s="1274" t="s">
        <v>779</v>
      </c>
      <c r="C49" s="1046">
        <f ca="1">ROUND(F49*F51*F50*(1-F52),0)</f>
        <v>0</v>
      </c>
      <c r="D49" s="987" t="s">
        <v>695</v>
      </c>
      <c r="E49" s="1275" t="s">
        <v>780</v>
      </c>
      <c r="F49" s="992"/>
      <c r="H49" s="679"/>
      <c r="I49" s="1323" t="s">
        <v>823</v>
      </c>
      <c r="J49" s="1327"/>
      <c r="K49" s="1325" t="s">
        <v>824</v>
      </c>
      <c r="L49" s="1328"/>
      <c r="O49" s="1329" t="s">
        <v>405</v>
      </c>
      <c r="P49" s="1321" t="s">
        <v>825</v>
      </c>
      <c r="Q49" s="1322">
        <f ca="1">C29</f>
        <v>0</v>
      </c>
      <c r="R49" s="1322" t="s">
        <v>818</v>
      </c>
    </row>
    <row r="50" spans="1:18" s="1287" customFormat="1" ht="13.8" thickBot="1">
      <c r="A50" s="917"/>
      <c r="B50" s="920"/>
      <c r="C50" s="921"/>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0.75" customHeight="1" thickBot="1">
      <c r="A53" s="1043" t="s">
        <v>440</v>
      </c>
      <c r="B53" s="313" t="s">
        <v>700</v>
      </c>
      <c r="C53" s="306">
        <f ca="1">ROUND(IF(F53="押一",C49/12*F11,IF(F53="押二",C49/12*2*F11,IF(F53="押三",C49/12*3*F11,C54*F11))),0)</f>
        <v>0</v>
      </c>
      <c r="D53" s="148" t="s">
        <v>2119</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13.8" thickBot="1">
      <c r="A54" s="916"/>
      <c r="B54" s="1372" t="s">
        <v>891</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8">
        <v>2</v>
      </c>
      <c r="B56" s="899"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6" thickBot="1">
      <c r="A57" s="1351"/>
      <c r="B57" s="891"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6" thickBot="1">
      <c r="A58" s="305" t="s">
        <v>393</v>
      </c>
      <c r="B58" s="899" t="s">
        <v>714</v>
      </c>
      <c r="C58" s="306">
        <f ca="1">ROUND(C59+C64+C65+C66,0)</f>
        <v>0</v>
      </c>
      <c r="D58" s="901" t="s">
        <v>715</v>
      </c>
      <c r="E58" s="902"/>
      <c r="F58" s="903"/>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2" thickBot="1">
      <c r="A60" s="923" t="s">
        <v>397</v>
      </c>
      <c r="B60" s="891" t="s">
        <v>723</v>
      </c>
      <c r="C60" s="20">
        <f ca="1">IF(项目基本情况!B11="自然人","——",ROUND(C48*F60/(1+'数据-取费表'!C42),0))</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3" t="s">
        <v>781</v>
      </c>
      <c r="B61" s="891" t="s">
        <v>782</v>
      </c>
      <c r="C61" s="20">
        <f ca="1">IF(项目基本情况!B11="自然人","——",IF(D61="按租金收入计税",ROUND(C49*F61/(1+'数据-取费表'!C42),0),IF(D61="按房产原值计税",ROUND(C57*F61*0.7,0),INDIRECT("'数据-取费表'!Aj"&amp;$G$1))))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3" t="s">
        <v>784</v>
      </c>
      <c r="B62" s="890" t="s">
        <v>785</v>
      </c>
      <c r="C62" s="21">
        <f ca="1">IF(项目基本情况!B11="自然人","——",ROUND(F62*F63,0))</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3" t="s">
        <v>789</v>
      </c>
      <c r="B64" s="891" t="s">
        <v>790</v>
      </c>
      <c r="C64" s="20">
        <f ca="1">ROUND(C57*F64,0)</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8" thickBot="1">
      <c r="A65" s="923" t="s">
        <v>792</v>
      </c>
      <c r="B65" s="891" t="s">
        <v>742</v>
      </c>
      <c r="C65" s="20">
        <f ca="1">ROUND(C56*F65,0)</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2" thickBot="1">
      <c r="A66" s="923" t="s">
        <v>793</v>
      </c>
      <c r="B66" s="891" t="s">
        <v>728</v>
      </c>
      <c r="C66" s="20">
        <f ca="1">ROUND(C48*F66,0)</f>
        <v>0</v>
      </c>
      <c r="D66" s="905" t="s">
        <v>794</v>
      </c>
      <c r="E66" s="891" t="s">
        <v>712</v>
      </c>
      <c r="F66" s="302">
        <f t="shared" ca="1" si="0"/>
        <v>0</v>
      </c>
      <c r="O66" s="1320" t="s">
        <v>404</v>
      </c>
      <c r="P66" s="1321" t="s">
        <v>846</v>
      </c>
      <c r="Q66" s="1322" t="e">
        <f ca="1">L60</f>
        <v>#DIV/0!</v>
      </c>
      <c r="R66" s="1322" t="s">
        <v>869</v>
      </c>
    </row>
    <row r="67" spans="1:18" s="1287" customFormat="1" ht="24.6"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2"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8" thickBot="1">
      <c r="A69" s="892"/>
      <c r="B69" s="893"/>
      <c r="C69" s="296"/>
      <c r="D69" s="911" t="s">
        <v>762</v>
      </c>
      <c r="E69" s="891" t="s">
        <v>763</v>
      </c>
      <c r="F69" s="322">
        <f ca="1">F41</f>
        <v>0</v>
      </c>
      <c r="O69" s="1329" t="s">
        <v>411</v>
      </c>
      <c r="P69" s="1366" t="s">
        <v>872</v>
      </c>
      <c r="Q69" s="1322">
        <f ca="1">C39</f>
        <v>0</v>
      </c>
      <c r="R69" s="1322" t="s">
        <v>818</v>
      </c>
    </row>
    <row r="70" spans="1:18" s="1287" customFormat="1" ht="13.8" thickBot="1">
      <c r="A70" s="895"/>
      <c r="B70" s="896"/>
      <c r="C70" s="300"/>
      <c r="D70" s="907"/>
      <c r="E70" s="891" t="s">
        <v>766</v>
      </c>
      <c r="F70" s="986"/>
      <c r="O70" s="1329" t="s">
        <v>412</v>
      </c>
      <c r="P70" s="1366" t="s">
        <v>873</v>
      </c>
      <c r="Q70" s="1322">
        <f ca="1">C13</f>
        <v>0</v>
      </c>
      <c r="R70" s="1322" t="s">
        <v>818</v>
      </c>
    </row>
    <row r="71" spans="1:18" s="1287" customFormat="1" ht="13.8" thickBot="1">
      <c r="A71" s="912" t="s">
        <v>396</v>
      </c>
      <c r="B71" s="913" t="s">
        <v>776</v>
      </c>
      <c r="C71" s="325" t="e">
        <f ca="1">ROUND(C68/F71,0)</f>
        <v>#DIV/0!</v>
      </c>
      <c r="D71" s="914" t="s">
        <v>777</v>
      </c>
      <c r="E71" s="915" t="s">
        <v>778</v>
      </c>
      <c r="F71" s="328">
        <f ca="1">F43</f>
        <v>0</v>
      </c>
      <c r="O71" s="1329" t="s">
        <v>413</v>
      </c>
      <c r="P71" s="1366" t="s">
        <v>874</v>
      </c>
      <c r="Q71" s="1332">
        <f ca="1">C76</f>
        <v>0</v>
      </c>
      <c r="R71" s="1322"/>
    </row>
    <row r="72" spans="1:18" s="1287" customFormat="1" ht="13.8" thickBot="1">
      <c r="B72" s="682"/>
      <c r="C72" s="682"/>
      <c r="O72" s="1329" t="s">
        <v>407</v>
      </c>
      <c r="P72" s="1321" t="s">
        <v>852</v>
      </c>
      <c r="Q72" s="1332">
        <f>L52</f>
        <v>0</v>
      </c>
      <c r="R72" s="1322"/>
    </row>
    <row r="73" spans="1:18" ht="16.2" thickBot="1">
      <c r="A73" s="1287"/>
      <c r="B73" s="682"/>
      <c r="C73" s="682"/>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2" customHeight="1">
      <c r="A2" s="1288" t="s">
        <v>2311</v>
      </c>
      <c r="B2" s="2587" t="e">
        <f>IF(D2="——",C40,C40+E2)</f>
        <v>#DIV/0!</v>
      </c>
      <c r="C2" s="2588" t="s">
        <v>2312</v>
      </c>
      <c r="D2" s="3132" t="s">
        <v>3362</v>
      </c>
      <c r="E2" s="3133"/>
      <c r="F2" s="2590"/>
      <c r="G2" s="2591"/>
      <c r="H2" s="2592"/>
      <c r="I2" s="2593"/>
      <c r="J2" s="3453" t="s">
        <v>2313</v>
      </c>
      <c r="K2" s="3454"/>
      <c r="L2" s="2594" t="s">
        <v>2314</v>
      </c>
      <c r="M2" s="2594" t="s">
        <v>2315</v>
      </c>
      <c r="N2" s="2594" t="s">
        <v>2316</v>
      </c>
      <c r="O2" s="2594" t="s">
        <v>2317</v>
      </c>
      <c r="P2" s="2594" t="s">
        <v>2318</v>
      </c>
      <c r="Q2" s="2595" t="s">
        <v>2319</v>
      </c>
      <c r="R2" s="2596" t="s">
        <v>2320</v>
      </c>
      <c r="S2" s="2585"/>
      <c r="T2" s="2585"/>
      <c r="U2" s="2585"/>
      <c r="V2" s="2593"/>
    </row>
    <row r="3" spans="1:22" s="2597" customFormat="1" ht="13.2" customHeight="1">
      <c r="A3" s="2598" t="s">
        <v>2321</v>
      </c>
      <c r="B3" s="2599" t="e">
        <f>ROUND(B2*10000/B4,0)</f>
        <v>#DIV/0!</v>
      </c>
      <c r="C3" s="2588" t="s">
        <v>2322</v>
      </c>
      <c r="D3" s="2588"/>
      <c r="E3" s="2589"/>
      <c r="F3" s="2590"/>
      <c r="G3" s="2591"/>
      <c r="H3" s="2592"/>
      <c r="I3" s="2593"/>
      <c r="J3" s="3455" t="s">
        <v>2323</v>
      </c>
      <c r="K3" s="3456"/>
      <c r="L3" s="2600"/>
      <c r="M3" s="2600"/>
      <c r="N3" s="2600"/>
      <c r="O3" s="2600"/>
      <c r="P3" s="2600"/>
      <c r="Q3" s="2601"/>
      <c r="R3" s="2602">
        <f>SUM(L3:Q3)</f>
        <v>0</v>
      </c>
      <c r="S3" s="2585"/>
      <c r="T3" s="2585"/>
      <c r="U3" s="2585"/>
      <c r="V3" s="2593"/>
    </row>
    <row r="4" spans="1:22" s="2597" customFormat="1" ht="13.2" customHeight="1">
      <c r="A4" s="2603" t="s">
        <v>2324</v>
      </c>
      <c r="B4" s="2604"/>
      <c r="C4" s="2588"/>
      <c r="D4" s="2588"/>
      <c r="E4" s="2589"/>
      <c r="F4" s="2590"/>
      <c r="G4" s="2591"/>
      <c r="H4" s="2592"/>
      <c r="I4" s="2593"/>
      <c r="J4" s="3455" t="s">
        <v>2325</v>
      </c>
      <c r="K4" s="3456"/>
      <c r="L4" s="2605"/>
      <c r="M4" s="2605"/>
      <c r="N4" s="2605"/>
      <c r="O4" s="2605"/>
      <c r="P4" s="2605"/>
      <c r="Q4" s="2606"/>
      <c r="R4" s="2607">
        <f>SUM(L4:Q4)</f>
        <v>0</v>
      </c>
      <c r="S4" s="2585"/>
      <c r="T4" s="2585"/>
      <c r="U4" s="2585"/>
      <c r="V4" s="2593"/>
    </row>
    <row r="5" spans="1:22" s="2597" customFormat="1" ht="13.2"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2" customHeight="1" thickBot="1">
      <c r="A6" s="3457" t="s">
        <v>2329</v>
      </c>
      <c r="B6" s="3458"/>
      <c r="C6" s="3459"/>
      <c r="D6" s="2614"/>
      <c r="E6" s="2615"/>
      <c r="F6" s="2616"/>
      <c r="G6" s="2617"/>
      <c r="H6" s="2592"/>
      <c r="I6" s="2593"/>
      <c r="J6" s="3460">
        <v>1</v>
      </c>
      <c r="K6" s="3461"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2" customHeight="1">
      <c r="A7" s="2620" t="s">
        <v>2339</v>
      </c>
      <c r="B7" s="2621"/>
      <c r="C7" s="2622"/>
      <c r="D7" s="2623">
        <f>SUM(D9,D10,D11,D17,0)</f>
        <v>0</v>
      </c>
      <c r="E7" s="2624" t="e">
        <f>E9+E10+E11+E17</f>
        <v>#DIV/0!</v>
      </c>
      <c r="F7" s="2625"/>
      <c r="G7" s="2626"/>
      <c r="H7" s="2592"/>
      <c r="I7" s="2593"/>
      <c r="J7" s="3460"/>
      <c r="K7" s="3462"/>
      <c r="L7" s="2627" t="s">
        <v>2340</v>
      </c>
      <c r="M7" s="2628"/>
      <c r="N7" s="2604"/>
      <c r="O7" s="2629"/>
      <c r="P7" s="2629"/>
      <c r="Q7" s="2630">
        <v>365</v>
      </c>
      <c r="R7" s="2631">
        <f>ROUND(M7*N7*O7*P7*Q7/10000,0)</f>
        <v>0</v>
      </c>
      <c r="S7" s="2585"/>
      <c r="T7" s="2585" t="s">
        <v>2341</v>
      </c>
      <c r="U7" s="2585"/>
      <c r="V7" s="2593"/>
    </row>
    <row r="8" spans="1:22" s="2597" customFormat="1" ht="13.2" customHeight="1">
      <c r="A8" s="2632" t="s">
        <v>2342</v>
      </c>
      <c r="B8" s="3464" t="s">
        <v>2343</v>
      </c>
      <c r="C8" s="3465"/>
      <c r="D8" s="2633" t="s">
        <v>2344</v>
      </c>
      <c r="E8" s="2634" t="s">
        <v>2345</v>
      </c>
      <c r="F8" s="2635" t="s">
        <v>2346</v>
      </c>
      <c r="G8" s="2636"/>
      <c r="H8" s="2592"/>
      <c r="I8" s="2593"/>
      <c r="J8" s="3460"/>
      <c r="K8" s="3462"/>
      <c r="L8" s="2627" t="s">
        <v>2347</v>
      </c>
      <c r="M8" s="2628"/>
      <c r="N8" s="2604"/>
      <c r="O8" s="2629"/>
      <c r="P8" s="2629"/>
      <c r="Q8" s="2630">
        <v>365</v>
      </c>
      <c r="R8" s="2631">
        <f t="shared" ref="R8:R13" si="0">ROUND(M8*N8*O8*P8*Q8/10000,0)</f>
        <v>0</v>
      </c>
      <c r="S8" s="2585"/>
      <c r="T8" s="2585" t="s">
        <v>2348</v>
      </c>
      <c r="U8" s="2585"/>
      <c r="V8" s="2593"/>
    </row>
    <row r="9" spans="1:22" s="2597" customFormat="1" ht="13.2" customHeight="1">
      <c r="A9" s="2632">
        <v>1</v>
      </c>
      <c r="B9" s="3464" t="s">
        <v>2349</v>
      </c>
      <c r="C9" s="3465"/>
      <c r="D9" s="2633">
        <f>ROUND(D6*E9,0)</f>
        <v>0</v>
      </c>
      <c r="E9" s="2637"/>
      <c r="F9" s="2638" t="s">
        <v>2350</v>
      </c>
      <c r="G9" s="2617"/>
      <c r="H9" s="2592"/>
      <c r="I9" s="2593"/>
      <c r="J9" s="3460"/>
      <c r="K9" s="3462"/>
      <c r="L9" s="2627" t="s">
        <v>2351</v>
      </c>
      <c r="M9" s="2628"/>
      <c r="N9" s="2604"/>
      <c r="O9" s="2629"/>
      <c r="P9" s="2629"/>
      <c r="Q9" s="2630">
        <v>365</v>
      </c>
      <c r="R9" s="2631">
        <f t="shared" si="0"/>
        <v>0</v>
      </c>
      <c r="S9" s="2585"/>
      <c r="T9" s="2585"/>
      <c r="U9" s="2585"/>
      <c r="V9" s="2593"/>
    </row>
    <row r="10" spans="1:22" s="2597" customFormat="1" ht="13.2" customHeight="1">
      <c r="A10" s="2632">
        <v>2</v>
      </c>
      <c r="B10" s="3464" t="s">
        <v>2352</v>
      </c>
      <c r="C10" s="3465"/>
      <c r="D10" s="2633">
        <f>ROUND(D6*E10,0)</f>
        <v>0</v>
      </c>
      <c r="E10" s="2637"/>
      <c r="F10" s="2638" t="s">
        <v>2353</v>
      </c>
      <c r="G10" s="2617"/>
      <c r="H10" s="2592"/>
      <c r="I10" s="2593"/>
      <c r="J10" s="3460"/>
      <c r="K10" s="3462"/>
      <c r="L10" s="2627" t="s">
        <v>2354</v>
      </c>
      <c r="M10" s="2628"/>
      <c r="N10" s="2604"/>
      <c r="O10" s="2629"/>
      <c r="P10" s="2629"/>
      <c r="Q10" s="2630">
        <v>365</v>
      </c>
      <c r="R10" s="2631">
        <f t="shared" si="0"/>
        <v>0</v>
      </c>
      <c r="S10" s="2585"/>
      <c r="T10" s="2585"/>
      <c r="U10" s="2585"/>
      <c r="V10" s="2593"/>
    </row>
    <row r="11" spans="1:22" s="2597" customFormat="1" ht="13.2" customHeight="1">
      <c r="A11" s="2632">
        <v>3</v>
      </c>
      <c r="B11" s="3464" t="s">
        <v>2355</v>
      </c>
      <c r="C11" s="3465"/>
      <c r="D11" s="2633">
        <f>D12+D14+D15+D16</f>
        <v>0</v>
      </c>
      <c r="E11" s="2639" t="e">
        <f>D11/D6</f>
        <v>#DIV/0!</v>
      </c>
      <c r="F11" s="2635"/>
      <c r="G11" s="2636"/>
      <c r="H11" s="2592"/>
      <c r="I11" s="2593"/>
      <c r="J11" s="3460"/>
      <c r="K11" s="3462"/>
      <c r="L11" s="2627" t="s">
        <v>2356</v>
      </c>
      <c r="M11" s="2628"/>
      <c r="N11" s="2604"/>
      <c r="O11" s="2629"/>
      <c r="P11" s="2629"/>
      <c r="Q11" s="2630">
        <v>365</v>
      </c>
      <c r="R11" s="2631">
        <f t="shared" si="0"/>
        <v>0</v>
      </c>
      <c r="S11" s="2585"/>
      <c r="T11" s="2585"/>
      <c r="U11" s="2585"/>
      <c r="V11" s="2593"/>
    </row>
    <row r="12" spans="1:22" s="2597" customFormat="1" ht="13.2" customHeight="1">
      <c r="A12" s="2640" t="s">
        <v>2357</v>
      </c>
      <c r="B12" s="3466" t="s">
        <v>2358</v>
      </c>
      <c r="C12" s="3467"/>
      <c r="D12" s="2641">
        <f>ROUND(D13*1.2%*(1-30%),0)</f>
        <v>0</v>
      </c>
      <c r="E12" s="2642">
        <v>1.2E-2</v>
      </c>
      <c r="F12" s="2635" t="s">
        <v>2359</v>
      </c>
      <c r="G12" s="2636"/>
      <c r="H12" s="2592"/>
      <c r="I12" s="2593"/>
      <c r="J12" s="3460"/>
      <c r="K12" s="3462"/>
      <c r="L12" s="2627" t="s">
        <v>2360</v>
      </c>
      <c r="M12" s="2628"/>
      <c r="N12" s="2604"/>
      <c r="O12" s="2629"/>
      <c r="P12" s="2629"/>
      <c r="Q12" s="2630">
        <v>365</v>
      </c>
      <c r="R12" s="2631">
        <f t="shared" si="0"/>
        <v>0</v>
      </c>
      <c r="S12" s="2585"/>
      <c r="T12" s="2585"/>
      <c r="U12" s="2585"/>
      <c r="V12" s="2593"/>
    </row>
    <row r="13" spans="1:22" s="2597" customFormat="1" ht="13.2" customHeight="1">
      <c r="A13" s="2640"/>
      <c r="B13" s="2643"/>
      <c r="C13" s="2644" t="s">
        <v>2361</v>
      </c>
      <c r="D13" s="2645"/>
      <c r="E13" s="2646"/>
      <c r="F13" s="2635"/>
      <c r="G13" s="2636"/>
      <c r="H13" s="2592"/>
      <c r="I13" s="2593"/>
      <c r="J13" s="3460"/>
      <c r="K13" s="3462"/>
      <c r="L13" s="2627" t="s">
        <v>2362</v>
      </c>
      <c r="M13" s="2628"/>
      <c r="N13" s="2604"/>
      <c r="O13" s="2629"/>
      <c r="P13" s="2629"/>
      <c r="Q13" s="2630">
        <v>365</v>
      </c>
      <c r="R13" s="2631">
        <f t="shared" si="0"/>
        <v>0</v>
      </c>
      <c r="S13" s="2585"/>
      <c r="T13" s="2585"/>
      <c r="U13" s="2585"/>
      <c r="V13" s="2593"/>
    </row>
    <row r="14" spans="1:22" s="2597" customFormat="1" ht="13.2" customHeight="1">
      <c r="A14" s="2640" t="s">
        <v>2363</v>
      </c>
      <c r="B14" s="3466" t="s">
        <v>2364</v>
      </c>
      <c r="C14" s="3467"/>
      <c r="D14" s="2641">
        <f>ROUND(E14*B5/10000,0)</f>
        <v>0</v>
      </c>
      <c r="E14" s="2630"/>
      <c r="F14" s="2635" t="s">
        <v>2365</v>
      </c>
      <c r="G14" s="2636"/>
      <c r="H14" s="2592"/>
      <c r="I14" s="2593"/>
      <c r="J14" s="3460"/>
      <c r="K14" s="3463"/>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2367</v>
      </c>
      <c r="B15" s="3466" t="s">
        <v>2368</v>
      </c>
      <c r="C15" s="3467"/>
      <c r="D15" s="2641">
        <f>ROUND(D6*E15,0)</f>
        <v>0</v>
      </c>
      <c r="E15" s="2642">
        <v>5.5E-2</v>
      </c>
      <c r="F15" s="2635" t="s">
        <v>2369</v>
      </c>
      <c r="G15" s="2617"/>
      <c r="H15" s="2592"/>
      <c r="I15" s="2593"/>
      <c r="J15" s="3460">
        <v>2</v>
      </c>
      <c r="K15" s="3461"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2" customHeight="1">
      <c r="A16" s="2640" t="s">
        <v>2376</v>
      </c>
      <c r="B16" s="3466" t="s">
        <v>2377</v>
      </c>
      <c r="C16" s="3467"/>
      <c r="D16" s="2652">
        <f>D6*E16</f>
        <v>0</v>
      </c>
      <c r="E16" s="2653"/>
      <c r="F16" s="2638" t="s">
        <v>2378</v>
      </c>
      <c r="G16" s="2617"/>
      <c r="H16" s="2592"/>
      <c r="I16" s="2593"/>
      <c r="J16" s="3460"/>
      <c r="K16" s="3462"/>
      <c r="L16" s="2627" t="s">
        <v>2379</v>
      </c>
      <c r="M16" s="2628"/>
      <c r="N16" s="2628"/>
      <c r="O16" s="2629"/>
      <c r="P16" s="2630">
        <v>365</v>
      </c>
      <c r="Q16" s="2604"/>
      <c r="R16" s="2651">
        <f>ROUND(M16*N16*O16*P16/10000,0)</f>
        <v>0</v>
      </c>
      <c r="S16" s="2585"/>
      <c r="T16" s="2585"/>
      <c r="U16" s="2585"/>
      <c r="V16" s="2593"/>
    </row>
    <row r="17" spans="1:22" s="2597" customFormat="1" ht="13.2" customHeight="1" thickBot="1">
      <c r="A17" s="2654">
        <v>4</v>
      </c>
      <c r="B17" s="3468" t="s">
        <v>2380</v>
      </c>
      <c r="C17" s="3469"/>
      <c r="D17" s="2655">
        <f>ROUND(D6*E17,0)</f>
        <v>0</v>
      </c>
      <c r="E17" s="2656"/>
      <c r="F17" s="2657" t="s">
        <v>2381</v>
      </c>
      <c r="G17" s="2617"/>
      <c r="H17" s="2592"/>
      <c r="I17" s="2593"/>
      <c r="J17" s="3460"/>
      <c r="K17" s="3462"/>
      <c r="L17" s="2627" t="s">
        <v>2382</v>
      </c>
      <c r="M17" s="2628"/>
      <c r="N17" s="2628"/>
      <c r="O17" s="2629"/>
      <c r="P17" s="2630">
        <v>365</v>
      </c>
      <c r="Q17" s="2604"/>
      <c r="R17" s="2651">
        <f>ROUND(M17*N17*O17*P17/10000,0)</f>
        <v>0</v>
      </c>
      <c r="S17" s="2585"/>
      <c r="T17" s="2585"/>
      <c r="U17" s="2585"/>
      <c r="V17" s="2593"/>
    </row>
    <row r="18" spans="1:22" s="2597" customFormat="1" ht="13.2" customHeight="1" thickBot="1">
      <c r="A18" s="2620" t="s">
        <v>2383</v>
      </c>
      <c r="B18" s="2621"/>
      <c r="C18" s="2621"/>
      <c r="D18" s="2658">
        <f>ROUND(D6*E18,0)</f>
        <v>0</v>
      </c>
      <c r="E18" s="2659"/>
      <c r="F18" s="2660" t="s">
        <v>2384</v>
      </c>
      <c r="G18" s="2617"/>
      <c r="H18" s="2592"/>
      <c r="I18" s="2593"/>
      <c r="J18" s="3460"/>
      <c r="K18" s="3462"/>
      <c r="L18" s="2627" t="s">
        <v>2385</v>
      </c>
      <c r="M18" s="2628"/>
      <c r="N18" s="2628"/>
      <c r="O18" s="2629"/>
      <c r="P18" s="2630">
        <v>365</v>
      </c>
      <c r="Q18" s="2604"/>
      <c r="R18" s="2651">
        <f>ROUND(M18*N18*O18*P18/10000,0)</f>
        <v>0</v>
      </c>
      <c r="S18" s="2585"/>
      <c r="T18" s="2585"/>
      <c r="U18" s="2585"/>
      <c r="V18" s="2593"/>
    </row>
    <row r="19" spans="1:22" s="2597" customFormat="1" ht="13.2" customHeight="1" thickBot="1">
      <c r="A19" s="2661" t="s">
        <v>2386</v>
      </c>
      <c r="B19" s="2615"/>
      <c r="C19" s="2615"/>
      <c r="D19" s="2615"/>
      <c r="E19" s="2615"/>
      <c r="F19" s="2616"/>
      <c r="G19" s="2636"/>
      <c r="H19" s="2592"/>
      <c r="I19" s="2593"/>
      <c r="J19" s="3460"/>
      <c r="K19" s="3463"/>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60">
        <v>3</v>
      </c>
      <c r="K20" s="3461"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2" customHeight="1">
      <c r="A21" s="2620"/>
      <c r="B21" s="2621"/>
      <c r="C21" s="2666" t="s">
        <v>2395</v>
      </c>
      <c r="D21" s="2667" t="s">
        <v>2396</v>
      </c>
      <c r="E21" s="2668" t="s">
        <v>2397</v>
      </c>
      <c r="F21" s="2664"/>
      <c r="G21" s="2636"/>
      <c r="H21" s="2592"/>
      <c r="I21" s="2593"/>
      <c r="J21" s="3460"/>
      <c r="K21" s="3462"/>
      <c r="L21" s="2627" t="s">
        <v>2398</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2399</v>
      </c>
      <c r="D22" s="2671" t="s">
        <v>2400</v>
      </c>
      <c r="E22" s="2672" t="s">
        <v>2401</v>
      </c>
      <c r="F22" s="2664"/>
      <c r="G22" s="2585"/>
      <c r="H22" s="2592"/>
      <c r="I22" s="2593"/>
      <c r="J22" s="3460"/>
      <c r="K22" s="3462"/>
      <c r="L22" s="2627" t="s">
        <v>2402</v>
      </c>
      <c r="M22" s="2628"/>
      <c r="N22" s="2628"/>
      <c r="O22" s="2629"/>
      <c r="P22" s="2630">
        <v>365</v>
      </c>
      <c r="Q22" s="2604"/>
      <c r="R22" s="2669">
        <f>ROUND(M22*N22*O22*P22/10000,0)</f>
        <v>0</v>
      </c>
      <c r="S22" s="2585"/>
      <c r="T22" s="2585"/>
      <c r="U22" s="2585"/>
      <c r="V22" s="2593"/>
    </row>
    <row r="23" spans="1:22" s="2597" customFormat="1" ht="13.2" customHeight="1">
      <c r="A23" s="2673">
        <v>1</v>
      </c>
      <c r="B23" s="2674" t="s">
        <v>2403</v>
      </c>
      <c r="C23" s="2675">
        <f>D6</f>
        <v>0</v>
      </c>
      <c r="D23" s="2676">
        <f>C23*(1+D24)</f>
        <v>0</v>
      </c>
      <c r="E23" s="2677">
        <f>D23*(1+E24)</f>
        <v>0</v>
      </c>
      <c r="F23" s="2678"/>
      <c r="G23" s="2679"/>
      <c r="H23" s="2592"/>
      <c r="I23" s="2593"/>
      <c r="J23" s="3460"/>
      <c r="K23" s="3462"/>
      <c r="L23" s="2627" t="s">
        <v>2404</v>
      </c>
      <c r="M23" s="2628"/>
      <c r="N23" s="2628"/>
      <c r="O23" s="2629"/>
      <c r="P23" s="2630">
        <v>365</v>
      </c>
      <c r="Q23" s="2604"/>
      <c r="R23" s="2669">
        <f>ROUND(M23*N23*O23*P23/10000,0)</f>
        <v>0</v>
      </c>
      <c r="S23" s="2585"/>
      <c r="T23" s="2585"/>
      <c r="U23" s="2585"/>
      <c r="V23" s="2593"/>
    </row>
    <row r="24" spans="1:22" s="2597" customFormat="1" ht="13.2" customHeight="1">
      <c r="A24" s="2680"/>
      <c r="B24" s="2681" t="s">
        <v>2405</v>
      </c>
      <c r="C24" s="2682"/>
      <c r="D24" s="2683"/>
      <c r="E24" s="2684"/>
      <c r="F24" s="2685"/>
      <c r="G24" s="2679"/>
      <c r="H24" s="2592"/>
      <c r="I24" s="2593"/>
      <c r="J24" s="3460"/>
      <c r="K24" s="3463"/>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2" customHeight="1">
      <c r="A26" s="2673">
        <v>2</v>
      </c>
      <c r="B26" s="2674" t="s">
        <v>2407</v>
      </c>
      <c r="C26" s="2675">
        <f>D7</f>
        <v>0</v>
      </c>
      <c r="D26" s="2676">
        <f>D23*D27</f>
        <v>0</v>
      </c>
      <c r="E26" s="2677">
        <f>E23*E27</f>
        <v>0</v>
      </c>
      <c r="F26" s="2678"/>
      <c r="G26" s="2679"/>
      <c r="H26" s="2592"/>
      <c r="I26" s="2593"/>
      <c r="J26" s="3470">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2" customHeight="1">
      <c r="A27" s="2680"/>
      <c r="B27" s="2681" t="s">
        <v>2413</v>
      </c>
      <c r="C27" s="2698" t="e">
        <f>E7</f>
        <v>#DIV/0!</v>
      </c>
      <c r="D27" s="2683"/>
      <c r="E27" s="2684"/>
      <c r="F27" s="2685"/>
      <c r="G27" s="2679"/>
      <c r="H27" s="2699"/>
      <c r="I27" s="2691"/>
      <c r="J27" s="3471"/>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2"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2" customHeight="1">
      <c r="A32" s="2673">
        <v>4</v>
      </c>
      <c r="B32" s="2674" t="s">
        <v>2421</v>
      </c>
      <c r="C32" s="2675">
        <f>C23-C26-C29</f>
        <v>0</v>
      </c>
      <c r="D32" s="2676">
        <f>D23-D26-D29</f>
        <v>0</v>
      </c>
      <c r="E32" s="2677">
        <f>E23-E26-E29</f>
        <v>0</v>
      </c>
      <c r="F32" s="2678"/>
      <c r="G32" s="2585"/>
      <c r="H32" s="2592"/>
      <c r="I32" s="2593"/>
      <c r="J32" s="3453" t="s">
        <v>2313</v>
      </c>
      <c r="K32" s="3454"/>
      <c r="L32" s="2594" t="s">
        <v>2314</v>
      </c>
      <c r="M32" s="2594" t="s">
        <v>2315</v>
      </c>
      <c r="N32" s="2594" t="s">
        <v>2316</v>
      </c>
      <c r="O32" s="2594" t="s">
        <v>2317</v>
      </c>
      <c r="P32" s="2594" t="s">
        <v>2318</v>
      </c>
      <c r="Q32" s="2595" t="s">
        <v>2319</v>
      </c>
      <c r="R32" s="2714" t="s">
        <v>2320</v>
      </c>
      <c r="S32" s="2585"/>
      <c r="T32" s="2585"/>
      <c r="U32" s="2585"/>
      <c r="V32" s="2691"/>
    </row>
    <row r="33" spans="1:23" s="2597" customFormat="1" ht="13.2" customHeight="1">
      <c r="A33" s="2673"/>
      <c r="B33" s="2674"/>
      <c r="C33" s="2675"/>
      <c r="D33" s="2715"/>
      <c r="E33" s="2716"/>
      <c r="F33" s="2678"/>
      <c r="G33" s="2585"/>
      <c r="H33" s="2699"/>
      <c r="I33" s="2691"/>
      <c r="J33" s="3455" t="s">
        <v>2323</v>
      </c>
      <c r="K33" s="3456"/>
      <c r="L33" s="2600"/>
      <c r="M33" s="2600"/>
      <c r="N33" s="2600"/>
      <c r="O33" s="2600"/>
      <c r="P33" s="2600"/>
      <c r="Q33" s="2601"/>
      <c r="R33" s="2717">
        <f>SUM(L33:Q33)</f>
        <v>0</v>
      </c>
      <c r="S33" s="2585"/>
      <c r="T33" s="2585"/>
      <c r="U33" s="2585"/>
      <c r="V33" s="2593"/>
    </row>
    <row r="34" spans="1:23" s="2597" customFormat="1" ht="13.2" customHeight="1">
      <c r="A34" s="2673">
        <v>5</v>
      </c>
      <c r="B34" s="2674" t="s">
        <v>2422</v>
      </c>
      <c r="C34" s="2718"/>
      <c r="D34" s="2719"/>
      <c r="E34" s="2720"/>
      <c r="F34" s="2678"/>
      <c r="G34" s="2585"/>
      <c r="H34" s="2699"/>
      <c r="I34" s="2691"/>
      <c r="J34" s="3455" t="s">
        <v>2325</v>
      </c>
      <c r="K34" s="3456"/>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2" customHeight="1" thickBot="1">
      <c r="A36" s="2673">
        <v>7</v>
      </c>
      <c r="B36" s="2727" t="s">
        <v>2424</v>
      </c>
      <c r="C36" s="2728"/>
      <c r="D36" s="2729"/>
      <c r="E36" s="2730"/>
      <c r="F36" s="2731">
        <f>C36+D36+E36</f>
        <v>0</v>
      </c>
      <c r="G36" s="2585"/>
      <c r="H36" s="2592"/>
      <c r="I36" s="2593"/>
      <c r="J36" s="3460">
        <v>1</v>
      </c>
      <c r="K36" s="3461" t="s">
        <v>2425</v>
      </c>
      <c r="L36" s="2618"/>
      <c r="M36" s="2619"/>
      <c r="N36" s="2619"/>
      <c r="O36" s="2619"/>
      <c r="P36" s="2619"/>
      <c r="Q36" s="2619"/>
      <c r="R36" s="2602" t="s">
        <v>2337</v>
      </c>
      <c r="S36" s="2585"/>
      <c r="T36" s="2585" t="s">
        <v>2338</v>
      </c>
      <c r="U36" s="2585"/>
      <c r="V36" s="2593"/>
    </row>
    <row r="37" spans="1:23" s="2597" customFormat="1" ht="13.2" customHeight="1">
      <c r="A37" s="2673"/>
      <c r="B37" s="2674"/>
      <c r="C37" s="2674"/>
      <c r="D37" s="2674"/>
      <c r="E37" s="2674"/>
      <c r="F37" s="2678"/>
      <c r="G37" s="2585"/>
      <c r="H37" s="2592"/>
      <c r="I37" s="2593"/>
      <c r="J37" s="3460"/>
      <c r="K37" s="3462"/>
      <c r="L37" s="2627"/>
      <c r="M37" s="2628"/>
      <c r="N37" s="2604"/>
      <c r="O37" s="2629"/>
      <c r="P37" s="2629"/>
      <c r="Q37" s="2630"/>
      <c r="R37" s="2631"/>
      <c r="S37" s="2585"/>
      <c r="T37" s="2585" t="s">
        <v>2341</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60"/>
      <c r="K38" s="3462"/>
      <c r="L38" s="2627"/>
      <c r="M38" s="2628"/>
      <c r="N38" s="2604"/>
      <c r="O38" s="2629"/>
      <c r="P38" s="2629"/>
      <c r="Q38" s="2630"/>
      <c r="R38" s="2631"/>
      <c r="S38" s="2585"/>
      <c r="T38" s="2585" t="s">
        <v>2348</v>
      </c>
      <c r="U38" s="2585"/>
      <c r="V38" s="2593"/>
    </row>
    <row r="39" spans="1:23" s="2597" customFormat="1" ht="13.2" customHeight="1">
      <c r="A39" s="2673">
        <v>9</v>
      </c>
      <c r="B39" s="2674" t="s">
        <v>2426</v>
      </c>
      <c r="C39" s="2641" t="e">
        <f>C38</f>
        <v>#DIV/0!</v>
      </c>
      <c r="D39" s="2674">
        <f>D38/(1+D34)^C36</f>
        <v>0</v>
      </c>
      <c r="E39" s="2674">
        <f>E38/(1+E34)^(C36+D36)</f>
        <v>0</v>
      </c>
      <c r="F39" s="2678"/>
      <c r="G39" s="2593"/>
      <c r="H39" s="2592"/>
      <c r="I39" s="2593"/>
      <c r="J39" s="3460"/>
      <c r="K39" s="3462"/>
      <c r="L39" s="2627"/>
      <c r="M39" s="2628"/>
      <c r="N39" s="2604"/>
      <c r="O39" s="2629"/>
      <c r="P39" s="2629"/>
      <c r="Q39" s="2630"/>
      <c r="R39" s="2631"/>
      <c r="S39" s="2585"/>
      <c r="T39" s="2585"/>
      <c r="U39" s="2585"/>
      <c r="V39" s="2593"/>
    </row>
    <row r="40" spans="1:23" s="2597" customFormat="1" ht="13.2" customHeight="1">
      <c r="A40" s="2732">
        <v>10</v>
      </c>
      <c r="B40" s="2674" t="s">
        <v>2427</v>
      </c>
      <c r="C40" s="2733" t="e">
        <f>C39+D39+E39</f>
        <v>#DIV/0!</v>
      </c>
      <c r="D40" s="2734"/>
      <c r="E40" s="2734"/>
      <c r="F40" s="2735"/>
      <c r="G40" s="2585"/>
      <c r="H40" s="2592"/>
      <c r="I40" s="2593"/>
      <c r="J40" s="3460"/>
      <c r="K40" s="3463"/>
      <c r="L40" s="2647" t="s">
        <v>2366</v>
      </c>
      <c r="M40" s="2648"/>
      <c r="N40" s="2648"/>
      <c r="O40" s="2649"/>
      <c r="P40" s="2649"/>
      <c r="Q40" s="2650"/>
      <c r="R40" s="2596">
        <f>SUM(R37:R39)</f>
        <v>0</v>
      </c>
      <c r="S40" s="2585"/>
      <c r="T40" s="2585"/>
      <c r="U40" s="2585"/>
      <c r="V40" s="2593"/>
    </row>
    <row r="41" spans="1:23" s="2597" customFormat="1" ht="13.2"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2" customHeight="1">
      <c r="G42" s="2592"/>
      <c r="H42" s="2592"/>
      <c r="I42" s="2593"/>
      <c r="J42" s="3470">
        <v>3</v>
      </c>
      <c r="K42" s="2693" t="s">
        <v>2408</v>
      </c>
      <c r="L42" s="2694"/>
      <c r="M42" s="2695"/>
      <c r="N42" s="2696" t="s">
        <v>2409</v>
      </c>
      <c r="O42" s="2696" t="s">
        <v>2410</v>
      </c>
      <c r="P42" s="2697" t="s">
        <v>2411</v>
      </c>
      <c r="Q42" s="2697" t="s">
        <v>2412</v>
      </c>
      <c r="R42" s="2602" t="s">
        <v>2337</v>
      </c>
      <c r="S42" s="2636"/>
      <c r="T42" s="2636"/>
      <c r="U42" s="2585"/>
      <c r="V42" s="2593"/>
    </row>
    <row r="43" spans="1:23" ht="13.2" customHeight="1">
      <c r="A43" s="2597"/>
      <c r="B43" s="2597"/>
      <c r="C43" s="2597"/>
      <c r="D43" s="2597"/>
      <c r="E43" s="2597"/>
      <c r="F43" s="2597"/>
      <c r="I43" s="2580"/>
      <c r="J43" s="3471"/>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5" t="s">
        <v>898</v>
      </c>
    </row>
    <row r="3" spans="1:1" ht="17.399999999999999">
      <c r="A3" s="1376" t="str">
        <f>项目基本情况!B5&amp;"："</f>
        <v>：</v>
      </c>
    </row>
    <row r="4" spans="1:1" ht="34.799999999999997">
      <c r="A4" s="1377" t="str">
        <f>"受贵公司委托，我公司对"&amp;项目基本情况!S1&amp;"进行了预评估。"</f>
        <v>受贵公司委托，我公司对北京市出让国有建设用地使用权及在建建筑物房地产抵押价值进行了预评估。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估价对象为北京市出让国有建设用地使用权及在建建筑物房地产，为所有。根据，估价对象（分摊）出让国有建设用地使用权面积为8682.75平方米，建筑面积为35822.61平方米。</v>
      </c>
    </row>
    <row r="8" spans="1:1" ht="54.6">
      <c r="A8" s="1380" t="s">
        <v>901</v>
      </c>
    </row>
    <row r="9" spans="1:1" ht="17.399999999999999">
      <c r="A9" s="1379" t="s">
        <v>902</v>
      </c>
    </row>
    <row r="10" spans="1:1" ht="52.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估价对象为北京市出让国有建设用地使用权及在建建筑物房地产,属开发建设的，该项目尚在开发建设中。根据，估价对象（分摊）出让国有建设用地使用权面积为8682.75平方米，规划建筑面积为35822.61平方米。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2023年4月13日（评估专业人员实地查勘之日）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7" t="str">
        <f>IF(项目基本情况!B9="房地产市场价值","——",IF(项目基本情况!E9="——","",定义!C57))</f>
        <v/>
      </c>
    </row>
    <row r="23" spans="1:1" ht="17.399999999999999">
      <c r="A23" s="1376" t="s">
        <v>896</v>
      </c>
    </row>
    <row r="24" spans="1:1" ht="17.399999999999999">
      <c r="A24" s="1382" t="str">
        <f>"本次评估采用的主估价方法为"&amp;结果表!K4&amp;"和"&amp;结果表!L4&amp;"。"</f>
        <v>本次评估采用的主估价方法为成本法和假设开发法。</v>
      </c>
    </row>
    <row r="25" spans="1:1" ht="17.399999999999999">
      <c r="A25" s="1382"/>
    </row>
    <row r="26" spans="1:1" ht="17.399999999999999">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20" t="s">
        <v>1658</v>
      </c>
      <c r="B1" s="1721"/>
      <c r="C1" s="1721"/>
      <c r="D1" s="1721"/>
      <c r="E1" s="1722"/>
      <c r="F1" s="2472"/>
      <c r="G1" s="457"/>
      <c r="H1" s="457"/>
      <c r="I1" s="457"/>
      <c r="J1" s="457"/>
      <c r="K1" s="457"/>
      <c r="L1" s="457"/>
      <c r="M1" s="457"/>
      <c r="N1" s="457"/>
      <c r="O1" s="457"/>
      <c r="P1" s="457"/>
      <c r="Q1" s="457"/>
      <c r="R1" s="457"/>
      <c r="S1" s="457"/>
    </row>
    <row r="2" spans="1:22" ht="15.6">
      <c r="A2" s="1723" t="s">
        <v>1462</v>
      </c>
      <c r="B2" s="806">
        <f ca="1">SUMIF(B6:B13,"&lt;&gt;#ref!",B6:B13)</f>
        <v>0</v>
      </c>
      <c r="C2" s="1724" t="s">
        <v>1651</v>
      </c>
      <c r="D2" s="1725" t="s">
        <v>1652</v>
      </c>
      <c r="E2" s="2385">
        <f>SUM(E6:E13)</f>
        <v>0</v>
      </c>
      <c r="F2" s="2472"/>
      <c r="G2" s="457"/>
      <c r="H2" s="457"/>
      <c r="I2" s="457"/>
      <c r="J2" s="457"/>
      <c r="K2" s="457"/>
      <c r="L2" s="457"/>
      <c r="M2" s="457"/>
      <c r="N2" s="457"/>
      <c r="O2" s="457"/>
      <c r="P2" s="457"/>
      <c r="Q2" s="457"/>
      <c r="R2" s="457"/>
      <c r="S2" s="457"/>
    </row>
    <row r="3" spans="1:22" ht="15.6">
      <c r="A3" s="1723" t="s">
        <v>686</v>
      </c>
      <c r="B3" s="2379" t="e">
        <f ca="1">ROUND(B2*10000/E2,0)</f>
        <v>#DIV/0!</v>
      </c>
      <c r="C3" s="1724" t="s">
        <v>1659</v>
      </c>
      <c r="D3" s="2472"/>
      <c r="E3" s="2475"/>
      <c r="F3" s="2472"/>
      <c r="G3" s="457"/>
      <c r="H3" s="457"/>
      <c r="I3" s="457"/>
      <c r="J3" s="457"/>
      <c r="K3" s="457"/>
      <c r="L3" s="457"/>
      <c r="M3" s="457"/>
      <c r="N3" s="457"/>
      <c r="O3" s="457"/>
      <c r="P3" s="457"/>
      <c r="Q3" s="457"/>
      <c r="R3" s="457"/>
      <c r="S3" s="457"/>
    </row>
    <row r="4" spans="1:22" ht="15.6">
      <c r="A4" s="2476"/>
      <c r="B4" s="2472"/>
      <c r="C4" s="2472"/>
      <c r="D4" s="2472"/>
      <c r="E4" s="2475"/>
      <c r="F4" s="2472"/>
      <c r="G4" s="457"/>
      <c r="H4" s="457"/>
      <c r="I4" s="457"/>
      <c r="J4" s="457"/>
      <c r="K4" s="457"/>
      <c r="L4" s="457"/>
      <c r="M4" s="457"/>
      <c r="N4" s="457"/>
      <c r="O4" s="457"/>
      <c r="P4" s="457"/>
      <c r="Q4" s="457"/>
      <c r="R4" s="457"/>
      <c r="S4" s="457"/>
    </row>
    <row r="5" spans="1:22" ht="14.4">
      <c r="A5" s="2381" t="s">
        <v>1653</v>
      </c>
      <c r="B5" s="3472" t="s">
        <v>1654</v>
      </c>
      <c r="C5" s="3473"/>
      <c r="D5" s="2473"/>
      <c r="E5" s="1726" t="s">
        <v>1655</v>
      </c>
      <c r="F5" s="127" t="s">
        <v>1656</v>
      </c>
      <c r="G5" s="457"/>
      <c r="H5" s="457"/>
      <c r="I5" s="457"/>
      <c r="J5" s="457"/>
      <c r="K5" s="457"/>
      <c r="L5" s="457"/>
      <c r="M5" s="457"/>
      <c r="N5" s="457"/>
      <c r="O5" s="457"/>
      <c r="P5" s="457"/>
      <c r="Q5" s="457"/>
      <c r="R5" s="457"/>
      <c r="S5" s="457"/>
    </row>
    <row r="6" spans="1:22" ht="14.4">
      <c r="A6" s="2382">
        <f>'数据-取费表'!AN6</f>
        <v>0</v>
      </c>
      <c r="B6" s="2380" t="e">
        <f ca="1">IF(F6="是",'数据-取费表'!AO6,0)</f>
        <v>#REF!</v>
      </c>
      <c r="C6" s="1724" t="s">
        <v>1651</v>
      </c>
      <c r="D6" s="2472"/>
      <c r="E6" s="2384">
        <f>IF(OR(A6=0,F6="否"),0,'数据-取费表'!K6+'数据-取费表'!S6)</f>
        <v>0</v>
      </c>
      <c r="F6" s="1727" t="s">
        <v>1657</v>
      </c>
      <c r="G6" s="457"/>
      <c r="H6" s="457"/>
      <c r="I6" s="457"/>
      <c r="J6" s="457"/>
      <c r="K6" s="457"/>
      <c r="L6" s="457"/>
      <c r="M6" s="457"/>
      <c r="N6" s="457"/>
      <c r="O6" s="457"/>
      <c r="P6" s="457"/>
      <c r="Q6" s="457"/>
      <c r="R6" s="457"/>
      <c r="S6" s="457"/>
    </row>
    <row r="7" spans="1:22" ht="14.4">
      <c r="A7" s="2382">
        <f>'数据-取费表'!AN7</f>
        <v>0</v>
      </c>
      <c r="B7" s="2380" t="e">
        <f ca="1">IF(F7="是",'数据-取费表'!AO7,0)</f>
        <v>#REF!</v>
      </c>
      <c r="C7" s="1724" t="s">
        <v>1651</v>
      </c>
      <c r="D7" s="2472"/>
      <c r="E7" s="2384">
        <f>IF(OR(A7=0,F7="否"),0,'数据-取费表'!K7+'数据-取费表'!S7)</f>
        <v>0</v>
      </c>
      <c r="F7" s="1727" t="s">
        <v>1657</v>
      </c>
      <c r="G7" s="457"/>
      <c r="H7" s="457"/>
      <c r="I7" s="457"/>
      <c r="J7" s="457"/>
      <c r="K7" s="457"/>
      <c r="L7" s="457"/>
      <c r="M7" s="457"/>
      <c r="N7" s="457"/>
      <c r="O7" s="457"/>
      <c r="P7" s="457"/>
      <c r="Q7" s="457"/>
      <c r="R7" s="457"/>
      <c r="S7" s="457"/>
    </row>
    <row r="8" spans="1:22" ht="14.4">
      <c r="A8" s="2382">
        <f>'数据-取费表'!AN8</f>
        <v>0</v>
      </c>
      <c r="B8" s="2380" t="e">
        <f ca="1">IF(F8="是",'数据-取费表'!AO8,0)</f>
        <v>#REF!</v>
      </c>
      <c r="C8" s="1724" t="s">
        <v>1651</v>
      </c>
      <c r="D8" s="2472"/>
      <c r="E8" s="2384">
        <f>IF(OR(A8=0,F8="否"),0,'数据-取费表'!K8+'数据-取费表'!S8)</f>
        <v>0</v>
      </c>
      <c r="F8" s="1727" t="s">
        <v>1657</v>
      </c>
      <c r="G8" s="457"/>
      <c r="H8" s="457"/>
      <c r="I8" s="457"/>
      <c r="J8" s="457"/>
      <c r="K8" s="457"/>
      <c r="L8" s="457"/>
      <c r="M8" s="457"/>
      <c r="N8" s="457"/>
      <c r="O8" s="457"/>
      <c r="P8" s="457"/>
      <c r="Q8" s="457"/>
      <c r="R8" s="457"/>
      <c r="S8" s="457"/>
    </row>
    <row r="9" spans="1:22" ht="14.4">
      <c r="A9" s="2382">
        <f>'数据-取费表'!AN9</f>
        <v>0</v>
      </c>
      <c r="B9" s="2380" t="e">
        <f ca="1">IF(F9="是",'数据-取费表'!AO9,0)</f>
        <v>#REF!</v>
      </c>
      <c r="C9" s="1724" t="s">
        <v>1651</v>
      </c>
      <c r="D9" s="2472"/>
      <c r="E9" s="2384">
        <f>IF(OR(A9=0,F9="否"),0,'数据-取费表'!K9+'数据-取费表'!S9)</f>
        <v>0</v>
      </c>
      <c r="F9" s="1727" t="s">
        <v>1657</v>
      </c>
      <c r="G9" s="457"/>
      <c r="H9" s="457"/>
      <c r="I9" s="457"/>
      <c r="J9" s="457"/>
      <c r="K9" s="457"/>
      <c r="L9" s="457"/>
      <c r="M9" s="457"/>
      <c r="N9" s="457"/>
      <c r="O9" s="457"/>
      <c r="P9" s="457"/>
      <c r="Q9" s="457"/>
      <c r="R9" s="457"/>
      <c r="S9" s="457"/>
    </row>
    <row r="10" spans="1:22" ht="14.4">
      <c r="A10" s="2382">
        <f>'数据-取费表'!AN10</f>
        <v>0</v>
      </c>
      <c r="B10" s="2380" t="e">
        <f ca="1">IF(F10="是",'数据-取费表'!AO10,0)</f>
        <v>#REF!</v>
      </c>
      <c r="C10" s="1724" t="s">
        <v>1651</v>
      </c>
      <c r="D10" s="2472"/>
      <c r="E10" s="2384">
        <f>IF(OR(A10=0,F10="否"),0,'数据-取费表'!K10+'数据-取费表'!S10)</f>
        <v>0</v>
      </c>
      <c r="F10" s="1727" t="s">
        <v>1657</v>
      </c>
      <c r="G10" s="457"/>
      <c r="H10" s="457"/>
      <c r="I10" s="457"/>
      <c r="J10" s="457"/>
      <c r="K10" s="457"/>
      <c r="L10" s="457"/>
      <c r="M10" s="457"/>
      <c r="N10" s="457"/>
      <c r="O10" s="457"/>
      <c r="P10" s="457"/>
      <c r="Q10" s="457"/>
      <c r="R10" s="457"/>
      <c r="S10" s="457"/>
    </row>
    <row r="11" spans="1:22" ht="14.4">
      <c r="A11" s="2382">
        <f>'数据-取费表'!AN11</f>
        <v>0</v>
      </c>
      <c r="B11" s="2380" t="e">
        <f ca="1">IF(F11="是",'数据-取费表'!AO11,0)</f>
        <v>#REF!</v>
      </c>
      <c r="C11" s="1724" t="s">
        <v>1651</v>
      </c>
      <c r="D11" s="2472"/>
      <c r="E11" s="2384">
        <f>IF(OR(A11=0,F11="否"),0,'数据-取费表'!K11+'数据-取费表'!S11)</f>
        <v>0</v>
      </c>
      <c r="F11" s="1727" t="s">
        <v>1657</v>
      </c>
      <c r="G11" s="457"/>
      <c r="H11" s="457"/>
      <c r="I11" s="457"/>
      <c r="J11" s="457"/>
      <c r="K11" s="457"/>
      <c r="L11" s="457"/>
      <c r="M11" s="457"/>
      <c r="N11" s="457"/>
      <c r="O11" s="457"/>
      <c r="P11" s="457"/>
      <c r="Q11" s="457"/>
      <c r="R11" s="457"/>
      <c r="S11" s="457"/>
    </row>
    <row r="12" spans="1:22" ht="14.4">
      <c r="A12" s="2382">
        <f>'数据-取费表'!AN12</f>
        <v>0</v>
      </c>
      <c r="B12" s="2380" t="e">
        <f ca="1">IF(F12="是",'数据-取费表'!AO12,0)</f>
        <v>#REF!</v>
      </c>
      <c r="C12" s="1724" t="s">
        <v>1651</v>
      </c>
      <c r="D12" s="2472"/>
      <c r="E12" s="2384">
        <f>IF(OR(A12=0,F12="否"),0,'数据-取费表'!K12+'数据-取费表'!S12)</f>
        <v>0</v>
      </c>
      <c r="F12" s="1727"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8" t="s">
        <v>1651</v>
      </c>
      <c r="D13" s="2474"/>
      <c r="E13" s="2384">
        <f>IF(OR(A13=0,F13="否"),0,'数据-取费表'!K13+'数据-取费表'!S13)</f>
        <v>0</v>
      </c>
      <c r="F13" s="1727"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B2" sqref="B2"/>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2"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9" t="s">
        <v>1661</v>
      </c>
      <c r="C1" s="1150" t="s">
        <v>1662</v>
      </c>
      <c r="D1" s="1137" t="s">
        <v>3373</v>
      </c>
      <c r="E1" s="3118" t="s">
        <v>3568</v>
      </c>
      <c r="F1" s="1730" t="s">
        <v>3569</v>
      </c>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6" customFormat="1" ht="28.5" customHeight="1" thickTop="1">
      <c r="A2" s="1133" t="s">
        <v>685</v>
      </c>
      <c r="B2" s="3119">
        <f>IF(E1="项目模式",IF(C2="——",ROUND(C49*D3/10000,0),ROUND(C49*D3/10000,0)-D2),IF(E1="单套模式",IF(C2="——",ROUND(C49*D3/10000,4),ROUND(C49*D3/10000,4)-D2)))</f>
        <v>178202</v>
      </c>
      <c r="C2" s="1732" t="s">
        <v>43</v>
      </c>
      <c r="D2" s="1047" t="e">
        <f ca="1">IF(E1="项目模式",SUMIF(INDIRECT("'"&amp;F2&amp;"'"&amp;"!A:A"),"承租人权益价值",INDIRECT("'"&amp;F2&amp;"'"&amp;"!c:c")),SUMIF(INDIRECT("'"&amp;F2&amp;"'"&amp;"!A:A"),"承租人权益价值（单套）",INDIRECT("'"&amp;F2&amp;"'"&amp;"!c:c")))</f>
        <v>#REF!</v>
      </c>
      <c r="E2" s="1733" t="s">
        <v>1664</v>
      </c>
      <c r="F2" s="1734"/>
      <c r="G2" s="849"/>
      <c r="H2" s="849"/>
      <c r="I2" s="849"/>
      <c r="J2" s="849"/>
      <c r="K2" s="1735"/>
      <c r="L2" s="2477"/>
      <c r="M2" s="2478"/>
      <c r="N2" s="2478"/>
      <c r="O2" s="2478"/>
      <c r="P2" s="1736"/>
      <c r="Q2" s="1737"/>
      <c r="R2" s="1737"/>
      <c r="S2" s="1737"/>
      <c r="T2" s="1737"/>
      <c r="U2" s="1737"/>
      <c r="V2" s="1737"/>
      <c r="W2" s="1737"/>
      <c r="X2" s="1737"/>
      <c r="Y2" s="1737"/>
      <c r="Z2" s="1737"/>
      <c r="AA2" s="1737"/>
      <c r="AB2" s="1737"/>
      <c r="AC2" s="993"/>
    </row>
    <row r="3" spans="1:29" s="336" customFormat="1" ht="28.5" customHeight="1" thickBot="1">
      <c r="A3" s="193" t="s">
        <v>686</v>
      </c>
      <c r="B3" s="341">
        <f>IF(C2="——",C49,ROUND(B2*10000/D3,0))</f>
        <v>79208</v>
      </c>
      <c r="C3" s="342" t="s">
        <v>1665</v>
      </c>
      <c r="D3" s="341">
        <f>IF(D1="",'数据-汇总表'!E3,SUMIF('数据-汇总表'!$C19:$C33,D1,'数据-汇总表'!$E19:$E33))</f>
        <v>22498.01</v>
      </c>
      <c r="E3" s="849"/>
      <c r="F3" s="1738"/>
      <c r="G3" s="849"/>
      <c r="H3" s="849"/>
      <c r="I3" s="849"/>
      <c r="J3" s="849"/>
      <c r="K3" s="1735"/>
      <c r="L3" s="2477"/>
      <c r="M3" s="2478"/>
      <c r="N3" s="2478"/>
      <c r="O3" s="2478"/>
      <c r="P3" s="1736"/>
      <c r="Q3" s="1737"/>
      <c r="R3" s="1737"/>
      <c r="S3" s="1737"/>
      <c r="T3" s="1737"/>
      <c r="U3" s="1737"/>
      <c r="V3" s="1737"/>
      <c r="W3" s="1737"/>
      <c r="X3" s="1737"/>
      <c r="Y3" s="1737"/>
      <c r="Z3" s="1737"/>
      <c r="AA3" s="1737"/>
      <c r="AB3" s="1737"/>
      <c r="AC3" s="993"/>
    </row>
    <row r="4" spans="1:29" ht="14.4">
      <c r="A4" s="343" t="s">
        <v>1666</v>
      </c>
      <c r="B4" s="344"/>
      <c r="C4" s="3409" t="s">
        <v>1667</v>
      </c>
      <c r="D4" s="3410"/>
      <c r="E4" s="3411" t="s">
        <v>1668</v>
      </c>
      <c r="F4" s="3412"/>
      <c r="G4" s="3409" t="s">
        <v>1669</v>
      </c>
      <c r="H4" s="3410"/>
      <c r="I4" s="3409" t="s">
        <v>1670</v>
      </c>
      <c r="J4" s="3410"/>
      <c r="K4" s="1739" t="s">
        <v>1671</v>
      </c>
      <c r="L4" s="2479"/>
      <c r="M4" s="2480"/>
      <c r="N4" s="2480"/>
      <c r="O4" s="2480"/>
      <c r="P4" s="3413" t="s">
        <v>1672</v>
      </c>
      <c r="Q4" s="3414"/>
      <c r="R4" s="3419" t="s">
        <v>1668</v>
      </c>
      <c r="S4" s="3420"/>
      <c r="T4" s="3419" t="s">
        <v>1669</v>
      </c>
      <c r="U4" s="3420"/>
      <c r="V4" s="3433" t="s">
        <v>1670</v>
      </c>
      <c r="W4" s="3433"/>
      <c r="X4" s="1260"/>
      <c r="Y4" s="3419" t="s">
        <v>1672</v>
      </c>
      <c r="Z4" s="3420"/>
      <c r="AA4" s="3406" t="s">
        <v>1668</v>
      </c>
      <c r="AB4" s="3406" t="s">
        <v>1669</v>
      </c>
      <c r="AC4" s="3406" t="s">
        <v>1670</v>
      </c>
    </row>
    <row r="5" spans="1:29">
      <c r="A5" s="346"/>
      <c r="B5" s="347"/>
      <c r="C5" s="3423" t="s">
        <v>1673</v>
      </c>
      <c r="D5" s="3424"/>
      <c r="E5" s="3425" t="str">
        <f>'土地比较法-住宅、综合 '!E49</f>
        <v>绿城·晓风印月</v>
      </c>
      <c r="F5" s="3426"/>
      <c r="G5" s="3475" t="str">
        <f>'土地比较法-住宅、综合 '!G49</f>
        <v>和光悦府</v>
      </c>
      <c r="H5" s="3424"/>
      <c r="I5" s="3423" t="str">
        <f>'土地比较法-住宅、综合 '!I49</f>
        <v>华樾国际领尚</v>
      </c>
      <c r="J5" s="3424"/>
      <c r="K5" s="1740"/>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74" t="s">
        <v>3597</v>
      </c>
      <c r="H6" s="3428"/>
      <c r="I6" s="3427" t="s">
        <v>1677</v>
      </c>
      <c r="J6" s="3428"/>
      <c r="K6" s="1740"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f>C7</f>
        <v>45029</v>
      </c>
      <c r="F7" s="355">
        <f>SUMIF(58:58,YEAR(E7)&amp;"-"&amp;MONTH(E7),59:59)</f>
        <v>100</v>
      </c>
      <c r="G7" s="354">
        <f>C7</f>
        <v>45029</v>
      </c>
      <c r="H7" s="353">
        <f>SUMIF(58:58,YEAR(G7)&amp;"-"&amp;MONTH(G7),59:59)</f>
        <v>100</v>
      </c>
      <c r="I7" s="354">
        <f>C7</f>
        <v>45029</v>
      </c>
      <c r="J7" s="353">
        <f>SUMIF(58:58,YEAR(I7)&amp;"-"&amp;MONTH(I7),59:59)</f>
        <v>100</v>
      </c>
      <c r="K7" s="1741"/>
      <c r="L7" s="2481"/>
      <c r="M7" s="2432"/>
      <c r="N7" s="2432"/>
      <c r="O7" s="2432"/>
      <c r="P7" s="3434" t="s">
        <v>1680</v>
      </c>
      <c r="Q7" s="3435"/>
      <c r="R7" s="661" t="s">
        <v>20</v>
      </c>
      <c r="S7" s="662">
        <f t="shared" ref="S7:S15" si="0">F7</f>
        <v>100</v>
      </c>
      <c r="T7" s="661" t="s">
        <v>20</v>
      </c>
      <c r="U7" s="662">
        <f t="shared" ref="U7:U15" si="1">H7</f>
        <v>100</v>
      </c>
      <c r="V7" s="661" t="s">
        <v>20</v>
      </c>
      <c r="W7" s="662">
        <f t="shared" ref="W7:W15" si="2">J7</f>
        <v>100</v>
      </c>
      <c r="X7" s="663"/>
      <c r="Y7" s="3434" t="s">
        <v>1680</v>
      </c>
      <c r="Z7" s="3436"/>
      <c r="AA7" s="49">
        <f>D7/F7</f>
        <v>1</v>
      </c>
      <c r="AB7" s="49">
        <f>D7/H7</f>
        <v>1</v>
      </c>
      <c r="AC7" s="49">
        <f>D7/J7</f>
        <v>1</v>
      </c>
    </row>
    <row r="8" spans="1:29" s="100" customFormat="1" ht="15" thickBot="1">
      <c r="A8" s="350" t="s">
        <v>1681</v>
      </c>
      <c r="B8" s="351"/>
      <c r="C8" s="356" t="s">
        <v>3386</v>
      </c>
      <c r="D8" s="353">
        <v>100</v>
      </c>
      <c r="E8" s="356" t="s">
        <v>3386</v>
      </c>
      <c r="F8" s="355">
        <f>SUMIF(61:61,E8,62:62)-SUMIF(61:61,C8,62:62)+100</f>
        <v>100</v>
      </c>
      <c r="G8" s="356" t="s">
        <v>3386</v>
      </c>
      <c r="H8" s="353">
        <f>SUMIF(61:61,G8,62:62)-SUMIF(61:61,C8,62:62)+100</f>
        <v>100</v>
      </c>
      <c r="I8" s="356" t="s">
        <v>3386</v>
      </c>
      <c r="J8" s="353">
        <f>SUMIF(61:61,I8,62:62)-SUMIF(61:61,C8,62:62)+100</f>
        <v>100</v>
      </c>
      <c r="K8" s="1741"/>
      <c r="L8" s="2481"/>
      <c r="M8" s="2432"/>
      <c r="N8" s="2432"/>
      <c r="O8" s="2432"/>
      <c r="P8" s="3434" t="s">
        <v>1683</v>
      </c>
      <c r="Q8" s="3436"/>
      <c r="R8" s="661" t="s">
        <v>20</v>
      </c>
      <c r="S8" s="662">
        <f t="shared" si="0"/>
        <v>100</v>
      </c>
      <c r="T8" s="661" t="s">
        <v>20</v>
      </c>
      <c r="U8" s="662">
        <f t="shared" si="1"/>
        <v>100</v>
      </c>
      <c r="V8" s="661" t="s">
        <v>20</v>
      </c>
      <c r="W8" s="662">
        <f t="shared" si="2"/>
        <v>100</v>
      </c>
      <c r="X8" s="663"/>
      <c r="Y8" s="3434" t="s">
        <v>1683</v>
      </c>
      <c r="Z8" s="3436"/>
      <c r="AA8" s="49">
        <f t="shared" ref="AA8:AA19" si="3">D8/F8</f>
        <v>1</v>
      </c>
      <c r="AB8" s="49">
        <f t="shared" ref="AB8:AB19" si="4">D8/H8</f>
        <v>1</v>
      </c>
      <c r="AC8" s="49">
        <f t="shared" ref="AC8:AC19" si="5">D8/J8</f>
        <v>1</v>
      </c>
    </row>
    <row r="9" spans="1:29" s="100" customFormat="1" ht="14.4">
      <c r="A9" s="357" t="s">
        <v>1684</v>
      </c>
      <c r="B9" s="59" t="s">
        <v>1685</v>
      </c>
      <c r="C9" s="3190" t="s">
        <v>3570</v>
      </c>
      <c r="D9" s="58">
        <v>100</v>
      </c>
      <c r="E9" s="359" t="s">
        <v>3373</v>
      </c>
      <c r="F9" s="59">
        <f>SUMIF(63:63,E9,64:64)-SUMIF(63:63,C9,64:64)+100</f>
        <v>100</v>
      </c>
      <c r="G9" s="359" t="s">
        <v>3373</v>
      </c>
      <c r="H9" s="58">
        <f>SUMIF(63:63,G9,64:64)-SUMIF(63:63,C9,64:64)+100</f>
        <v>100</v>
      </c>
      <c r="I9" s="359" t="s">
        <v>3373</v>
      </c>
      <c r="J9" s="58">
        <f>SUMIF(63:63,I9,64:64)-SUMIF(63:63,C9,64:64)+100</f>
        <v>100</v>
      </c>
      <c r="K9" s="1741"/>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8.8">
      <c r="A10" s="361"/>
      <c r="B10" s="362" t="s">
        <v>1688</v>
      </c>
      <c r="C10" s="3126" t="s">
        <v>3571</v>
      </c>
      <c r="D10" s="117">
        <v>100</v>
      </c>
      <c r="E10" s="3127" t="s">
        <v>3571</v>
      </c>
      <c r="F10" s="362">
        <f>SUMIF(65:65,E10,66:66)-SUMIF(65:65,C10,66:66)+100</f>
        <v>100</v>
      </c>
      <c r="G10" s="3126" t="s">
        <v>3571</v>
      </c>
      <c r="H10" s="117">
        <f>SUMIF(65:65,G10,66:66)-SUMIF(65:65,C10,66:66)+100</f>
        <v>100</v>
      </c>
      <c r="I10" s="3126" t="s">
        <v>3571</v>
      </c>
      <c r="J10" s="117">
        <f>SUMIF(65:65,I10,66:66)-SUMIF(65:65,C10,66:66)+100</f>
        <v>100</v>
      </c>
      <c r="K10" s="1741"/>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v>2.8</v>
      </c>
      <c r="D11" s="117">
        <v>100</v>
      </c>
      <c r="E11" s="367">
        <f>'土地比较法-住宅、综合 '!E11</f>
        <v>2.5</v>
      </c>
      <c r="F11" s="362">
        <f>LOOKUP(E11,68:68,69:69)-LOOKUP(C11,68:68,69:69)+100</f>
        <v>100</v>
      </c>
      <c r="G11" s="366">
        <f>'土地比较法-住宅、综合 '!G11</f>
        <v>2.5</v>
      </c>
      <c r="H11" s="117">
        <f>LOOKUP(G11,68:68,69:69)-LOOKUP(C11,68:68,69:69)+100</f>
        <v>100</v>
      </c>
      <c r="I11" s="366">
        <f>'土地比较法-住宅、综合 '!I11</f>
        <v>2.8</v>
      </c>
      <c r="J11" s="117">
        <f>LOOKUP(I11,68:68,69:69)-LOOKUP(C11,68:68,69:69)+100</f>
        <v>100</v>
      </c>
      <c r="K11" s="363">
        <v>2</v>
      </c>
      <c r="L11" s="2484"/>
      <c r="M11" s="2480"/>
      <c r="N11" s="2480"/>
      <c r="O11" s="2480"/>
      <c r="P11" s="3443"/>
      <c r="Q11" s="528" t="str">
        <f t="shared" si="6"/>
        <v>容积率</v>
      </c>
      <c r="R11" s="661" t="s">
        <v>18</v>
      </c>
      <c r="S11" s="662">
        <f t="shared" si="0"/>
        <v>100</v>
      </c>
      <c r="T11" s="661" t="s">
        <v>18</v>
      </c>
      <c r="U11" s="662">
        <f t="shared" si="1"/>
        <v>100</v>
      </c>
      <c r="V11" s="661" t="s">
        <v>18</v>
      </c>
      <c r="W11" s="662">
        <f t="shared" si="2"/>
        <v>100</v>
      </c>
      <c r="X11" s="663"/>
      <c r="Y11" s="3379"/>
      <c r="Z11" s="49" t="str">
        <f t="shared" si="7"/>
        <v>容积率</v>
      </c>
      <c r="AA11" s="49">
        <f t="shared" si="3"/>
        <v>1</v>
      </c>
      <c r="AB11" s="49">
        <f t="shared" si="4"/>
        <v>1</v>
      </c>
      <c r="AC11" s="49">
        <f t="shared" si="5"/>
        <v>1</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81"/>
      <c r="M12" s="2432"/>
      <c r="N12" s="2432"/>
      <c r="O12" s="2432"/>
      <c r="P12" s="3443"/>
      <c r="Q12" s="528">
        <f t="shared" si="6"/>
        <v>111</v>
      </c>
      <c r="R12" s="661" t="s">
        <v>18</v>
      </c>
      <c r="S12" s="662">
        <f t="shared" si="0"/>
        <v>100</v>
      </c>
      <c r="T12" s="661" t="s">
        <v>18</v>
      </c>
      <c r="U12" s="662">
        <f t="shared" si="1"/>
        <v>100</v>
      </c>
      <c r="V12" s="661" t="s">
        <v>18</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5"/>
      <c r="M13" s="2480"/>
      <c r="N13" s="2480"/>
      <c r="O13" s="2480"/>
      <c r="P13" s="3443"/>
      <c r="Q13" s="528">
        <f t="shared" si="6"/>
        <v>111</v>
      </c>
      <c r="R13" s="661" t="s">
        <v>18</v>
      </c>
      <c r="S13" s="662">
        <f t="shared" si="0"/>
        <v>100</v>
      </c>
      <c r="T13" s="661" t="s">
        <v>18</v>
      </c>
      <c r="U13" s="662">
        <f t="shared" si="1"/>
        <v>100</v>
      </c>
      <c r="V13" s="661" t="s">
        <v>18</v>
      </c>
      <c r="W13" s="662">
        <f t="shared" si="2"/>
        <v>100</v>
      </c>
      <c r="X13" s="663"/>
      <c r="Y13" s="3379"/>
      <c r="Z13" s="49">
        <f t="shared" si="7"/>
        <v>111</v>
      </c>
      <c r="AA13" s="49">
        <f t="shared" si="3"/>
        <v>1</v>
      </c>
      <c r="AB13" s="49">
        <f t="shared" si="4"/>
        <v>1</v>
      </c>
      <c r="AC13" s="49">
        <f t="shared" si="5"/>
        <v>1</v>
      </c>
    </row>
    <row r="14" spans="1:29" ht="15.6"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5"/>
      <c r="M14" s="2480"/>
      <c r="N14" s="2480"/>
      <c r="O14" s="2480"/>
      <c r="P14" s="3443"/>
      <c r="Q14" s="528">
        <f t="shared" si="6"/>
        <v>111</v>
      </c>
      <c r="R14" s="661" t="s">
        <v>18</v>
      </c>
      <c r="S14" s="662">
        <f t="shared" si="0"/>
        <v>100</v>
      </c>
      <c r="T14" s="661" t="s">
        <v>18</v>
      </c>
      <c r="U14" s="662">
        <f t="shared" si="1"/>
        <v>100</v>
      </c>
      <c r="V14" s="661" t="s">
        <v>18</v>
      </c>
      <c r="W14" s="662">
        <f t="shared" si="2"/>
        <v>100</v>
      </c>
      <c r="X14" s="663"/>
      <c r="Y14" s="3379"/>
      <c r="Z14" s="49">
        <f t="shared" si="7"/>
        <v>111</v>
      </c>
      <c r="AA14" s="49">
        <f t="shared" si="3"/>
        <v>1</v>
      </c>
      <c r="AB14" s="49">
        <f t="shared" si="4"/>
        <v>1</v>
      </c>
      <c r="AC14" s="49">
        <f t="shared" si="5"/>
        <v>1</v>
      </c>
    </row>
    <row r="15" spans="1:29" ht="15">
      <c r="A15" s="377" t="s">
        <v>1690</v>
      </c>
      <c r="B15" s="57" t="s">
        <v>1257</v>
      </c>
      <c r="C15" s="1744" t="str">
        <f>估价对象房地状况!C3</f>
        <v>一般</v>
      </c>
      <c r="D15" s="378">
        <v>100</v>
      </c>
      <c r="E15" s="381"/>
      <c r="F15" s="378">
        <f>SUMIF(76:76,E16,77:77)-SUMIF(76:76,C16,77:77)+100</f>
        <v>100</v>
      </c>
      <c r="G15" s="379"/>
      <c r="H15" s="378">
        <f>SUMIF(76:76,G16,77:77)-SUMIF(76:76,C16,77:77)+100</f>
        <v>100</v>
      </c>
      <c r="I15" s="379"/>
      <c r="J15" s="378">
        <f>SUMIF(76:76,I16,77:77)-SUMIF(76:76,C16,77:77)+100</f>
        <v>100</v>
      </c>
      <c r="K15" s="382">
        <v>3</v>
      </c>
      <c r="L15" s="2485"/>
      <c r="M15" s="2480"/>
      <c r="N15" s="2480"/>
      <c r="O15" s="2480"/>
      <c r="P15" s="3481" t="s">
        <v>1691</v>
      </c>
      <c r="Q15" s="1258" t="str">
        <f t="shared" si="6"/>
        <v>居住社区成熟度</v>
      </c>
      <c r="R15" s="664" t="s">
        <v>18</v>
      </c>
      <c r="S15" s="665">
        <f t="shared" si="0"/>
        <v>100</v>
      </c>
      <c r="T15" s="664" t="s">
        <v>18</v>
      </c>
      <c r="U15" s="665">
        <f t="shared" si="1"/>
        <v>100</v>
      </c>
      <c r="V15" s="664" t="s">
        <v>18</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t="s">
        <v>3387</v>
      </c>
      <c r="D16" s="385"/>
      <c r="E16" s="1745" t="s">
        <v>3387</v>
      </c>
      <c r="F16" s="385"/>
      <c r="G16" s="1746" t="s">
        <v>3387</v>
      </c>
      <c r="H16" s="387"/>
      <c r="I16" s="1746" t="s">
        <v>3387</v>
      </c>
      <c r="J16" s="385"/>
      <c r="K16" s="1747"/>
      <c r="L16" s="2485"/>
      <c r="M16" s="2480"/>
      <c r="N16" s="2480"/>
      <c r="O16" s="2480"/>
      <c r="P16" s="3482"/>
      <c r="Q16" s="1258"/>
      <c r="R16" s="664"/>
      <c r="S16" s="665"/>
      <c r="T16" s="664"/>
      <c r="U16" s="665"/>
      <c r="V16" s="664"/>
      <c r="W16" s="665"/>
      <c r="X16" s="1260"/>
      <c r="Y16" s="3439"/>
      <c r="Z16" s="1259"/>
      <c r="AA16" s="1259">
        <v>1</v>
      </c>
      <c r="AB16" s="1259">
        <v>1</v>
      </c>
      <c r="AC16" s="1259">
        <v>1</v>
      </c>
    </row>
    <row r="17" spans="1:29" ht="15">
      <c r="A17" s="365"/>
      <c r="B17" s="388" t="s">
        <v>1259</v>
      </c>
      <c r="C17" s="1748" t="str">
        <f>估价对象房地状况!C6</f>
        <v>一般</v>
      </c>
      <c r="D17" s="387">
        <v>100</v>
      </c>
      <c r="E17" s="391"/>
      <c r="F17" s="387">
        <f>SUMIF(78:78,E18,79:79)-SUMIF(78:78,C18,79:79)+100</f>
        <v>100</v>
      </c>
      <c r="G17" s="389"/>
      <c r="H17" s="392">
        <f>SUMIF(78:78,G18,79:79)-SUMIF(78:78,C18,79:79)+100</f>
        <v>100</v>
      </c>
      <c r="I17" s="389"/>
      <c r="J17" s="392">
        <f>SUMIF(78:78,I18,79:79)-SUMIF(78:78,C18,79:79)+100</f>
        <v>100</v>
      </c>
      <c r="K17" s="382">
        <v>2</v>
      </c>
      <c r="L17" s="2485"/>
      <c r="M17" s="2480"/>
      <c r="N17" s="2480"/>
      <c r="O17" s="2480"/>
      <c r="P17" s="3482"/>
      <c r="Q17" s="1258" t="str">
        <f>B17</f>
        <v>交通便捷度</v>
      </c>
      <c r="R17" s="664" t="s">
        <v>18</v>
      </c>
      <c r="S17" s="665">
        <f>F17</f>
        <v>100</v>
      </c>
      <c r="T17" s="664" t="s">
        <v>18</v>
      </c>
      <c r="U17" s="665">
        <f>H17</f>
        <v>100</v>
      </c>
      <c r="V17" s="664" t="s">
        <v>18</v>
      </c>
      <c r="W17" s="665">
        <f>J17</f>
        <v>100</v>
      </c>
      <c r="X17" s="1260"/>
      <c r="Y17" s="3439"/>
      <c r="Z17" s="1259" t="str">
        <f>Q17</f>
        <v>交通便捷度</v>
      </c>
      <c r="AA17" s="1259">
        <f t="shared" si="3"/>
        <v>1</v>
      </c>
      <c r="AB17" s="1259">
        <f t="shared" si="4"/>
        <v>1</v>
      </c>
      <c r="AC17" s="1259">
        <f t="shared" si="5"/>
        <v>1</v>
      </c>
    </row>
    <row r="18" spans="1:29" ht="15">
      <c r="A18" s="365"/>
      <c r="B18" s="393"/>
      <c r="C18" s="1749" t="s">
        <v>3387</v>
      </c>
      <c r="D18" s="387"/>
      <c r="E18" s="1750" t="s">
        <v>3387</v>
      </c>
      <c r="F18" s="387"/>
      <c r="G18" s="1750" t="s">
        <v>3387</v>
      </c>
      <c r="H18" s="385"/>
      <c r="I18" s="1750" t="s">
        <v>3387</v>
      </c>
      <c r="J18" s="385"/>
      <c r="K18" s="1747"/>
      <c r="L18" s="2485"/>
      <c r="M18" s="2480"/>
      <c r="N18" s="2480"/>
      <c r="O18" s="2480"/>
      <c r="P18" s="3482"/>
      <c r="Q18" s="1258"/>
      <c r="R18" s="664"/>
      <c r="S18" s="665"/>
      <c r="T18" s="664"/>
      <c r="U18" s="665"/>
      <c r="V18" s="664"/>
      <c r="W18" s="665"/>
      <c r="X18" s="1260"/>
      <c r="Y18" s="3439"/>
      <c r="Z18" s="1259"/>
      <c r="AA18" s="1259">
        <v>1</v>
      </c>
      <c r="AB18" s="1259">
        <v>1</v>
      </c>
      <c r="AC18" s="1259">
        <v>1</v>
      </c>
    </row>
    <row r="19" spans="1:29" ht="15">
      <c r="A19" s="365"/>
      <c r="B19" s="388" t="s">
        <v>1258</v>
      </c>
      <c r="C19" s="1748" t="str">
        <f>估价对象房地状况!C7</f>
        <v>较差</v>
      </c>
      <c r="D19" s="392">
        <v>100</v>
      </c>
      <c r="E19" s="396"/>
      <c r="F19" s="392">
        <f>SUMIF(80:80,E20,81:81)-SUMIF(80:80,C20,81:81)+100</f>
        <v>102</v>
      </c>
      <c r="G19" s="394"/>
      <c r="H19" s="387">
        <f>SUMIF(80:80,G20,81:81)-SUMIF(80:80,C20,81:81)+100</f>
        <v>102</v>
      </c>
      <c r="I19" s="394"/>
      <c r="J19" s="387">
        <f>SUMIF(80:80,I20,81:81)-SUMIF(80:80,C20,81:81)+100</f>
        <v>100</v>
      </c>
      <c r="K19" s="382">
        <v>2</v>
      </c>
      <c r="L19" s="2485"/>
      <c r="M19" s="2480"/>
      <c r="N19" s="2480"/>
      <c r="O19" s="2480"/>
      <c r="P19" s="3482"/>
      <c r="Q19" s="1258" t="str">
        <f>B19</f>
        <v>公共配套设施</v>
      </c>
      <c r="R19" s="664" t="s">
        <v>18</v>
      </c>
      <c r="S19" s="665">
        <f>F19</f>
        <v>102</v>
      </c>
      <c r="T19" s="664" t="s">
        <v>18</v>
      </c>
      <c r="U19" s="665">
        <f>H19</f>
        <v>102</v>
      </c>
      <c r="V19" s="664" t="s">
        <v>18</v>
      </c>
      <c r="W19" s="665">
        <f>J19</f>
        <v>100</v>
      </c>
      <c r="X19" s="1260"/>
      <c r="Y19" s="3439"/>
      <c r="Z19" s="1259" t="str">
        <f>Q19</f>
        <v>公共配套设施</v>
      </c>
      <c r="AA19" s="1259">
        <f t="shared" si="3"/>
        <v>0.98039215686274506</v>
      </c>
      <c r="AB19" s="1259">
        <f t="shared" si="4"/>
        <v>0.98039215686274506</v>
      </c>
      <c r="AC19" s="1259">
        <f t="shared" si="5"/>
        <v>1</v>
      </c>
    </row>
    <row r="20" spans="1:29" ht="15">
      <c r="A20" s="365"/>
      <c r="B20" s="393"/>
      <c r="C20" s="384" t="s">
        <v>3546</v>
      </c>
      <c r="D20" s="385"/>
      <c r="E20" s="1745" t="s">
        <v>3387</v>
      </c>
      <c r="F20" s="385"/>
      <c r="G20" s="1746" t="s">
        <v>3387</v>
      </c>
      <c r="H20" s="385"/>
      <c r="I20" s="1746" t="s">
        <v>3546</v>
      </c>
      <c r="J20" s="385"/>
      <c r="K20" s="1747"/>
      <c r="L20" s="2485"/>
      <c r="M20" s="2480"/>
      <c r="N20" s="2480"/>
      <c r="O20" s="2480"/>
      <c r="P20" s="3482"/>
      <c r="Q20" s="1258"/>
      <c r="R20" s="664"/>
      <c r="S20" s="665"/>
      <c r="T20" s="664"/>
      <c r="U20" s="665"/>
      <c r="V20" s="664"/>
      <c r="W20" s="665"/>
      <c r="X20" s="1260"/>
      <c r="Y20" s="3439"/>
      <c r="Z20" s="1259"/>
      <c r="AA20" s="1259">
        <v>1</v>
      </c>
      <c r="AB20" s="1259">
        <v>1</v>
      </c>
      <c r="AC20" s="1259">
        <v>1</v>
      </c>
    </row>
    <row r="21" spans="1:29" ht="15">
      <c r="A21" s="365"/>
      <c r="B21" s="584" t="s">
        <v>1260</v>
      </c>
      <c r="C21" s="1748"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2</v>
      </c>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t="s">
        <v>3389</v>
      </c>
      <c r="D22" s="385"/>
      <c r="E22" s="384" t="s">
        <v>3389</v>
      </c>
      <c r="F22" s="385"/>
      <c r="G22" s="384" t="s">
        <v>3389</v>
      </c>
      <c r="H22" s="385"/>
      <c r="I22" s="384" t="s">
        <v>3389</v>
      </c>
      <c r="J22" s="385"/>
      <c r="K22" s="1753"/>
      <c r="L22" s="2485"/>
      <c r="M22" s="2480"/>
      <c r="N22" s="2480"/>
      <c r="O22" s="2480"/>
      <c r="P22" s="3482"/>
      <c r="Q22" s="1258"/>
      <c r="R22" s="664"/>
      <c r="S22" s="665"/>
      <c r="T22" s="664"/>
      <c r="U22" s="665"/>
      <c r="V22" s="664"/>
      <c r="W22" s="665"/>
      <c r="X22" s="1260"/>
      <c r="Y22" s="3439"/>
      <c r="Z22" s="1259"/>
      <c r="AA22" s="1259">
        <v>1</v>
      </c>
      <c r="AB22" s="1259">
        <v>1</v>
      </c>
      <c r="AC22" s="1259">
        <v>1</v>
      </c>
    </row>
    <row r="23" spans="1:29" ht="15">
      <c r="A23" s="365"/>
      <c r="B23" s="388" t="s">
        <v>1261</v>
      </c>
      <c r="C23" s="1748" t="str">
        <f>估价对象房地状况!C9</f>
        <v>一般</v>
      </c>
      <c r="D23" s="387">
        <v>100</v>
      </c>
      <c r="E23" s="391"/>
      <c r="F23" s="387">
        <f>SUMIF(84:84,E24,85:85)-SUMIF(84:84,C24,85:85)+100</f>
        <v>102</v>
      </c>
      <c r="G23" s="389"/>
      <c r="H23" s="387">
        <f>SUMIF(84:84,G24,85:85)-SUMIF(84:84,C24,85:85)+100</f>
        <v>102</v>
      </c>
      <c r="I23" s="389"/>
      <c r="J23" s="387">
        <f>SUMIF(84:84,I24,85:85)-SUMIF(84:84,C24,85:85)+100</f>
        <v>100</v>
      </c>
      <c r="K23" s="382">
        <v>2</v>
      </c>
      <c r="L23" s="2485"/>
      <c r="M23" s="2480"/>
      <c r="N23" s="2480"/>
      <c r="O23" s="2480"/>
      <c r="P23" s="3482"/>
      <c r="Q23" s="1258" t="str">
        <f>B23</f>
        <v>自然及人文环境</v>
      </c>
      <c r="R23" s="664" t="s">
        <v>18</v>
      </c>
      <c r="S23" s="665">
        <f>F23</f>
        <v>102</v>
      </c>
      <c r="T23" s="664" t="s">
        <v>18</v>
      </c>
      <c r="U23" s="665">
        <f>H23</f>
        <v>102</v>
      </c>
      <c r="V23" s="664" t="s">
        <v>18</v>
      </c>
      <c r="W23" s="665">
        <f>J23</f>
        <v>100</v>
      </c>
      <c r="X23" s="1260"/>
      <c r="Y23" s="3439"/>
      <c r="Z23" s="1259" t="str">
        <f>Q23</f>
        <v>自然及人文环境</v>
      </c>
      <c r="AA23" s="1259">
        <f>D23/F23</f>
        <v>0.98039215686274506</v>
      </c>
      <c r="AB23" s="1259">
        <f>D23/H23</f>
        <v>0.98039215686274506</v>
      </c>
      <c r="AC23" s="1259">
        <f>D23/J23</f>
        <v>1</v>
      </c>
    </row>
    <row r="24" spans="1:29" ht="15">
      <c r="A24" s="365"/>
      <c r="B24" s="393"/>
      <c r="C24" s="384" t="s">
        <v>3387</v>
      </c>
      <c r="D24" s="385"/>
      <c r="E24" s="1745" t="s">
        <v>3545</v>
      </c>
      <c r="F24" s="385"/>
      <c r="G24" s="1746" t="s">
        <v>3545</v>
      </c>
      <c r="H24" s="385"/>
      <c r="I24" s="1746" t="s">
        <v>3387</v>
      </c>
      <c r="J24" s="385"/>
      <c r="K24" s="1747"/>
      <c r="L24" s="2485"/>
      <c r="M24" s="2480"/>
      <c r="N24" s="2480"/>
      <c r="O24" s="2480"/>
      <c r="P24" s="3482"/>
      <c r="Q24" s="1258"/>
      <c r="R24" s="664"/>
      <c r="S24" s="665"/>
      <c r="T24" s="664"/>
      <c r="U24" s="665"/>
      <c r="V24" s="664"/>
      <c r="W24" s="665"/>
      <c r="X24" s="1260"/>
      <c r="Y24" s="3439"/>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5"/>
      <c r="M25" s="2480"/>
      <c r="N25" s="2480"/>
      <c r="O25" s="2480"/>
      <c r="P25" s="3482"/>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39"/>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5"/>
      <c r="M26" s="2480"/>
      <c r="N26" s="2480"/>
      <c r="O26" s="2480"/>
      <c r="P26" s="3482"/>
      <c r="Q26" s="1258" t="str">
        <f t="shared" si="11"/>
        <v>朝向</v>
      </c>
      <c r="R26" s="664" t="s">
        <v>18</v>
      </c>
      <c r="S26" s="665">
        <f t="shared" si="12"/>
        <v>100</v>
      </c>
      <c r="T26" s="664" t="s">
        <v>18</v>
      </c>
      <c r="U26" s="665">
        <f t="shared" si="13"/>
        <v>100</v>
      </c>
      <c r="V26" s="664" t="s">
        <v>18</v>
      </c>
      <c r="W26" s="665">
        <f t="shared" si="14"/>
        <v>100</v>
      </c>
      <c r="X26" s="1260"/>
      <c r="Y26" s="3439"/>
      <c r="Z26" s="1259" t="str">
        <f>Q26</f>
        <v>朝向</v>
      </c>
      <c r="AA26" s="1259">
        <f t="shared" si="15"/>
        <v>1</v>
      </c>
      <c r="AB26" s="1259">
        <f t="shared" si="16"/>
        <v>1</v>
      </c>
      <c r="AC26" s="1259">
        <f t="shared" si="17"/>
        <v>1</v>
      </c>
    </row>
    <row r="27" spans="1:29" s="100"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81"/>
      <c r="M27" s="2432"/>
      <c r="N27" s="2432"/>
      <c r="O27" s="2432"/>
      <c r="P27" s="3482"/>
      <c r="Q27" s="528">
        <f t="shared" si="11"/>
        <v>111</v>
      </c>
      <c r="R27" s="661" t="s">
        <v>18</v>
      </c>
      <c r="S27" s="662">
        <f t="shared" si="12"/>
        <v>100</v>
      </c>
      <c r="T27" s="661" t="s">
        <v>18</v>
      </c>
      <c r="U27" s="662">
        <f t="shared" si="13"/>
        <v>100</v>
      </c>
      <c r="V27" s="661" t="s">
        <v>18</v>
      </c>
      <c r="W27" s="662">
        <f t="shared" si="14"/>
        <v>100</v>
      </c>
      <c r="X27" s="663"/>
      <c r="Y27" s="3439"/>
      <c r="Z27" s="49">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5"/>
      <c r="M28" s="2480"/>
      <c r="N28" s="2480"/>
      <c r="O28" s="2480"/>
      <c r="P28" s="3482"/>
      <c r="Q28" s="1258">
        <f t="shared" si="11"/>
        <v>111</v>
      </c>
      <c r="R28" s="664" t="s">
        <v>18</v>
      </c>
      <c r="S28" s="665">
        <f t="shared" si="12"/>
        <v>100</v>
      </c>
      <c r="T28" s="664" t="s">
        <v>18</v>
      </c>
      <c r="U28" s="665">
        <f t="shared" si="13"/>
        <v>100</v>
      </c>
      <c r="V28" s="664" t="s">
        <v>18</v>
      </c>
      <c r="W28" s="665">
        <f t="shared" si="14"/>
        <v>100</v>
      </c>
      <c r="X28" s="1260"/>
      <c r="Y28" s="3439"/>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5"/>
      <c r="M29" s="2480"/>
      <c r="N29" s="2480"/>
      <c r="O29" s="2480"/>
      <c r="P29" s="3482"/>
      <c r="Q29" s="1258">
        <f t="shared" si="11"/>
        <v>111</v>
      </c>
      <c r="R29" s="664" t="s">
        <v>18</v>
      </c>
      <c r="S29" s="665">
        <f t="shared" si="12"/>
        <v>100</v>
      </c>
      <c r="T29" s="664" t="s">
        <v>18</v>
      </c>
      <c r="U29" s="665">
        <f t="shared" si="13"/>
        <v>100</v>
      </c>
      <c r="V29" s="664" t="s">
        <v>18</v>
      </c>
      <c r="W29" s="665">
        <f t="shared" si="14"/>
        <v>100</v>
      </c>
      <c r="X29" s="1260"/>
      <c r="Y29" s="3439"/>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5"/>
      <c r="M30" s="2480"/>
      <c r="N30" s="2480"/>
      <c r="O30" s="2480"/>
      <c r="P30" s="3482"/>
      <c r="Q30" s="1258">
        <f t="shared" si="11"/>
        <v>111</v>
      </c>
      <c r="R30" s="664" t="s">
        <v>18</v>
      </c>
      <c r="S30" s="665">
        <f t="shared" si="12"/>
        <v>100</v>
      </c>
      <c r="T30" s="664" t="s">
        <v>18</v>
      </c>
      <c r="U30" s="665">
        <f t="shared" si="13"/>
        <v>100</v>
      </c>
      <c r="V30" s="664" t="s">
        <v>18</v>
      </c>
      <c r="W30" s="665">
        <f t="shared" si="14"/>
        <v>100</v>
      </c>
      <c r="X30" s="1260"/>
      <c r="Y30" s="3439"/>
      <c r="Z30" s="1259">
        <f t="shared" si="18"/>
        <v>111</v>
      </c>
      <c r="AA30" s="1259">
        <f t="shared" si="15"/>
        <v>1</v>
      </c>
      <c r="AB30" s="1259">
        <f t="shared" si="16"/>
        <v>1</v>
      </c>
      <c r="AC30" s="1259">
        <f t="shared" si="17"/>
        <v>1</v>
      </c>
    </row>
    <row r="31" spans="1:29" ht="15.6"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5"/>
      <c r="M31" s="2480"/>
      <c r="N31" s="2480"/>
      <c r="O31" s="2480"/>
      <c r="P31" s="3482"/>
      <c r="Q31" s="1258">
        <f t="shared" si="11"/>
        <v>111</v>
      </c>
      <c r="R31" s="664" t="s">
        <v>18</v>
      </c>
      <c r="S31" s="665">
        <f t="shared" si="12"/>
        <v>100</v>
      </c>
      <c r="T31" s="664" t="s">
        <v>18</v>
      </c>
      <c r="U31" s="665">
        <f t="shared" si="13"/>
        <v>100</v>
      </c>
      <c r="V31" s="664" t="s">
        <v>18</v>
      </c>
      <c r="W31" s="665">
        <f t="shared" si="14"/>
        <v>100</v>
      </c>
      <c r="X31" s="1260"/>
      <c r="Y31" s="3439"/>
      <c r="Z31" s="1259">
        <f t="shared" si="18"/>
        <v>111</v>
      </c>
      <c r="AA31" s="1259">
        <f t="shared" si="15"/>
        <v>1</v>
      </c>
      <c r="AB31" s="1259">
        <f t="shared" si="16"/>
        <v>1</v>
      </c>
      <c r="AC31" s="1259">
        <f t="shared" si="17"/>
        <v>1</v>
      </c>
    </row>
    <row r="32" spans="1:29" ht="15">
      <c r="A32" s="377" t="s">
        <v>1694</v>
      </c>
      <c r="B32" s="59" t="s">
        <v>1695</v>
      </c>
      <c r="C32" s="1758" t="s">
        <v>3573</v>
      </c>
      <c r="D32" s="403">
        <v>100</v>
      </c>
      <c r="E32" s="1759" t="s">
        <v>3573</v>
      </c>
      <c r="F32" s="398">
        <f>SUMIF(100:100,E32,101:101)-SUMIF(100:100,C32,101:101)+100</f>
        <v>100</v>
      </c>
      <c r="G32" s="1758" t="s">
        <v>3573</v>
      </c>
      <c r="H32" s="403">
        <f>SUMIF(100:100,G32,101:101)-SUMIF(100:100,C32,101:101)+100</f>
        <v>100</v>
      </c>
      <c r="I32" s="1759" t="s">
        <v>3573</v>
      </c>
      <c r="J32" s="372">
        <f>SUMIF(100:100,I32,101:101)-SUMIF(100:100,C32,101:101)+100</f>
        <v>100</v>
      </c>
      <c r="K32" s="363">
        <v>2</v>
      </c>
      <c r="L32" s="2485"/>
      <c r="M32" s="2480"/>
      <c r="N32" s="2480"/>
      <c r="O32" s="2480"/>
      <c r="P32" s="3477" t="s">
        <v>1696</v>
      </c>
      <c r="Q32" s="1258" t="str">
        <f t="shared" si="11"/>
        <v>建筑类型</v>
      </c>
      <c r="R32" s="664" t="s">
        <v>18</v>
      </c>
      <c r="S32" s="665">
        <f t="shared" si="12"/>
        <v>100</v>
      </c>
      <c r="T32" s="664" t="s">
        <v>18</v>
      </c>
      <c r="U32" s="665">
        <f t="shared" si="13"/>
        <v>100</v>
      </c>
      <c r="V32" s="664" t="s">
        <v>18</v>
      </c>
      <c r="W32" s="665">
        <f t="shared" si="14"/>
        <v>100</v>
      </c>
      <c r="X32" s="1260"/>
      <c r="Y32" s="3441" t="s">
        <v>1696</v>
      </c>
      <c r="Z32" s="1259" t="str">
        <f t="shared" si="18"/>
        <v>建筑类型</v>
      </c>
      <c r="AA32" s="1259">
        <f t="shared" si="15"/>
        <v>1</v>
      </c>
      <c r="AB32" s="1259">
        <f t="shared" si="16"/>
        <v>1</v>
      </c>
      <c r="AC32" s="1259">
        <f t="shared" si="17"/>
        <v>1</v>
      </c>
    </row>
    <row r="33" spans="1:29" s="406" customFormat="1" ht="15">
      <c r="A33" s="404"/>
      <c r="B33" s="362" t="s">
        <v>1697</v>
      </c>
      <c r="C33" s="405">
        <f>土地案例!$G$24</f>
        <v>47887</v>
      </c>
      <c r="D33" s="117">
        <v>100</v>
      </c>
      <c r="E33" s="367">
        <f>土地案例!$G$10</f>
        <v>92406</v>
      </c>
      <c r="F33" s="362">
        <f>LOOKUP(E33,103:103,104:104)-LOOKUP(C33,103:103,104:104)+100</f>
        <v>101</v>
      </c>
      <c r="G33" s="366">
        <f>土地案例!$G$21</f>
        <v>102967</v>
      </c>
      <c r="H33" s="117">
        <f>LOOKUP(G33,103:103,104:104)-LOOKUP(C33,103:103,104:104)+100</f>
        <v>102</v>
      </c>
      <c r="I33" s="367">
        <f>土地案例!$G$28</f>
        <v>74507</v>
      </c>
      <c r="J33" s="117">
        <f>LOOKUP(I33,103:103,104:104)-LOOKUP(C33,103:103,104:104)+100</f>
        <v>101</v>
      </c>
      <c r="K33" s="1742"/>
      <c r="L33" s="2484"/>
      <c r="M33" s="2486"/>
      <c r="N33" s="2486"/>
      <c r="O33" s="2486"/>
      <c r="P33" s="3478"/>
      <c r="Q33" s="529" t="str">
        <f t="shared" si="11"/>
        <v>项目建筑规模</v>
      </c>
      <c r="R33" s="666" t="s">
        <v>18</v>
      </c>
      <c r="S33" s="667">
        <f t="shared" si="12"/>
        <v>101</v>
      </c>
      <c r="T33" s="666" t="s">
        <v>18</v>
      </c>
      <c r="U33" s="667">
        <f t="shared" si="13"/>
        <v>102</v>
      </c>
      <c r="V33" s="666" t="s">
        <v>18</v>
      </c>
      <c r="W33" s="667">
        <f t="shared" si="14"/>
        <v>101</v>
      </c>
      <c r="X33" s="668"/>
      <c r="Y33" s="3441"/>
      <c r="Z33" s="669" t="str">
        <f t="shared" si="18"/>
        <v>项目建筑规模</v>
      </c>
      <c r="AA33" s="1259">
        <f t="shared" si="15"/>
        <v>0.99009900990099009</v>
      </c>
      <c r="AB33" s="1259">
        <f t="shared" si="16"/>
        <v>0.98039215686274506</v>
      </c>
      <c r="AC33" s="1259">
        <f t="shared" si="17"/>
        <v>0.99009900990099009</v>
      </c>
    </row>
    <row r="34" spans="1:29" ht="15">
      <c r="A34" s="407"/>
      <c r="B34" s="362" t="s">
        <v>1698</v>
      </c>
      <c r="C34" s="397" t="s">
        <v>3576</v>
      </c>
      <c r="D34" s="372">
        <v>100</v>
      </c>
      <c r="E34" s="397" t="s">
        <v>3576</v>
      </c>
      <c r="F34" s="398">
        <f>SUMIF(105:105,E34,106:106)-SUMIF(105:105,C34,106:106)+100</f>
        <v>100</v>
      </c>
      <c r="G34" s="397" t="s">
        <v>3576</v>
      </c>
      <c r="H34" s="372">
        <f>SUMIF(105:105,G34,106:106)-SUMIF(105:105,C34,106:106)+100</f>
        <v>100</v>
      </c>
      <c r="I34" s="397" t="s">
        <v>3576</v>
      </c>
      <c r="J34" s="372">
        <f>SUMIF(105:105,I34,106:106)-SUMIF(105:105,C34,106:106)+100</f>
        <v>100</v>
      </c>
      <c r="K34" s="363">
        <v>3</v>
      </c>
      <c r="L34" s="2485"/>
      <c r="M34" s="2480"/>
      <c r="N34" s="2480"/>
      <c r="O34" s="2480"/>
      <c r="P34" s="3478"/>
      <c r="Q34" s="1258" t="str">
        <f t="shared" si="11"/>
        <v>建筑结构</v>
      </c>
      <c r="R34" s="664" t="s">
        <v>18</v>
      </c>
      <c r="S34" s="665">
        <f t="shared" si="12"/>
        <v>100</v>
      </c>
      <c r="T34" s="664" t="s">
        <v>18</v>
      </c>
      <c r="U34" s="665">
        <f t="shared" si="13"/>
        <v>100</v>
      </c>
      <c r="V34" s="664" t="s">
        <v>18</v>
      </c>
      <c r="W34" s="665">
        <f t="shared" si="14"/>
        <v>100</v>
      </c>
      <c r="X34" s="1260"/>
      <c r="Y34" s="3441"/>
      <c r="Z34" s="1259" t="str">
        <f t="shared" si="18"/>
        <v>建筑结构</v>
      </c>
      <c r="AA34" s="1259">
        <f t="shared" si="15"/>
        <v>1</v>
      </c>
      <c r="AB34" s="1259">
        <f t="shared" si="16"/>
        <v>1</v>
      </c>
      <c r="AC34" s="1259">
        <f t="shared" si="17"/>
        <v>1</v>
      </c>
    </row>
    <row r="35" spans="1:29" ht="15">
      <c r="A35" s="407"/>
      <c r="B35" s="362" t="s">
        <v>1699</v>
      </c>
      <c r="C35" s="1754" t="s">
        <v>3578</v>
      </c>
      <c r="D35" s="372">
        <v>100</v>
      </c>
      <c r="E35" s="1754" t="s">
        <v>3578</v>
      </c>
      <c r="F35" s="398">
        <f>SUMIF(107:107,E35,108:108)-SUMIF(107:107,C35,108:108)+100</f>
        <v>100</v>
      </c>
      <c r="G35" s="1754" t="s">
        <v>3578</v>
      </c>
      <c r="H35" s="372">
        <f>SUMIF(107:107,G35,108:108)-SUMIF(107:107,C35,108:108)+100</f>
        <v>100</v>
      </c>
      <c r="I35" s="1754" t="s">
        <v>3580</v>
      </c>
      <c r="J35" s="372">
        <f>SUMIF(107:107,I35,108:108)-SUMIF(107:107,C35,108:108)+100</f>
        <v>95</v>
      </c>
      <c r="K35" s="363">
        <v>5</v>
      </c>
      <c r="L35" s="2485"/>
      <c r="M35" s="2480"/>
      <c r="N35" s="2480"/>
      <c r="O35" s="2480"/>
      <c r="P35" s="3478"/>
      <c r="Q35" s="1258" t="str">
        <f t="shared" si="11"/>
        <v>建筑品质</v>
      </c>
      <c r="R35" s="664" t="s">
        <v>18</v>
      </c>
      <c r="S35" s="665">
        <f t="shared" si="12"/>
        <v>100</v>
      </c>
      <c r="T35" s="664" t="s">
        <v>18</v>
      </c>
      <c r="U35" s="665">
        <f t="shared" si="13"/>
        <v>100</v>
      </c>
      <c r="V35" s="664" t="s">
        <v>18</v>
      </c>
      <c r="W35" s="665">
        <f t="shared" si="14"/>
        <v>95</v>
      </c>
      <c r="X35" s="1260"/>
      <c r="Y35" s="3441"/>
      <c r="Z35" s="1259" t="str">
        <f t="shared" si="18"/>
        <v>建筑品质</v>
      </c>
      <c r="AA35" s="1259">
        <f t="shared" si="15"/>
        <v>1</v>
      </c>
      <c r="AB35" s="1259">
        <f t="shared" si="16"/>
        <v>1</v>
      </c>
      <c r="AC35" s="1259">
        <f t="shared" si="17"/>
        <v>1.0526315789473684</v>
      </c>
    </row>
    <row r="36" spans="1:29" ht="15">
      <c r="A36" s="407"/>
      <c r="B36" s="362" t="s">
        <v>1700</v>
      </c>
      <c r="C36" s="1754" t="s">
        <v>3582</v>
      </c>
      <c r="D36" s="372">
        <v>100</v>
      </c>
      <c r="E36" s="1754" t="s">
        <v>3582</v>
      </c>
      <c r="F36" s="398">
        <f>SUMIF(109:109,E36,110:110)-SUMIF(109:109,C36,110:110)+100</f>
        <v>100</v>
      </c>
      <c r="G36" s="1754" t="s">
        <v>3582</v>
      </c>
      <c r="H36" s="372">
        <f>SUMIF(109:109,G36,110:110)-SUMIF(109:109,C36,110:110)+100</f>
        <v>100</v>
      </c>
      <c r="I36" s="1754" t="s">
        <v>3582</v>
      </c>
      <c r="J36" s="372">
        <f>SUMIF(109:109,I36,110:110)-SUMIF(109:109,C36,110:110)+100</f>
        <v>100</v>
      </c>
      <c r="K36" s="363">
        <v>2</v>
      </c>
      <c r="L36" s="2485"/>
      <c r="M36" s="2480"/>
      <c r="N36" s="2480"/>
      <c r="O36" s="2480"/>
      <c r="P36" s="3478"/>
      <c r="Q36" s="1258" t="str">
        <f t="shared" si="11"/>
        <v>公共部分装修</v>
      </c>
      <c r="R36" s="664" t="s">
        <v>18</v>
      </c>
      <c r="S36" s="665">
        <f t="shared" si="12"/>
        <v>100</v>
      </c>
      <c r="T36" s="664" t="s">
        <v>18</v>
      </c>
      <c r="U36" s="665">
        <f t="shared" si="13"/>
        <v>100</v>
      </c>
      <c r="V36" s="664" t="s">
        <v>18</v>
      </c>
      <c r="W36" s="665">
        <f t="shared" si="14"/>
        <v>100</v>
      </c>
      <c r="X36" s="1260"/>
      <c r="Y36" s="3441"/>
      <c r="Z36" s="1259" t="str">
        <f t="shared" si="18"/>
        <v>公共部分装修</v>
      </c>
      <c r="AA36" s="1259">
        <f t="shared" si="15"/>
        <v>1</v>
      </c>
      <c r="AB36" s="1259">
        <f t="shared" si="16"/>
        <v>1</v>
      </c>
      <c r="AC36" s="1259">
        <f t="shared" si="17"/>
        <v>1</v>
      </c>
    </row>
    <row r="37" spans="1:29" s="100"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2</v>
      </c>
      <c r="L37" s="2481"/>
      <c r="M37" s="2432"/>
      <c r="N37" s="2432"/>
      <c r="O37" s="2432"/>
      <c r="P37" s="3478"/>
      <c r="Q37" s="528" t="str">
        <f t="shared" si="11"/>
        <v>成新度</v>
      </c>
      <c r="R37" s="661" t="s">
        <v>18</v>
      </c>
      <c r="S37" s="662">
        <f t="shared" si="12"/>
        <v>100</v>
      </c>
      <c r="T37" s="661" t="s">
        <v>18</v>
      </c>
      <c r="U37" s="662">
        <f t="shared" si="13"/>
        <v>100</v>
      </c>
      <c r="V37" s="661" t="s">
        <v>18</v>
      </c>
      <c r="W37" s="662">
        <f t="shared" si="14"/>
        <v>100</v>
      </c>
      <c r="X37" s="663"/>
      <c r="Y37" s="3441"/>
      <c r="Z37" s="49" t="str">
        <f t="shared" si="18"/>
        <v>成新度</v>
      </c>
      <c r="AA37" s="49">
        <f t="shared" si="15"/>
        <v>1</v>
      </c>
      <c r="AB37" s="49">
        <f t="shared" si="16"/>
        <v>1</v>
      </c>
      <c r="AC37" s="49">
        <f t="shared" si="17"/>
        <v>1</v>
      </c>
    </row>
    <row r="38" spans="1:29" ht="15">
      <c r="A38" s="407"/>
      <c r="B38" s="362" t="s">
        <v>1702</v>
      </c>
      <c r="C38" s="1754" t="s">
        <v>3591</v>
      </c>
      <c r="D38" s="372">
        <v>100</v>
      </c>
      <c r="E38" s="1754" t="s">
        <v>3591</v>
      </c>
      <c r="F38" s="398">
        <f>SUMIF(114:114,E38,115:115)-SUMIF(114:114,C38,115:115)+100</f>
        <v>100</v>
      </c>
      <c r="G38" s="1754" t="s">
        <v>3591</v>
      </c>
      <c r="H38" s="372">
        <f>SUMIF(114:114,G38,115:115)-SUMIF(114:114,C38,115:115)+100</f>
        <v>100</v>
      </c>
      <c r="I38" s="1755" t="s">
        <v>3591</v>
      </c>
      <c r="J38" s="372">
        <f>SUMIF(114:114,I38,115:115)-SUMIF(114:114,C38,115:115)+100</f>
        <v>100</v>
      </c>
      <c r="K38" s="363">
        <v>2</v>
      </c>
      <c r="L38" s="2485"/>
      <c r="M38" s="2480"/>
      <c r="N38" s="2480"/>
      <c r="O38" s="2480"/>
      <c r="P38" s="3478" t="s">
        <v>1696</v>
      </c>
      <c r="Q38" s="1258" t="str">
        <f t="shared" si="11"/>
        <v>物业管理</v>
      </c>
      <c r="R38" s="664" t="s">
        <v>18</v>
      </c>
      <c r="S38" s="665">
        <f t="shared" si="12"/>
        <v>100</v>
      </c>
      <c r="T38" s="664" t="s">
        <v>18</v>
      </c>
      <c r="U38" s="665">
        <f t="shared" si="13"/>
        <v>100</v>
      </c>
      <c r="V38" s="664" t="s">
        <v>18</v>
      </c>
      <c r="W38" s="665">
        <f t="shared" si="14"/>
        <v>100</v>
      </c>
      <c r="X38" s="1260"/>
      <c r="Y38" s="3441" t="s">
        <v>1696</v>
      </c>
      <c r="Z38" s="1259" t="str">
        <f t="shared" si="18"/>
        <v>物业管理</v>
      </c>
      <c r="AA38" s="1259">
        <f t="shared" si="15"/>
        <v>1</v>
      </c>
      <c r="AB38" s="1259">
        <f t="shared" si="16"/>
        <v>1</v>
      </c>
      <c r="AC38" s="1259">
        <f t="shared" si="17"/>
        <v>1</v>
      </c>
    </row>
    <row r="39" spans="1:29" ht="15">
      <c r="A39" s="407"/>
      <c r="B39" s="362" t="s">
        <v>1703</v>
      </c>
      <c r="C39" s="1754" t="s">
        <v>3389</v>
      </c>
      <c r="D39" s="372">
        <v>100</v>
      </c>
      <c r="E39" s="1754" t="s">
        <v>3389</v>
      </c>
      <c r="F39" s="398">
        <f>SUMIF(116:116,E39,117:117)-SUMIF(116:116,C39,117:117)+100</f>
        <v>100</v>
      </c>
      <c r="G39" s="1754" t="s">
        <v>3389</v>
      </c>
      <c r="H39" s="372">
        <f>SUMIF(116:116,G39,117:117)-SUMIF(116:116,C39,117:117)+100</f>
        <v>100</v>
      </c>
      <c r="I39" s="1755" t="s">
        <v>3389</v>
      </c>
      <c r="J39" s="372">
        <f>SUMIF(116:116,I39,117:117)-SUMIF(116:116,C39,117:117)+100</f>
        <v>100</v>
      </c>
      <c r="K39" s="363"/>
      <c r="L39" s="2485"/>
      <c r="M39" s="2480"/>
      <c r="N39" s="2480"/>
      <c r="O39" s="2480"/>
      <c r="P39" s="3478"/>
      <c r="Q39" s="1258" t="str">
        <f t="shared" si="11"/>
        <v>市政基础设施</v>
      </c>
      <c r="R39" s="664" t="s">
        <v>18</v>
      </c>
      <c r="S39" s="665">
        <f t="shared" si="12"/>
        <v>100</v>
      </c>
      <c r="T39" s="664" t="s">
        <v>18</v>
      </c>
      <c r="U39" s="665">
        <f t="shared" si="13"/>
        <v>100</v>
      </c>
      <c r="V39" s="664" t="s">
        <v>18</v>
      </c>
      <c r="W39" s="665">
        <f t="shared" si="14"/>
        <v>100</v>
      </c>
      <c r="X39" s="1260"/>
      <c r="Y39" s="3441"/>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5"/>
      <c r="M40" s="2480"/>
      <c r="N40" s="2480"/>
      <c r="O40" s="2480"/>
      <c r="P40" s="3478"/>
      <c r="Q40" s="1258" t="str">
        <f t="shared" si="11"/>
        <v>房型</v>
      </c>
      <c r="R40" s="664" t="s">
        <v>18</v>
      </c>
      <c r="S40" s="665">
        <f t="shared" si="12"/>
        <v>100</v>
      </c>
      <c r="T40" s="664" t="s">
        <v>18</v>
      </c>
      <c r="U40" s="665">
        <f t="shared" si="13"/>
        <v>100</v>
      </c>
      <c r="V40" s="664" t="s">
        <v>18</v>
      </c>
      <c r="W40" s="665">
        <f t="shared" si="14"/>
        <v>100</v>
      </c>
      <c r="X40" s="1260"/>
      <c r="Y40" s="3441"/>
      <c r="Z40" s="1259" t="str">
        <f t="shared" si="18"/>
        <v>房型</v>
      </c>
      <c r="AA40" s="1259">
        <f t="shared" si="15"/>
        <v>1</v>
      </c>
      <c r="AB40" s="1259">
        <f t="shared" si="16"/>
        <v>1</v>
      </c>
      <c r="AC40" s="1259">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4"/>
      <c r="M41" s="2486"/>
      <c r="N41" s="2486"/>
      <c r="O41" s="2486"/>
      <c r="P41" s="3478"/>
      <c r="Q41" s="529" t="str">
        <f t="shared" si="11"/>
        <v>单套/主力户型建筑面积</v>
      </c>
      <c r="R41" s="666" t="s">
        <v>18</v>
      </c>
      <c r="S41" s="667">
        <f t="shared" si="12"/>
        <v>100</v>
      </c>
      <c r="T41" s="666" t="s">
        <v>18</v>
      </c>
      <c r="U41" s="667">
        <f t="shared" si="13"/>
        <v>100</v>
      </c>
      <c r="V41" s="666" t="s">
        <v>18</v>
      </c>
      <c r="W41" s="667">
        <f t="shared" si="14"/>
        <v>100</v>
      </c>
      <c r="X41" s="668"/>
      <c r="Y41" s="3441"/>
      <c r="Z41" s="669" t="str">
        <f t="shared" si="18"/>
        <v>单套/主力户型建筑面积</v>
      </c>
      <c r="AA41" s="1259">
        <f t="shared" si="15"/>
        <v>1</v>
      </c>
      <c r="AB41" s="1259">
        <f t="shared" si="16"/>
        <v>1</v>
      </c>
      <c r="AC41" s="1259">
        <f t="shared" si="17"/>
        <v>1</v>
      </c>
    </row>
    <row r="42" spans="1:29" ht="15">
      <c r="A42" s="407"/>
      <c r="B42" s="362" t="s">
        <v>1706</v>
      </c>
      <c r="C42" s="1754" t="s">
        <v>3582</v>
      </c>
      <c r="D42" s="372">
        <v>100</v>
      </c>
      <c r="E42" s="1755" t="s">
        <v>3582</v>
      </c>
      <c r="F42" s="398">
        <f>SUMIF(122:122,E42,123:123)-SUMIF(122:122,C42,123:123)+100</f>
        <v>100</v>
      </c>
      <c r="G42" s="1754" t="s">
        <v>3582</v>
      </c>
      <c r="H42" s="372">
        <f>SUMIF(122:122,G42,123:123)-SUMIF(122:122,C42,123:123)+100</f>
        <v>100</v>
      </c>
      <c r="I42" s="1755" t="s">
        <v>3587</v>
      </c>
      <c r="J42" s="372">
        <f>SUMIF(122:122,I42,123:123)-SUMIF(122:122,C42,123:123)+100</f>
        <v>91</v>
      </c>
      <c r="K42" s="363">
        <v>3</v>
      </c>
      <c r="L42" s="2485"/>
      <c r="M42" s="2480"/>
      <c r="N42" s="2480"/>
      <c r="O42" s="2480"/>
      <c r="P42" s="3478"/>
      <c r="Q42" s="1258" t="str">
        <f t="shared" si="11"/>
        <v>内部装修</v>
      </c>
      <c r="R42" s="664" t="s">
        <v>18</v>
      </c>
      <c r="S42" s="665">
        <f t="shared" si="12"/>
        <v>100</v>
      </c>
      <c r="T42" s="664" t="s">
        <v>18</v>
      </c>
      <c r="U42" s="665">
        <f t="shared" si="13"/>
        <v>100</v>
      </c>
      <c r="V42" s="664" t="s">
        <v>18</v>
      </c>
      <c r="W42" s="665">
        <f t="shared" si="14"/>
        <v>91</v>
      </c>
      <c r="X42" s="1260"/>
      <c r="Y42" s="3441"/>
      <c r="Z42" s="1259" t="str">
        <f t="shared" si="18"/>
        <v>内部装修</v>
      </c>
      <c r="AA42" s="1259">
        <f t="shared" si="15"/>
        <v>1</v>
      </c>
      <c r="AB42" s="1259">
        <f t="shared" si="16"/>
        <v>1</v>
      </c>
      <c r="AC42" s="1259">
        <f t="shared" si="17"/>
        <v>1.098901098901099</v>
      </c>
    </row>
    <row r="43" spans="1:29" ht="28.8">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5"/>
      <c r="M43" s="2480"/>
      <c r="N43" s="2480"/>
      <c r="O43" s="2480"/>
      <c r="P43" s="3478"/>
      <c r="Q43" s="1258" t="str">
        <f t="shared" si="11"/>
        <v>内部装修维护情况</v>
      </c>
      <c r="R43" s="664" t="s">
        <v>18</v>
      </c>
      <c r="S43" s="665">
        <f t="shared" si="12"/>
        <v>100</v>
      </c>
      <c r="T43" s="664" t="s">
        <v>18</v>
      </c>
      <c r="U43" s="665">
        <f t="shared" si="13"/>
        <v>100</v>
      </c>
      <c r="V43" s="664" t="s">
        <v>18</v>
      </c>
      <c r="W43" s="665">
        <f t="shared" si="14"/>
        <v>100</v>
      </c>
      <c r="X43" s="1260"/>
      <c r="Y43" s="3441"/>
      <c r="Z43" s="1259" t="str">
        <f t="shared" si="18"/>
        <v>内部装修维护情况</v>
      </c>
      <c r="AA43" s="1259">
        <f t="shared" si="15"/>
        <v>1</v>
      </c>
      <c r="AB43" s="1259">
        <f t="shared" si="16"/>
        <v>1</v>
      </c>
      <c r="AC43" s="1259">
        <f t="shared" si="17"/>
        <v>1</v>
      </c>
    </row>
    <row r="44" spans="1:29" s="100" customFormat="1" ht="15">
      <c r="A44" s="408"/>
      <c r="B44" s="1061">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2"/>
      <c r="L44" s="2481"/>
      <c r="M44" s="2432"/>
      <c r="N44" s="2432"/>
      <c r="O44" s="2432"/>
      <c r="P44" s="3478"/>
      <c r="Q44" s="528">
        <f t="shared" si="11"/>
        <v>111</v>
      </c>
      <c r="R44" s="661" t="s">
        <v>18</v>
      </c>
      <c r="S44" s="662">
        <f t="shared" si="12"/>
        <v>100</v>
      </c>
      <c r="T44" s="661" t="s">
        <v>18</v>
      </c>
      <c r="U44" s="662">
        <f t="shared" si="13"/>
        <v>100</v>
      </c>
      <c r="V44" s="661" t="s">
        <v>18</v>
      </c>
      <c r="W44" s="662">
        <f t="shared" si="14"/>
        <v>100</v>
      </c>
      <c r="X44" s="663"/>
      <c r="Y44" s="3441"/>
      <c r="Z44" s="49">
        <f t="shared" si="18"/>
        <v>111</v>
      </c>
      <c r="AA44" s="49">
        <f t="shared" si="15"/>
        <v>1</v>
      </c>
      <c r="AB44" s="49">
        <f t="shared" si="16"/>
        <v>1</v>
      </c>
      <c r="AC44" s="49">
        <f t="shared" si="17"/>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5"/>
      <c r="M45" s="2480"/>
      <c r="N45" s="2480"/>
      <c r="O45" s="2480"/>
      <c r="P45" s="3478"/>
      <c r="Q45" s="1258">
        <f t="shared" si="11"/>
        <v>111</v>
      </c>
      <c r="R45" s="664" t="s">
        <v>18</v>
      </c>
      <c r="S45" s="665">
        <f t="shared" si="12"/>
        <v>100</v>
      </c>
      <c r="T45" s="664" t="s">
        <v>18</v>
      </c>
      <c r="U45" s="665">
        <f t="shared" si="13"/>
        <v>100</v>
      </c>
      <c r="V45" s="664" t="s">
        <v>18</v>
      </c>
      <c r="W45" s="665">
        <f t="shared" si="14"/>
        <v>100</v>
      </c>
      <c r="X45" s="1260"/>
      <c r="Y45" s="3441"/>
      <c r="Z45" s="1259">
        <f t="shared" si="18"/>
        <v>111</v>
      </c>
      <c r="AA45" s="1259">
        <f t="shared" si="15"/>
        <v>1</v>
      </c>
      <c r="AB45" s="1259">
        <f t="shared" si="16"/>
        <v>1</v>
      </c>
      <c r="AC45" s="1259">
        <f t="shared" si="17"/>
        <v>1</v>
      </c>
    </row>
    <row r="46" spans="1:29" ht="15.6"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5"/>
      <c r="M46" s="2480"/>
      <c r="N46" s="2480"/>
      <c r="O46" s="2480"/>
      <c r="P46" s="3479"/>
      <c r="Q46" s="1258">
        <f t="shared" si="11"/>
        <v>111</v>
      </c>
      <c r="R46" s="664" t="s">
        <v>17</v>
      </c>
      <c r="S46" s="665">
        <f t="shared" si="12"/>
        <v>100</v>
      </c>
      <c r="T46" s="664" t="s">
        <v>17</v>
      </c>
      <c r="U46" s="665">
        <f t="shared" si="13"/>
        <v>100</v>
      </c>
      <c r="V46" s="664" t="s">
        <v>17</v>
      </c>
      <c r="W46" s="665">
        <f t="shared" si="14"/>
        <v>100</v>
      </c>
      <c r="X46" s="1260"/>
      <c r="Y46" s="3480"/>
      <c r="Z46" s="1259">
        <f t="shared" si="18"/>
        <v>111</v>
      </c>
      <c r="AA46" s="1259">
        <f t="shared" si="15"/>
        <v>1</v>
      </c>
      <c r="AB46" s="1259">
        <f t="shared" si="16"/>
        <v>1</v>
      </c>
      <c r="AC46" s="1259">
        <f t="shared" si="17"/>
        <v>1</v>
      </c>
    </row>
    <row r="47" spans="1:29" ht="14.4">
      <c r="A47" s="414" t="s">
        <v>1708</v>
      </c>
      <c r="B47" s="415"/>
      <c r="C47" s="1076" t="s">
        <v>16</v>
      </c>
      <c r="D47" s="416"/>
      <c r="E47" s="417">
        <v>85157</v>
      </c>
      <c r="F47" s="418"/>
      <c r="G47" s="419">
        <v>83992</v>
      </c>
      <c r="H47" s="420"/>
      <c r="I47" s="417">
        <v>67613</v>
      </c>
      <c r="J47" s="420"/>
      <c r="K47" s="1760"/>
      <c r="L47" s="2487"/>
      <c r="M47" s="2480"/>
      <c r="N47" s="2480"/>
      <c r="O47" s="2480"/>
      <c r="P47" s="3437" t="str">
        <f>A47</f>
        <v>成交单价（元/平方米）</v>
      </c>
      <c r="Q47" s="3437"/>
      <c r="R47" s="3433">
        <f>E47</f>
        <v>85157</v>
      </c>
      <c r="S47" s="3433"/>
      <c r="T47" s="3433">
        <f>G47</f>
        <v>83992</v>
      </c>
      <c r="U47" s="3433"/>
      <c r="V47" s="3433">
        <f>I47</f>
        <v>67613</v>
      </c>
      <c r="W47" s="3433"/>
      <c r="X47" s="383"/>
      <c r="Y47" s="670"/>
      <c r="Z47" s="383"/>
      <c r="AA47" s="383"/>
      <c r="AB47" s="383"/>
      <c r="AC47" s="383"/>
    </row>
    <row r="48" spans="1:29" ht="15" thickBot="1">
      <c r="A48" s="421" t="s">
        <v>1709</v>
      </c>
      <c r="B48" s="422"/>
      <c r="C48" s="1077">
        <f>R49</f>
        <v>79208</v>
      </c>
      <c r="D48" s="2134" t="s">
        <v>2138</v>
      </c>
      <c r="E48" s="1078">
        <f>R48</f>
        <v>81040</v>
      </c>
      <c r="F48" s="2135"/>
      <c r="G48" s="1077">
        <f>T48</f>
        <v>79148</v>
      </c>
      <c r="H48" s="2135"/>
      <c r="I48" s="1078">
        <f>V48</f>
        <v>77436</v>
      </c>
      <c r="J48" s="2135"/>
      <c r="K48" s="2136">
        <f>F48+H48+J48</f>
        <v>0</v>
      </c>
      <c r="L48" s="2487"/>
      <c r="M48" s="2480"/>
      <c r="N48" s="2480"/>
      <c r="O48" s="2480"/>
      <c r="P48" s="3437" t="str">
        <f>A48</f>
        <v>比较价值（元/平方米）</v>
      </c>
      <c r="Q48" s="3437"/>
      <c r="R48" s="3433">
        <f>IF(F1="售价",ROUND(PRODUCT(R47,AA7:AA46),0),ROUND(PRODUCT(R47,AA7:AA46),1))</f>
        <v>81040</v>
      </c>
      <c r="S48" s="3433"/>
      <c r="T48" s="3433">
        <f>IF(F1="售价",ROUND(PRODUCT(T47,AB7:AB46),0),ROUND(PRODUCT(T47,AB7:AB46),1))</f>
        <v>79148</v>
      </c>
      <c r="U48" s="3433"/>
      <c r="V48" s="3433">
        <f>IF(F1="售价",ROUND(PRODUCT(V47,AC7:AC46),0),ROUND(PRODUCT(V47,AC7:AC46),1))</f>
        <v>77436</v>
      </c>
      <c r="W48" s="3433"/>
      <c r="X48" s="383"/>
      <c r="Y48" s="383"/>
      <c r="Z48" s="383"/>
      <c r="AA48" s="383"/>
      <c r="AB48" s="383"/>
      <c r="AC48" s="383"/>
    </row>
    <row r="49" spans="1:29" ht="15" thickBot="1">
      <c r="A49" s="425" t="s">
        <v>1710</v>
      </c>
      <c r="B49" s="426"/>
      <c r="C49" s="1079">
        <f>R49</f>
        <v>79208</v>
      </c>
      <c r="D49" s="349"/>
      <c r="E49" s="349"/>
      <c r="F49" s="349"/>
      <c r="G49" s="349"/>
      <c r="H49" s="349"/>
      <c r="I49" s="349"/>
      <c r="J49" s="349"/>
      <c r="K49" s="1761"/>
      <c r="L49" s="2487"/>
      <c r="M49" s="2480"/>
      <c r="N49" s="2480"/>
      <c r="O49" s="2480"/>
      <c r="P49" s="3445" t="str">
        <f>A49</f>
        <v>估价对象XX用房的比较价值（楼面单价，元/平方米）</v>
      </c>
      <c r="Q49" s="3446"/>
      <c r="R49" s="3476">
        <f>IF(F1="售价",ROUND(IF(D48="简单平均",AVERAGE(R48:V48),R48*F48+T48*H48+V48*J48),0),ROUND(IF(D48="简单平均",AVERAGE(R48:V48),R48*F48+T48*H48+V48*J48),1))</f>
        <v>79208</v>
      </c>
      <c r="S49" s="3476"/>
      <c r="T49" s="3476"/>
      <c r="U49" s="3476"/>
      <c r="V49" s="3476"/>
      <c r="W49" s="3476"/>
      <c r="X49" s="383"/>
      <c r="Y49" s="383"/>
      <c r="Z49" s="383"/>
      <c r="AA49" s="383"/>
      <c r="AB49" s="383"/>
      <c r="AC49" s="383"/>
    </row>
    <row r="50" spans="1:29">
      <c r="A50" s="2480"/>
      <c r="B50" s="2480"/>
      <c r="C50" s="2480"/>
      <c r="D50" s="2480"/>
      <c r="E50" s="3191"/>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5.0802073050345564E-2</v>
      </c>
      <c r="F52" s="433" t="str">
        <f>IF(OR(E52&gt;=0.3,E52&lt;=-0.3),"超过30%","")</f>
        <v/>
      </c>
      <c r="G52" s="432">
        <f>IF(G47&lt;G48,G48/G47-1,G47/G48-1)</f>
        <v>6.1201799161065384E-2</v>
      </c>
      <c r="H52" s="433" t="str">
        <f>IF(OR(G52&gt;=0.3,G52&lt;=-0.3),"超过30%","")</f>
        <v/>
      </c>
      <c r="I52" s="432">
        <f>IF(I47&lt;I48,I48/I47-1,I47/I48-1)</f>
        <v>0.14528271190451547</v>
      </c>
      <c r="J52" s="433" t="str">
        <f>IF(OR(I52&gt;=0.3,I52&lt;=-0.3),"超过30%","")</f>
        <v/>
      </c>
      <c r="K52" s="2492"/>
      <c r="L52" s="2488"/>
      <c r="M52" s="2480"/>
      <c r="N52" s="2480"/>
      <c r="O52" s="2480"/>
    </row>
    <row r="53" spans="1:29" ht="13.5" customHeight="1">
      <c r="A53" s="2480"/>
      <c r="B53" s="2480"/>
      <c r="C53" s="430" t="s">
        <v>1712</v>
      </c>
      <c r="D53" s="434"/>
      <c r="E53" s="432">
        <f>IF(E48&lt;G48,G48/E48-1,E48/G48-1)</f>
        <v>2.3904583817658143E-2</v>
      </c>
      <c r="F53" s="433" t="str">
        <f>IF(OR(E53&gt;=0.2,E53&lt;=-0.2),"超过20%","")</f>
        <v/>
      </c>
      <c r="G53" s="432">
        <f>IF(G48&lt;I48,I48/G48-1,G48/I48-1)</f>
        <v>2.2108579988635801E-2</v>
      </c>
      <c r="H53" s="433" t="str">
        <f>IF(OR(G53&gt;=0.2,G53&lt;=-0.2),"超过20%","")</f>
        <v/>
      </c>
      <c r="I53" s="432">
        <f>IF(I48&lt;E48,E48/I48-1,I48/E48-1)</f>
        <v>4.6541660209721503E-2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1.3870368606534011E-2</v>
      </c>
      <c r="F54" s="433" t="str">
        <f>IF(OR(E54&gt;=0.3,E54&lt;=-0.3),"超过30%","")</f>
        <v/>
      </c>
      <c r="G54" s="432">
        <f>IF(G47&lt;I47,I47/G47-1,G47/I47-1)</f>
        <v>0.24224631357874959</v>
      </c>
      <c r="H54" s="433" t="str">
        <f>IF(OR(G54&gt;=0.3,G54&lt;=-0.3),"超过30%","")</f>
        <v/>
      </c>
      <c r="I54" s="432">
        <f>IF(I47&lt;E47,E47/I47-1,I47/E47-1)</f>
        <v>0.25947672784819487</v>
      </c>
      <c r="J54" s="433" t="str">
        <f>IF(OR(I54&gt;=0.3,I54&lt;=-0.3),"超过30%","")</f>
        <v/>
      </c>
      <c r="K54" s="2495"/>
      <c r="L54" s="2489"/>
      <c r="M54" s="2490"/>
      <c r="N54" s="2490"/>
      <c r="O54" s="2490"/>
      <c r="P54" s="1763"/>
    </row>
    <row r="55" spans="1:29" s="435"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2.2" thickBot="1">
      <c r="A57" s="655" t="s">
        <v>1714</v>
      </c>
      <c r="B57" s="383"/>
      <c r="C57" s="656"/>
      <c r="D57" s="656"/>
      <c r="E57" s="656"/>
      <c r="F57" s="657"/>
      <c r="G57" s="657"/>
      <c r="H57" s="656"/>
      <c r="I57" s="656"/>
      <c r="J57" s="656"/>
      <c r="K57" s="882"/>
      <c r="L57" s="883"/>
      <c r="M57" s="881"/>
      <c r="N57" s="881"/>
      <c r="O57" s="881"/>
      <c r="P57" s="1764"/>
      <c r="Q57" s="437"/>
    </row>
    <row r="58" spans="1:29" s="440" customFormat="1" ht="14.4">
      <c r="A58" s="438" t="s">
        <v>1715</v>
      </c>
      <c r="B58" s="439"/>
      <c r="C58" s="1100" t="str">
        <f>YEAR(C7)&amp;"-"&amp;MONTH(C7)</f>
        <v>2023-4</v>
      </c>
      <c r="D58" s="1099">
        <f>EDATE(C58,-1)</f>
        <v>44986</v>
      </c>
      <c r="E58" s="1099">
        <f>EDATE(D58,-1)</f>
        <v>44958</v>
      </c>
      <c r="F58" s="1099">
        <f t="shared" ref="F58:O58" si="19">EDATE(E58,-1)</f>
        <v>44927</v>
      </c>
      <c r="G58" s="1099">
        <f t="shared" si="19"/>
        <v>44896</v>
      </c>
      <c r="H58" s="1099">
        <f t="shared" si="19"/>
        <v>44866</v>
      </c>
      <c r="I58" s="1099">
        <f t="shared" si="19"/>
        <v>44835</v>
      </c>
      <c r="J58" s="1099">
        <f t="shared" si="19"/>
        <v>44805</v>
      </c>
      <c r="K58" s="1099">
        <f t="shared" si="19"/>
        <v>44774</v>
      </c>
      <c r="L58" s="1099">
        <f t="shared" si="19"/>
        <v>44743</v>
      </c>
      <c r="M58" s="1099">
        <f t="shared" si="19"/>
        <v>44713</v>
      </c>
      <c r="N58" s="1099">
        <f t="shared" si="19"/>
        <v>44682</v>
      </c>
      <c r="O58" s="1099">
        <f t="shared" si="19"/>
        <v>44652</v>
      </c>
      <c r="P58" s="1095"/>
    </row>
    <row r="59" spans="1:29" s="100" customFormat="1">
      <c r="A59" s="441"/>
      <c r="B59" s="1765"/>
      <c r="C59" s="1097">
        <v>100</v>
      </c>
      <c r="D59" s="443"/>
      <c r="E59" s="444"/>
      <c r="F59" s="444"/>
      <c r="G59" s="444"/>
      <c r="H59" s="444"/>
      <c r="I59" s="444"/>
      <c r="J59" s="444"/>
      <c r="K59" s="444"/>
      <c r="L59" s="444"/>
      <c r="M59" s="445"/>
      <c r="N59" s="444"/>
      <c r="O59" s="445"/>
      <c r="P59" s="1766"/>
    </row>
    <row r="60" spans="1:29" s="100" customFormat="1" ht="15" thickBot="1">
      <c r="A60" s="447" t="s">
        <v>1716</v>
      </c>
      <c r="B60" s="448"/>
      <c r="C60" s="449"/>
      <c r="D60" s="450"/>
      <c r="E60" s="450"/>
      <c r="F60" s="450"/>
      <c r="G60" s="450"/>
      <c r="H60" s="450"/>
      <c r="I60" s="450"/>
      <c r="J60" s="450"/>
      <c r="K60" s="450"/>
      <c r="L60" s="450"/>
      <c r="M60" s="451"/>
      <c r="N60" s="450"/>
      <c r="O60" s="451"/>
      <c r="P60" s="1766"/>
      <c r="Q60" s="437"/>
    </row>
    <row r="61" spans="1:29" s="100" customFormat="1" ht="14.4">
      <c r="A61" s="453" t="s">
        <v>1717</v>
      </c>
      <c r="B61" s="442"/>
      <c r="C61" s="454" t="s">
        <v>1718</v>
      </c>
      <c r="D61" s="30"/>
      <c r="E61" s="30"/>
      <c r="F61" s="30"/>
      <c r="G61" s="30"/>
      <c r="H61" s="30"/>
      <c r="I61" s="30"/>
      <c r="J61" s="30"/>
      <c r="K61" s="30"/>
      <c r="L61" s="455"/>
      <c r="M61" s="456"/>
      <c r="N61" s="873"/>
      <c r="O61" s="873"/>
      <c r="P61" s="1767"/>
      <c r="Q61" s="437"/>
    </row>
    <row r="62" spans="1:29" s="100" customFormat="1" ht="14.4" thickBot="1">
      <c r="A62" s="453"/>
      <c r="B62" s="442"/>
      <c r="C62" s="443">
        <v>100</v>
      </c>
      <c r="D62" s="444"/>
      <c r="E62" s="444"/>
      <c r="F62" s="444"/>
      <c r="G62" s="444"/>
      <c r="H62" s="444"/>
      <c r="I62" s="444"/>
      <c r="J62" s="444"/>
      <c r="K62" s="444"/>
      <c r="L62" s="444"/>
      <c r="M62" s="446"/>
      <c r="N62" s="873"/>
      <c r="O62" s="873"/>
      <c r="P62" s="1766"/>
      <c r="Q62" s="437"/>
    </row>
    <row r="63" spans="1:29" ht="14.4">
      <c r="A63" s="377" t="s">
        <v>1719</v>
      </c>
      <c r="B63" s="458" t="s">
        <v>1685</v>
      </c>
      <c r="C63" s="459" t="str">
        <f>C9</f>
        <v>住宅</v>
      </c>
      <c r="D63" s="460"/>
      <c r="E63" s="460"/>
      <c r="F63" s="460"/>
      <c r="G63" s="460"/>
      <c r="H63" s="460"/>
      <c r="I63" s="460"/>
      <c r="J63" s="460"/>
      <c r="K63" s="461"/>
      <c r="L63" s="462"/>
      <c r="M63" s="463"/>
      <c r="N63" s="874"/>
      <c r="O63" s="874"/>
      <c r="P63" s="1768"/>
      <c r="Q63" s="437"/>
    </row>
    <row r="64" spans="1:29" ht="14.4" thickBot="1">
      <c r="A64" s="365"/>
      <c r="B64" s="464"/>
      <c r="C64" s="465">
        <v>100</v>
      </c>
      <c r="D64" s="465"/>
      <c r="E64" s="465"/>
      <c r="F64" s="465"/>
      <c r="G64" s="465"/>
      <c r="H64" s="465"/>
      <c r="I64" s="465"/>
      <c r="J64" s="465"/>
      <c r="K64" s="465"/>
      <c r="L64" s="465"/>
      <c r="M64" s="466"/>
      <c r="N64" s="875"/>
      <c r="O64" s="875"/>
      <c r="P64" s="1768"/>
      <c r="Q64" s="437"/>
    </row>
    <row r="65" spans="1:17" ht="29.4" thickTop="1">
      <c r="A65" s="365"/>
      <c r="B65" s="467" t="s">
        <v>1688</v>
      </c>
      <c r="C65" s="511"/>
      <c r="D65" s="511"/>
      <c r="E65" s="511"/>
      <c r="F65" s="511"/>
      <c r="G65" s="511"/>
      <c r="H65" s="511"/>
      <c r="I65" s="511"/>
      <c r="J65" s="511"/>
      <c r="K65" s="511"/>
      <c r="L65" s="511"/>
      <c r="M65" s="511"/>
      <c r="N65" s="875"/>
      <c r="O65" s="875"/>
      <c r="P65" s="1768"/>
      <c r="Q65" s="437"/>
    </row>
    <row r="66" spans="1:17" ht="14.4" thickBot="1">
      <c r="A66" s="365"/>
      <c r="B66" s="472"/>
      <c r="C66" s="465"/>
      <c r="D66" s="465"/>
      <c r="E66" s="465"/>
      <c r="F66" s="465"/>
      <c r="G66" s="465"/>
      <c r="H66" s="465"/>
      <c r="I66" s="465"/>
      <c r="J66" s="465"/>
      <c r="K66" s="465"/>
      <c r="L66" s="465"/>
      <c r="M66" s="466"/>
      <c r="N66" s="875"/>
      <c r="O66" s="875"/>
      <c r="P66" s="1768"/>
      <c r="Q66" s="437"/>
    </row>
    <row r="67" spans="1:17" ht="15" thickTop="1">
      <c r="A67" s="365"/>
      <c r="B67" s="475" t="s">
        <v>1689</v>
      </c>
      <c r="C67" s="476" t="str">
        <f>C68&amp;"（含）"&amp;"-"&amp;D68</f>
        <v>0（含）-1</v>
      </c>
      <c r="D67" s="476" t="str">
        <f t="shared" ref="D67:L67" si="20">D68&amp;"（含）"&amp;"-"&amp;E68</f>
        <v>1（含）-2</v>
      </c>
      <c r="E67" s="476" t="str">
        <f t="shared" si="20"/>
        <v>2（含）-3</v>
      </c>
      <c r="F67" s="476" t="str">
        <f t="shared" si="20"/>
        <v>3（含）-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5"/>
      <c r="O67" s="875"/>
      <c r="P67" s="1768"/>
      <c r="Q67" s="437"/>
    </row>
    <row r="68" spans="1:17">
      <c r="A68" s="365"/>
      <c r="B68" s="477"/>
      <c r="C68" s="478">
        <v>0</v>
      </c>
      <c r="D68" s="478">
        <v>1</v>
      </c>
      <c r="E68" s="478">
        <v>2</v>
      </c>
      <c r="F68" s="478">
        <v>3</v>
      </c>
      <c r="G68" s="478"/>
      <c r="H68" s="478"/>
      <c r="I68" s="478"/>
      <c r="J68" s="478"/>
      <c r="K68" s="479"/>
      <c r="L68" s="480"/>
      <c r="M68" s="481"/>
      <c r="N68" s="874"/>
      <c r="O68" s="874"/>
      <c r="P68" s="1768"/>
      <c r="Q68" s="437"/>
    </row>
    <row r="69" spans="1:17" ht="14.4" thickBot="1">
      <c r="A69" s="365"/>
      <c r="B69" s="464"/>
      <c r="C69" s="473">
        <v>100</v>
      </c>
      <c r="D69" s="473">
        <f t="shared" ref="D69:M69" si="21">C69-$K11</f>
        <v>98</v>
      </c>
      <c r="E69" s="473">
        <f t="shared" si="21"/>
        <v>96</v>
      </c>
      <c r="F69" s="473">
        <f t="shared" si="21"/>
        <v>94</v>
      </c>
      <c r="G69" s="473">
        <f t="shared" si="21"/>
        <v>92</v>
      </c>
      <c r="H69" s="473">
        <f t="shared" si="21"/>
        <v>90</v>
      </c>
      <c r="I69" s="473">
        <f t="shared" si="21"/>
        <v>88</v>
      </c>
      <c r="J69" s="473">
        <f t="shared" si="21"/>
        <v>86</v>
      </c>
      <c r="K69" s="473">
        <f t="shared" si="21"/>
        <v>84</v>
      </c>
      <c r="L69" s="473">
        <f t="shared" si="21"/>
        <v>82</v>
      </c>
      <c r="M69" s="474">
        <f t="shared" si="21"/>
        <v>80</v>
      </c>
      <c r="N69" s="875"/>
      <c r="O69" s="875"/>
      <c r="P69" s="1768"/>
      <c r="Q69" s="437"/>
    </row>
    <row r="70" spans="1:17" s="406" customFormat="1" ht="14.4" thickTop="1">
      <c r="A70" s="482"/>
      <c r="B70" s="467">
        <f>B12</f>
        <v>111</v>
      </c>
      <c r="C70" s="483"/>
      <c r="D70" s="483"/>
      <c r="E70" s="483"/>
      <c r="F70" s="483"/>
      <c r="G70" s="483"/>
      <c r="H70" s="484"/>
      <c r="I70" s="484"/>
      <c r="J70" s="484"/>
      <c r="K70" s="484"/>
      <c r="L70" s="485"/>
      <c r="M70" s="486"/>
      <c r="N70" s="876"/>
      <c r="O70" s="876"/>
      <c r="P70" s="1769"/>
      <c r="Q70" s="488"/>
    </row>
    <row r="71" spans="1:17" s="406" customFormat="1" ht="14.4" thickBot="1">
      <c r="A71" s="482"/>
      <c r="B71" s="472"/>
      <c r="C71" s="489"/>
      <c r="D71" s="465"/>
      <c r="E71" s="465"/>
      <c r="F71" s="465"/>
      <c r="G71" s="465"/>
      <c r="H71" s="465"/>
      <c r="I71" s="465"/>
      <c r="J71" s="465"/>
      <c r="K71" s="465"/>
      <c r="L71" s="465"/>
      <c r="M71" s="466"/>
      <c r="N71" s="875"/>
      <c r="O71" s="875"/>
      <c r="P71" s="1769"/>
      <c r="Q71" s="488"/>
    </row>
    <row r="72" spans="1:17" s="406" customFormat="1" ht="14.4" thickTop="1">
      <c r="A72" s="482"/>
      <c r="B72" s="467">
        <f>B13</f>
        <v>111</v>
      </c>
      <c r="C72" s="483"/>
      <c r="D72" s="483"/>
      <c r="E72" s="483"/>
      <c r="F72" s="483"/>
      <c r="G72" s="483"/>
      <c r="H72" s="484"/>
      <c r="I72" s="484"/>
      <c r="J72" s="484"/>
      <c r="K72" s="484"/>
      <c r="L72" s="485"/>
      <c r="M72" s="486"/>
      <c r="N72" s="876"/>
      <c r="O72" s="876"/>
      <c r="P72" s="1770"/>
      <c r="Q72" s="490"/>
    </row>
    <row r="73" spans="1:17" s="406" customFormat="1" ht="14.4" thickBot="1">
      <c r="A73" s="482"/>
      <c r="B73" s="472"/>
      <c r="C73" s="489"/>
      <c r="D73" s="489"/>
      <c r="E73" s="489"/>
      <c r="F73" s="489"/>
      <c r="G73" s="489"/>
      <c r="H73" s="491"/>
      <c r="I73" s="491"/>
      <c r="J73" s="491"/>
      <c r="K73" s="491"/>
      <c r="L73" s="491"/>
      <c r="M73" s="492"/>
      <c r="N73" s="876"/>
      <c r="O73" s="876"/>
      <c r="P73" s="1769"/>
      <c r="Q73" s="488"/>
    </row>
    <row r="74" spans="1:17" s="406" customFormat="1" ht="14.4" thickTop="1">
      <c r="A74" s="482"/>
      <c r="B74" s="475">
        <f>B14</f>
        <v>111</v>
      </c>
      <c r="C74" s="483"/>
      <c r="D74" s="483"/>
      <c r="E74" s="483"/>
      <c r="F74" s="483"/>
      <c r="G74" s="30"/>
      <c r="H74" s="493"/>
      <c r="I74" s="493"/>
      <c r="J74" s="493"/>
      <c r="K74" s="493"/>
      <c r="L74" s="494"/>
      <c r="M74" s="495"/>
      <c r="N74" s="876"/>
      <c r="O74" s="876"/>
      <c r="P74" s="1771"/>
      <c r="Q74" s="488"/>
    </row>
    <row r="75" spans="1:17" s="406" customFormat="1" ht="14.4" thickBot="1">
      <c r="A75" s="497"/>
      <c r="B75" s="498"/>
      <c r="C75" s="499"/>
      <c r="D75" s="499"/>
      <c r="E75" s="499"/>
      <c r="F75" s="499"/>
      <c r="G75" s="499"/>
      <c r="H75" s="500"/>
      <c r="I75" s="500"/>
      <c r="J75" s="500"/>
      <c r="K75" s="500"/>
      <c r="L75" s="500"/>
      <c r="M75" s="501"/>
      <c r="N75" s="876"/>
      <c r="O75" s="876"/>
      <c r="P75" s="1769"/>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4"/>
      <c r="O76" s="874"/>
      <c r="P76" s="1772"/>
      <c r="Q76" s="437"/>
    </row>
    <row r="77" spans="1:17" ht="14.4" thickBot="1">
      <c r="A77" s="365"/>
      <c r="B77" s="472"/>
      <c r="C77" s="473">
        <v>100</v>
      </c>
      <c r="D77" s="473">
        <f>C77-$K15</f>
        <v>97</v>
      </c>
      <c r="E77" s="473">
        <f>D77-$K15</f>
        <v>94</v>
      </c>
      <c r="F77" s="473">
        <f>E77-$K15</f>
        <v>91</v>
      </c>
      <c r="G77" s="473">
        <f>F77-$K15</f>
        <v>88</v>
      </c>
      <c r="H77" s="473"/>
      <c r="I77" s="473"/>
      <c r="J77" s="473"/>
      <c r="K77" s="473"/>
      <c r="L77" s="473"/>
      <c r="M77" s="474"/>
      <c r="N77" s="875"/>
      <c r="O77" s="875"/>
      <c r="P77" s="1768"/>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4"/>
      <c r="O78" s="874"/>
      <c r="P78" s="1768"/>
      <c r="Q78" s="437"/>
    </row>
    <row r="79" spans="1:17" ht="14.4" thickBot="1">
      <c r="A79" s="365"/>
      <c r="B79" s="472"/>
      <c r="C79" s="473">
        <v>100</v>
      </c>
      <c r="D79" s="473">
        <f>C79-$K17</f>
        <v>98</v>
      </c>
      <c r="E79" s="473">
        <f>D79-$K17</f>
        <v>96</v>
      </c>
      <c r="F79" s="473">
        <f>E79-$K17</f>
        <v>94</v>
      </c>
      <c r="G79" s="473">
        <f>F79-$K17</f>
        <v>92</v>
      </c>
      <c r="H79" s="473"/>
      <c r="I79" s="473"/>
      <c r="J79" s="473"/>
      <c r="K79" s="473"/>
      <c r="L79" s="473"/>
      <c r="M79" s="474"/>
      <c r="N79" s="875"/>
      <c r="O79" s="875"/>
      <c r="P79" s="1768"/>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4"/>
      <c r="O80" s="874"/>
      <c r="P80" s="1768"/>
      <c r="Q80" s="437"/>
    </row>
    <row r="81" spans="1:17" ht="14.4" thickBot="1">
      <c r="A81" s="365"/>
      <c r="B81" s="472"/>
      <c r="C81" s="473">
        <v>100</v>
      </c>
      <c r="D81" s="473">
        <f>C81-$K19</f>
        <v>98</v>
      </c>
      <c r="E81" s="473">
        <f>D81-$K19</f>
        <v>96</v>
      </c>
      <c r="F81" s="473">
        <f>E81-$K19</f>
        <v>94</v>
      </c>
      <c r="G81" s="473">
        <f>F81-$K19</f>
        <v>92</v>
      </c>
      <c r="H81" s="473"/>
      <c r="I81" s="473"/>
      <c r="J81" s="473"/>
      <c r="K81" s="473"/>
      <c r="L81" s="473"/>
      <c r="M81" s="474"/>
      <c r="N81" s="875"/>
      <c r="O81" s="875"/>
      <c r="P81" s="1768"/>
      <c r="Q81" s="437"/>
    </row>
    <row r="82" spans="1:17" ht="15" thickTop="1">
      <c r="A82" s="365"/>
      <c r="B82" s="475" t="s">
        <v>1260</v>
      </c>
      <c r="C82" s="468" t="s">
        <v>1728</v>
      </c>
      <c r="D82" s="468" t="s">
        <v>1729</v>
      </c>
      <c r="E82" s="468" t="s">
        <v>1730</v>
      </c>
      <c r="F82" s="468" t="s">
        <v>1731</v>
      </c>
      <c r="G82" s="468" t="s">
        <v>1732</v>
      </c>
      <c r="H82" s="468"/>
      <c r="I82" s="468"/>
      <c r="J82" s="468"/>
      <c r="K82" s="468"/>
      <c r="L82" s="468"/>
      <c r="M82" s="1058"/>
      <c r="N82" s="875"/>
      <c r="O82" s="875"/>
      <c r="P82" s="1768"/>
      <c r="Q82" s="437"/>
    </row>
    <row r="83" spans="1:17" ht="14.4" thickBot="1">
      <c r="A83" s="365"/>
      <c r="B83" s="475"/>
      <c r="C83" s="579">
        <v>100</v>
      </c>
      <c r="D83" s="579">
        <f>C83-$K21</f>
        <v>98</v>
      </c>
      <c r="E83" s="579">
        <f t="shared" ref="E83:G83" si="22">D83-$K21</f>
        <v>96</v>
      </c>
      <c r="F83" s="579">
        <f t="shared" si="22"/>
        <v>94</v>
      </c>
      <c r="G83" s="579">
        <f t="shared" si="22"/>
        <v>92</v>
      </c>
      <c r="H83" s="579"/>
      <c r="I83" s="579"/>
      <c r="J83" s="579"/>
      <c r="K83" s="579"/>
      <c r="L83" s="579"/>
      <c r="M83" s="387"/>
      <c r="N83" s="875"/>
      <c r="O83" s="875"/>
      <c r="P83" s="1768"/>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4"/>
      <c r="O84" s="874"/>
      <c r="P84" s="1768"/>
      <c r="Q84" s="437"/>
    </row>
    <row r="85" spans="1:17" ht="14.4" thickBot="1">
      <c r="A85" s="365"/>
      <c r="B85" s="472"/>
      <c r="C85" s="473">
        <v>100</v>
      </c>
      <c r="D85" s="473">
        <f>C85-$K23</f>
        <v>98</v>
      </c>
      <c r="E85" s="473">
        <f>D85-$K23</f>
        <v>96</v>
      </c>
      <c r="F85" s="473">
        <f>E85-$K23</f>
        <v>94</v>
      </c>
      <c r="G85" s="473">
        <f>F85-$K23</f>
        <v>92</v>
      </c>
      <c r="H85" s="473"/>
      <c r="I85" s="473"/>
      <c r="J85" s="473"/>
      <c r="K85" s="473"/>
      <c r="L85" s="473"/>
      <c r="M85" s="474"/>
      <c r="N85" s="875"/>
      <c r="O85" s="875"/>
      <c r="P85" s="1768"/>
      <c r="Q85" s="437"/>
    </row>
    <row r="86" spans="1:17" s="100" customFormat="1" ht="15" thickTop="1">
      <c r="A86" s="368"/>
      <c r="B86" s="467" t="s">
        <v>1734</v>
      </c>
      <c r="C86" s="483"/>
      <c r="D86" s="483"/>
      <c r="E86" s="483"/>
      <c r="F86" s="483"/>
      <c r="G86" s="483"/>
      <c r="H86" s="483"/>
      <c r="I86" s="483"/>
      <c r="J86" s="483"/>
      <c r="K86" s="483"/>
      <c r="L86" s="508"/>
      <c r="M86" s="509"/>
      <c r="N86" s="873"/>
      <c r="O86" s="873"/>
      <c r="P86" s="1768"/>
      <c r="Q86" s="437"/>
    </row>
    <row r="87" spans="1:17" s="100"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5"/>
      <c r="O87" s="875"/>
      <c r="P87" s="1768"/>
      <c r="Q87" s="437"/>
    </row>
    <row r="88" spans="1:17" s="100" customFormat="1" ht="15" thickTop="1">
      <c r="A88" s="368"/>
      <c r="B88" s="467" t="s">
        <v>1735</v>
      </c>
      <c r="C88" s="483"/>
      <c r="D88" s="483"/>
      <c r="E88" s="483"/>
      <c r="F88" s="1773"/>
      <c r="G88" s="483"/>
      <c r="H88" s="483"/>
      <c r="I88" s="483"/>
      <c r="J88" s="483"/>
      <c r="K88" s="483"/>
      <c r="L88" s="483"/>
      <c r="M88" s="509"/>
      <c r="N88" s="873"/>
      <c r="O88" s="873"/>
      <c r="P88" s="1768"/>
      <c r="Q88" s="437"/>
    </row>
    <row r="89" spans="1:17" s="100"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5"/>
      <c r="O89" s="875"/>
      <c r="P89" s="1768"/>
      <c r="Q89" s="437"/>
    </row>
    <row r="90" spans="1:17" s="406" customFormat="1" ht="14.4" thickTop="1">
      <c r="A90" s="482"/>
      <c r="B90" s="467">
        <f>B27</f>
        <v>111</v>
      </c>
      <c r="C90" s="483"/>
      <c r="D90" s="483"/>
      <c r="E90" s="483"/>
      <c r="F90" s="483"/>
      <c r="G90" s="483"/>
      <c r="H90" s="484"/>
      <c r="I90" s="484"/>
      <c r="J90" s="484"/>
      <c r="K90" s="484"/>
      <c r="L90" s="485"/>
      <c r="M90" s="486"/>
      <c r="N90" s="876"/>
      <c r="O90" s="876"/>
      <c r="P90" s="1769"/>
      <c r="Q90" s="488"/>
    </row>
    <row r="91" spans="1:17" s="406" customFormat="1" ht="14.4" thickBot="1">
      <c r="A91" s="482"/>
      <c r="B91" s="472"/>
      <c r="C91" s="489"/>
      <c r="D91" s="489"/>
      <c r="E91" s="489"/>
      <c r="F91" s="489"/>
      <c r="G91" s="489"/>
      <c r="H91" s="491"/>
      <c r="I91" s="491"/>
      <c r="J91" s="491"/>
      <c r="K91" s="491"/>
      <c r="L91" s="491"/>
      <c r="M91" s="492"/>
      <c r="N91" s="876"/>
      <c r="O91" s="876"/>
      <c r="P91" s="1769"/>
      <c r="Q91" s="488"/>
    </row>
    <row r="92" spans="1:17" ht="14.4" thickTop="1">
      <c r="A92" s="365"/>
      <c r="B92" s="467">
        <f>B28</f>
        <v>111</v>
      </c>
      <c r="C92" s="483"/>
      <c r="D92" s="483"/>
      <c r="E92" s="483"/>
      <c r="F92" s="483"/>
      <c r="G92" s="511"/>
      <c r="H92" s="511"/>
      <c r="I92" s="511"/>
      <c r="J92" s="511"/>
      <c r="K92" s="512"/>
      <c r="L92" s="513"/>
      <c r="M92" s="514"/>
      <c r="N92" s="874"/>
      <c r="O92" s="874"/>
      <c r="P92" s="1768"/>
      <c r="Q92" s="437"/>
    </row>
    <row r="93" spans="1:17" ht="14.4" thickBot="1">
      <c r="A93" s="365"/>
      <c r="B93" s="472"/>
      <c r="C93" s="489"/>
      <c r="D93" s="465"/>
      <c r="E93" s="465"/>
      <c r="F93" s="465"/>
      <c r="G93" s="465"/>
      <c r="H93" s="465"/>
      <c r="I93" s="465"/>
      <c r="J93" s="465"/>
      <c r="K93" s="465"/>
      <c r="L93" s="465"/>
      <c r="M93" s="466"/>
      <c r="N93" s="875"/>
      <c r="O93" s="875"/>
      <c r="P93" s="1768"/>
      <c r="Q93" s="437"/>
    </row>
    <row r="94" spans="1:17" ht="14.4" thickTop="1">
      <c r="A94" s="365"/>
      <c r="B94" s="467">
        <f>B29</f>
        <v>111</v>
      </c>
      <c r="C94" s="483"/>
      <c r="D94" s="483"/>
      <c r="E94" s="483"/>
      <c r="F94" s="483"/>
      <c r="G94" s="511"/>
      <c r="H94" s="511"/>
      <c r="I94" s="511"/>
      <c r="J94" s="511"/>
      <c r="K94" s="512"/>
      <c r="L94" s="513"/>
      <c r="M94" s="514"/>
      <c r="N94" s="874"/>
      <c r="O94" s="874"/>
      <c r="P94" s="1768"/>
      <c r="Q94" s="437"/>
    </row>
    <row r="95" spans="1:17" ht="14.4" thickBot="1">
      <c r="A95" s="365"/>
      <c r="B95" s="472"/>
      <c r="C95" s="489"/>
      <c r="D95" s="489"/>
      <c r="E95" s="489"/>
      <c r="F95" s="489"/>
      <c r="G95" s="465"/>
      <c r="H95" s="465"/>
      <c r="I95" s="465"/>
      <c r="J95" s="465"/>
      <c r="K95" s="465"/>
      <c r="L95" s="465"/>
      <c r="M95" s="466"/>
      <c r="N95" s="875"/>
      <c r="O95" s="875"/>
      <c r="P95" s="1768"/>
      <c r="Q95" s="437"/>
    </row>
    <row r="96" spans="1:17" ht="14.4" thickTop="1">
      <c r="A96" s="365"/>
      <c r="B96" s="467">
        <f>B30</f>
        <v>111</v>
      </c>
      <c r="C96" s="483"/>
      <c r="D96" s="483"/>
      <c r="E96" s="483"/>
      <c r="F96" s="483"/>
      <c r="G96" s="511"/>
      <c r="H96" s="511"/>
      <c r="I96" s="511"/>
      <c r="J96" s="511"/>
      <c r="K96" s="512"/>
      <c r="L96" s="513"/>
      <c r="M96" s="514"/>
      <c r="N96" s="874"/>
      <c r="O96" s="874"/>
      <c r="P96" s="1768"/>
      <c r="Q96" s="437"/>
    </row>
    <row r="97" spans="1:17" ht="14.4" thickBot="1">
      <c r="A97" s="365"/>
      <c r="B97" s="472"/>
      <c r="C97" s="499"/>
      <c r="D97" s="499"/>
      <c r="E97" s="499"/>
      <c r="F97" s="499"/>
      <c r="G97" s="465"/>
      <c r="H97" s="465"/>
      <c r="I97" s="465"/>
      <c r="J97" s="465"/>
      <c r="K97" s="465"/>
      <c r="L97" s="465"/>
      <c r="M97" s="466"/>
      <c r="N97" s="875"/>
      <c r="O97" s="875"/>
      <c r="P97" s="1768"/>
      <c r="Q97" s="437"/>
    </row>
    <row r="98" spans="1:17" ht="14.4" thickTop="1">
      <c r="A98" s="365"/>
      <c r="B98" s="475">
        <f>B31</f>
        <v>111</v>
      </c>
      <c r="C98" s="515"/>
      <c r="D98" s="515"/>
      <c r="E98" s="515"/>
      <c r="F98" s="515"/>
      <c r="G98" s="515"/>
      <c r="H98" s="515"/>
      <c r="I98" s="515"/>
      <c r="J98" s="515"/>
      <c r="K98" s="516"/>
      <c r="L98" s="517"/>
      <c r="M98" s="518"/>
      <c r="N98" s="874"/>
      <c r="O98" s="874"/>
      <c r="P98" s="1768"/>
      <c r="Q98" s="437"/>
    </row>
    <row r="99" spans="1:17" ht="14.4" thickBot="1">
      <c r="A99" s="373"/>
      <c r="B99" s="498"/>
      <c r="C99" s="519"/>
      <c r="D99" s="519"/>
      <c r="E99" s="519"/>
      <c r="F99" s="519"/>
      <c r="G99" s="519"/>
      <c r="H99" s="519"/>
      <c r="I99" s="519"/>
      <c r="J99" s="519"/>
      <c r="K99" s="519"/>
      <c r="L99" s="519"/>
      <c r="M99" s="520"/>
      <c r="N99" s="875"/>
      <c r="O99" s="875"/>
      <c r="P99" s="1768"/>
      <c r="Q99" s="437"/>
    </row>
    <row r="100" spans="1:17" ht="28.8">
      <c r="A100" s="377" t="s">
        <v>1694</v>
      </c>
      <c r="B100" s="458" t="s">
        <v>1736</v>
      </c>
      <c r="C100" s="3160" t="s">
        <v>3572</v>
      </c>
      <c r="D100" s="3160" t="s">
        <v>3574</v>
      </c>
      <c r="E100" s="3160" t="s">
        <v>3575</v>
      </c>
      <c r="F100" s="460"/>
      <c r="G100" s="460"/>
      <c r="H100" s="460"/>
      <c r="I100" s="460"/>
      <c r="J100" s="460"/>
      <c r="K100" s="461"/>
      <c r="L100" s="462"/>
      <c r="M100" s="463"/>
      <c r="N100" s="874"/>
      <c r="O100" s="874"/>
      <c r="P100" s="1768"/>
      <c r="Q100" s="437"/>
    </row>
    <row r="101" spans="1:17" ht="14.4" thickBot="1">
      <c r="A101" s="365"/>
      <c r="B101" s="472"/>
      <c r="C101" s="473">
        <v>100</v>
      </c>
      <c r="D101" s="473">
        <f t="shared" ref="D101:M101" si="25">C101-$K32</f>
        <v>98</v>
      </c>
      <c r="E101" s="473">
        <f t="shared" si="25"/>
        <v>96</v>
      </c>
      <c r="F101" s="473">
        <f t="shared" si="25"/>
        <v>94</v>
      </c>
      <c r="G101" s="473">
        <f t="shared" si="25"/>
        <v>92</v>
      </c>
      <c r="H101" s="473">
        <f t="shared" si="25"/>
        <v>90</v>
      </c>
      <c r="I101" s="473">
        <f t="shared" si="25"/>
        <v>88</v>
      </c>
      <c r="J101" s="473">
        <f t="shared" si="25"/>
        <v>86</v>
      </c>
      <c r="K101" s="473">
        <f t="shared" si="25"/>
        <v>84</v>
      </c>
      <c r="L101" s="473">
        <f t="shared" si="25"/>
        <v>82</v>
      </c>
      <c r="M101" s="473">
        <f t="shared" si="25"/>
        <v>80</v>
      </c>
      <c r="N101" s="875"/>
      <c r="O101" s="875"/>
      <c r="P101" s="1768"/>
      <c r="Q101" s="437"/>
    </row>
    <row r="102" spans="1:17" ht="25.5" customHeight="1" thickTop="1">
      <c r="A102" s="365"/>
      <c r="B102" s="467" t="s">
        <v>1737</v>
      </c>
      <c r="C102" s="507" t="str">
        <f>C103&amp;"(含)"&amp;"-"&amp;D103</f>
        <v>0(含)-50000</v>
      </c>
      <c r="D102" s="507" t="str">
        <f t="shared" ref="D102:L102" si="26">D103&amp;"(含)"&amp;"-"&amp;E103</f>
        <v>50000(含)-100000</v>
      </c>
      <c r="E102" s="507" t="str">
        <f t="shared" si="26"/>
        <v>100000(含)-150000</v>
      </c>
      <c r="F102" s="507" t="str">
        <f t="shared" si="26"/>
        <v>150000(含)-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3"/>
      <c r="O102" s="873"/>
      <c r="P102" s="1768"/>
      <c r="Q102" s="437"/>
    </row>
    <row r="103" spans="1:17" s="406" customFormat="1">
      <c r="A103" s="404"/>
      <c r="B103" s="521"/>
      <c r="C103" s="6">
        <v>0</v>
      </c>
      <c r="D103" s="6">
        <v>50000</v>
      </c>
      <c r="E103" s="6">
        <v>100000</v>
      </c>
      <c r="F103" s="6">
        <v>150000</v>
      </c>
      <c r="G103" s="6"/>
      <c r="H103" s="6"/>
      <c r="I103" s="6"/>
      <c r="J103" s="522"/>
      <c r="K103" s="522"/>
      <c r="L103" s="523"/>
      <c r="M103" s="524"/>
      <c r="N103" s="876"/>
      <c r="O103" s="876"/>
      <c r="P103" s="1769"/>
      <c r="Q103" s="488"/>
    </row>
    <row r="104" spans="1:17" s="406" customFormat="1" ht="14.4" thickBot="1">
      <c r="A104" s="482"/>
      <c r="B104" s="472"/>
      <c r="C104" s="489">
        <v>100</v>
      </c>
      <c r="D104" s="465">
        <v>101</v>
      </c>
      <c r="E104" s="465">
        <v>102</v>
      </c>
      <c r="F104" s="465">
        <v>103</v>
      </c>
      <c r="G104" s="465"/>
      <c r="H104" s="465"/>
      <c r="I104" s="465"/>
      <c r="J104" s="465"/>
      <c r="K104" s="465"/>
      <c r="L104" s="465"/>
      <c r="M104" s="465"/>
      <c r="N104" s="875"/>
      <c r="O104" s="875"/>
      <c r="P104" s="1769"/>
      <c r="Q104" s="488"/>
    </row>
    <row r="105" spans="1:17" ht="15" thickTop="1">
      <c r="A105" s="407"/>
      <c r="B105" s="467" t="s">
        <v>1738</v>
      </c>
      <c r="C105" s="3164" t="s">
        <v>3577</v>
      </c>
      <c r="D105" s="483"/>
      <c r="E105" s="511"/>
      <c r="F105" s="511"/>
      <c r="G105" s="511"/>
      <c r="H105" s="511"/>
      <c r="I105" s="511"/>
      <c r="J105" s="511"/>
      <c r="K105" s="512"/>
      <c r="L105" s="513"/>
      <c r="M105" s="514"/>
      <c r="N105" s="874"/>
      <c r="O105" s="874"/>
      <c r="P105" s="1768"/>
      <c r="Q105" s="437"/>
    </row>
    <row r="106" spans="1:17" ht="14.4" thickBot="1">
      <c r="A106" s="365"/>
      <c r="B106" s="472"/>
      <c r="C106" s="473">
        <v>100</v>
      </c>
      <c r="D106" s="473">
        <f t="shared" ref="D106:M106" si="27">C106-$K34</f>
        <v>97</v>
      </c>
      <c r="E106" s="473">
        <f t="shared" si="27"/>
        <v>94</v>
      </c>
      <c r="F106" s="473">
        <f t="shared" si="27"/>
        <v>91</v>
      </c>
      <c r="G106" s="473">
        <f t="shared" si="27"/>
        <v>88</v>
      </c>
      <c r="H106" s="473">
        <f t="shared" si="27"/>
        <v>85</v>
      </c>
      <c r="I106" s="473">
        <f t="shared" si="27"/>
        <v>82</v>
      </c>
      <c r="J106" s="473">
        <f t="shared" si="27"/>
        <v>79</v>
      </c>
      <c r="K106" s="473">
        <f t="shared" si="27"/>
        <v>76</v>
      </c>
      <c r="L106" s="473">
        <f t="shared" si="27"/>
        <v>73</v>
      </c>
      <c r="M106" s="473">
        <f t="shared" si="27"/>
        <v>70</v>
      </c>
      <c r="N106" s="875"/>
      <c r="O106" s="875"/>
      <c r="P106" s="1768"/>
      <c r="Q106" s="437"/>
    </row>
    <row r="107" spans="1:17" ht="15" thickTop="1">
      <c r="A107" s="407"/>
      <c r="B107" s="467" t="s">
        <v>1739</v>
      </c>
      <c r="C107" s="3176" t="s">
        <v>3579</v>
      </c>
      <c r="D107" s="3176" t="s">
        <v>3581</v>
      </c>
      <c r="E107" s="511"/>
      <c r="F107" s="511"/>
      <c r="G107" s="511"/>
      <c r="H107" s="511"/>
      <c r="I107" s="511"/>
      <c r="J107" s="511"/>
      <c r="K107" s="512"/>
      <c r="L107" s="513"/>
      <c r="M107" s="514"/>
      <c r="N107" s="874"/>
      <c r="O107" s="874"/>
      <c r="P107" s="1768"/>
      <c r="Q107" s="437"/>
    </row>
    <row r="108" spans="1:17" ht="14.4" thickBot="1">
      <c r="A108" s="365"/>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5"/>
      <c r="O108" s="875"/>
      <c r="P108" s="1768"/>
      <c r="Q108" s="437"/>
    </row>
    <row r="109" spans="1:17" ht="15" thickTop="1">
      <c r="A109" s="407"/>
      <c r="B109" s="467" t="s">
        <v>1740</v>
      </c>
      <c r="C109" s="3164" t="s">
        <v>3583</v>
      </c>
      <c r="D109" s="3164" t="s">
        <v>3585</v>
      </c>
      <c r="E109" s="3164" t="s">
        <v>3586</v>
      </c>
      <c r="F109" s="3176" t="s">
        <v>3588</v>
      </c>
      <c r="G109" s="511"/>
      <c r="H109" s="511"/>
      <c r="I109" s="511"/>
      <c r="J109" s="511"/>
      <c r="K109" s="512"/>
      <c r="L109" s="513"/>
      <c r="M109" s="514"/>
      <c r="N109" s="874"/>
      <c r="O109" s="874"/>
      <c r="P109" s="1768"/>
      <c r="Q109" s="437"/>
    </row>
    <row r="110" spans="1:17" ht="14.4"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5"/>
      <c r="O110" s="875"/>
      <c r="P110" s="1768"/>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9"/>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6"/>
      <c r="O112" s="876"/>
      <c r="P112" s="1769"/>
      <c r="Q112" s="488"/>
    </row>
    <row r="113" spans="1:17" s="406" customFormat="1" ht="14.4"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6"/>
      <c r="O113" s="876"/>
      <c r="P113" s="1769"/>
      <c r="Q113" s="488"/>
    </row>
    <row r="114" spans="1:17" ht="15" thickTop="1">
      <c r="A114" s="407"/>
      <c r="B114" s="467" t="s">
        <v>1741</v>
      </c>
      <c r="C114" s="3164" t="s">
        <v>3590</v>
      </c>
      <c r="D114" s="3164" t="s">
        <v>3592</v>
      </c>
      <c r="E114" s="511"/>
      <c r="F114" s="511"/>
      <c r="G114" s="511"/>
      <c r="H114" s="511"/>
      <c r="I114" s="511"/>
      <c r="J114" s="511"/>
      <c r="K114" s="512"/>
      <c r="L114" s="513"/>
      <c r="M114" s="514"/>
      <c r="N114" s="874"/>
      <c r="O114" s="874"/>
      <c r="P114" s="1768"/>
      <c r="Q114" s="437"/>
    </row>
    <row r="115" spans="1:17" ht="14.4"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5"/>
      <c r="O115" s="875"/>
      <c r="P115" s="1768"/>
      <c r="Q115" s="437"/>
    </row>
    <row r="116" spans="1:17" ht="15" thickTop="1">
      <c r="A116" s="407"/>
      <c r="B116" s="467" t="s">
        <v>1742</v>
      </c>
      <c r="C116" s="3164" t="s">
        <v>3593</v>
      </c>
      <c r="D116" s="3164" t="s">
        <v>3594</v>
      </c>
      <c r="E116" s="3164" t="s">
        <v>3595</v>
      </c>
      <c r="F116" s="3164" t="s">
        <v>3596</v>
      </c>
      <c r="G116" s="483"/>
      <c r="H116" s="511"/>
      <c r="I116" s="511"/>
      <c r="J116" s="511"/>
      <c r="K116" s="512"/>
      <c r="L116" s="513"/>
      <c r="M116" s="514"/>
      <c r="N116" s="874"/>
      <c r="O116" s="874"/>
      <c r="P116" s="1768"/>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5"/>
      <c r="O117" s="875"/>
      <c r="P117" s="1768"/>
      <c r="Q117" s="437"/>
    </row>
    <row r="118" spans="1:17" ht="15" thickTop="1">
      <c r="A118" s="407"/>
      <c r="B118" s="467" t="s">
        <v>1743</v>
      </c>
      <c r="C118" s="511"/>
      <c r="D118" s="511"/>
      <c r="E118" s="511"/>
      <c r="F118" s="511"/>
      <c r="G118" s="511"/>
      <c r="H118" s="511"/>
      <c r="I118" s="511"/>
      <c r="J118" s="511"/>
      <c r="K118" s="512"/>
      <c r="L118" s="513"/>
      <c r="M118" s="514"/>
      <c r="N118" s="874"/>
      <c r="O118" s="874"/>
      <c r="P118" s="1768"/>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5"/>
      <c r="O119" s="875"/>
      <c r="P119" s="1768"/>
      <c r="Q119" s="437"/>
    </row>
    <row r="120" spans="1:17" s="406" customFormat="1" ht="29.4" thickTop="1">
      <c r="A120" s="404"/>
      <c r="B120" s="467" t="s">
        <v>1705</v>
      </c>
      <c r="C120" s="3164" t="s">
        <v>3598</v>
      </c>
      <c r="D120" s="3164" t="s">
        <v>3599</v>
      </c>
      <c r="E120" s="483"/>
      <c r="F120" s="483"/>
      <c r="G120" s="483"/>
      <c r="H120" s="483"/>
      <c r="I120" s="483"/>
      <c r="J120" s="483"/>
      <c r="K120" s="483"/>
      <c r="L120" s="508"/>
      <c r="M120" s="509"/>
      <c r="N120" s="876"/>
      <c r="O120" s="876"/>
      <c r="P120" s="1769"/>
      <c r="Q120" s="488"/>
    </row>
    <row r="121" spans="1:17" s="406" customFormat="1" ht="14.4" thickBot="1">
      <c r="A121" s="482"/>
      <c r="B121" s="464"/>
      <c r="C121" s="489"/>
      <c r="D121" s="465"/>
      <c r="E121" s="465"/>
      <c r="F121" s="465"/>
      <c r="G121" s="465"/>
      <c r="H121" s="465"/>
      <c r="I121" s="465"/>
      <c r="J121" s="465"/>
      <c r="K121" s="465"/>
      <c r="L121" s="465"/>
      <c r="M121" s="465"/>
      <c r="N121" s="876"/>
      <c r="O121" s="876"/>
      <c r="P121" s="1769"/>
      <c r="Q121" s="488"/>
    </row>
    <row r="122" spans="1:17" ht="15" thickTop="1">
      <c r="A122" s="407"/>
      <c r="B122" s="467" t="s">
        <v>1744</v>
      </c>
      <c r="C122" s="3164" t="s">
        <v>3583</v>
      </c>
      <c r="D122" s="3164" t="s">
        <v>3585</v>
      </c>
      <c r="E122" s="3164" t="s">
        <v>3586</v>
      </c>
      <c r="F122" s="3176" t="s">
        <v>3588</v>
      </c>
      <c r="G122" s="511"/>
      <c r="H122" s="511"/>
      <c r="I122" s="511"/>
      <c r="J122" s="511"/>
      <c r="K122" s="512"/>
      <c r="L122" s="513"/>
      <c r="M122" s="514"/>
      <c r="N122" s="874"/>
      <c r="O122" s="874"/>
      <c r="P122" s="1768"/>
      <c r="Q122" s="437"/>
    </row>
    <row r="123" spans="1:17" ht="14.4" thickBot="1">
      <c r="A123" s="365"/>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5"/>
      <c r="O123" s="875"/>
      <c r="P123" s="1768"/>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4"/>
      <c r="O124" s="874"/>
      <c r="P124" s="1769"/>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5"/>
      <c r="O125" s="875"/>
      <c r="P125" s="1768"/>
      <c r="Q125" s="437"/>
    </row>
    <row r="126" spans="1:17" s="406" customFormat="1" ht="14.4" thickTop="1">
      <c r="A126" s="404"/>
      <c r="B126" s="467">
        <f>B44</f>
        <v>111</v>
      </c>
      <c r="C126" s="483"/>
      <c r="D126" s="483"/>
      <c r="E126" s="483"/>
      <c r="F126" s="483"/>
      <c r="G126" s="483"/>
      <c r="H126" s="484"/>
      <c r="I126" s="484"/>
      <c r="J126" s="484"/>
      <c r="K126" s="484"/>
      <c r="L126" s="485"/>
      <c r="M126" s="486"/>
      <c r="N126" s="876"/>
      <c r="O126" s="876"/>
      <c r="P126" s="1769"/>
      <c r="Q126" s="488"/>
    </row>
    <row r="127" spans="1:17" s="406" customFormat="1" ht="14.4" thickBot="1">
      <c r="A127" s="482"/>
      <c r="B127" s="472"/>
      <c r="C127" s="489"/>
      <c r="D127" s="465"/>
      <c r="E127" s="465"/>
      <c r="F127" s="465"/>
      <c r="G127" s="489"/>
      <c r="H127" s="491"/>
      <c r="I127" s="491"/>
      <c r="J127" s="491"/>
      <c r="K127" s="491"/>
      <c r="L127" s="491"/>
      <c r="M127" s="492"/>
      <c r="N127" s="876"/>
      <c r="O127" s="876"/>
      <c r="P127" s="1769"/>
      <c r="Q127" s="488"/>
    </row>
    <row r="128" spans="1:17" ht="14.4" thickTop="1">
      <c r="A128" s="407"/>
      <c r="B128" s="467">
        <f>B45</f>
        <v>111</v>
      </c>
      <c r="C128" s="483"/>
      <c r="D128" s="483"/>
      <c r="E128" s="483"/>
      <c r="F128" s="483"/>
      <c r="G128" s="511"/>
      <c r="H128" s="511"/>
      <c r="I128" s="511"/>
      <c r="J128" s="511"/>
      <c r="K128" s="512"/>
      <c r="L128" s="513"/>
      <c r="M128" s="514"/>
      <c r="N128" s="874"/>
      <c r="O128" s="874"/>
      <c r="P128" s="1768"/>
      <c r="Q128" s="437"/>
    </row>
    <row r="129" spans="1:17" ht="14.4" thickBot="1">
      <c r="A129" s="365"/>
      <c r="B129" s="472"/>
      <c r="C129" s="489"/>
      <c r="D129" s="489"/>
      <c r="E129" s="489"/>
      <c r="F129" s="489"/>
      <c r="G129" s="465"/>
      <c r="H129" s="465"/>
      <c r="I129" s="465"/>
      <c r="J129" s="465"/>
      <c r="K129" s="465"/>
      <c r="L129" s="465"/>
      <c r="M129" s="466"/>
      <c r="N129" s="875"/>
      <c r="O129" s="875"/>
      <c r="P129" s="1768"/>
      <c r="Q129" s="437"/>
    </row>
    <row r="130" spans="1:17" ht="14.4" thickTop="1">
      <c r="A130" s="407"/>
      <c r="B130" s="475">
        <f>B46</f>
        <v>111</v>
      </c>
      <c r="C130" s="483"/>
      <c r="D130" s="483"/>
      <c r="E130" s="483"/>
      <c r="F130" s="483"/>
      <c r="G130" s="515"/>
      <c r="H130" s="515"/>
      <c r="I130" s="515"/>
      <c r="J130" s="515"/>
      <c r="K130" s="30"/>
      <c r="L130" s="455"/>
      <c r="M130" s="518"/>
      <c r="N130" s="874"/>
      <c r="O130" s="874"/>
      <c r="P130" s="1768"/>
      <c r="Q130" s="437"/>
    </row>
    <row r="131" spans="1:17" ht="14.4" thickBot="1">
      <c r="A131" s="373"/>
      <c r="B131" s="498"/>
      <c r="C131" s="499"/>
      <c r="D131" s="499"/>
      <c r="E131" s="499"/>
      <c r="F131" s="499"/>
      <c r="G131" s="519"/>
      <c r="H131" s="519"/>
      <c r="I131" s="519"/>
      <c r="J131" s="519"/>
      <c r="K131" s="519"/>
      <c r="L131" s="519"/>
      <c r="M131" s="520"/>
      <c r="N131" s="875"/>
      <c r="O131" s="875"/>
      <c r="P131" s="1768"/>
      <c r="Q131" s="437"/>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09">
        <v>6</v>
      </c>
      <c r="C139" s="810">
        <v>96</v>
      </c>
      <c r="D139" s="1785" t="s">
        <v>1755</v>
      </c>
      <c r="E139" s="811">
        <v>100</v>
      </c>
      <c r="F139" s="812">
        <v>102.5</v>
      </c>
      <c r="G139" s="1785" t="s">
        <v>1755</v>
      </c>
      <c r="H139" s="813">
        <v>105</v>
      </c>
      <c r="I139" s="1786" t="s">
        <v>1756</v>
      </c>
      <c r="J139" s="810">
        <v>20</v>
      </c>
      <c r="K139" s="814">
        <f>C145/(J139-2)</f>
        <v>4.0555555555555553E-3</v>
      </c>
    </row>
    <row r="140" spans="1:17" ht="15">
      <c r="B140" s="815">
        <v>5</v>
      </c>
      <c r="C140" s="816">
        <v>100</v>
      </c>
      <c r="D140" s="816"/>
      <c r="E140" s="817"/>
      <c r="F140" s="818">
        <v>102</v>
      </c>
      <c r="G140" s="816"/>
      <c r="H140" s="819"/>
      <c r="I140" s="1787" t="s">
        <v>1757</v>
      </c>
      <c r="J140" s="261">
        <f>ROUNDUP((J139-1)/2,0)</f>
        <v>10</v>
      </c>
      <c r="K140" s="820">
        <v>100</v>
      </c>
    </row>
    <row r="141" spans="1:17" ht="15">
      <c r="B141" s="815">
        <v>4</v>
      </c>
      <c r="C141" s="816">
        <v>102</v>
      </c>
      <c r="D141" s="816"/>
      <c r="E141" s="817"/>
      <c r="F141" s="818">
        <v>101.5</v>
      </c>
      <c r="G141" s="816"/>
      <c r="H141" s="819"/>
      <c r="I141" s="1787" t="s">
        <v>1758</v>
      </c>
      <c r="J141" s="261">
        <v>1</v>
      </c>
      <c r="K141" s="821">
        <f>ROUND(100+(J141-J140)*K139*100,1)</f>
        <v>96.4</v>
      </c>
    </row>
    <row r="142" spans="1:17" ht="15">
      <c r="B142" s="815">
        <v>3</v>
      </c>
      <c r="C142" s="816">
        <v>103</v>
      </c>
      <c r="D142" s="816"/>
      <c r="E142" s="817"/>
      <c r="F142" s="818">
        <v>101</v>
      </c>
      <c r="G142" s="816"/>
      <c r="H142" s="819"/>
      <c r="I142" s="1787" t="s">
        <v>1759</v>
      </c>
      <c r="J142" s="261">
        <f>J139</f>
        <v>20</v>
      </c>
      <c r="K142" s="822">
        <v>95</v>
      </c>
    </row>
    <row r="143" spans="1:17" ht="15">
      <c r="B143" s="815">
        <v>2</v>
      </c>
      <c r="C143" s="816">
        <v>100</v>
      </c>
      <c r="D143" s="816"/>
      <c r="E143" s="817"/>
      <c r="F143" s="818">
        <v>100.5</v>
      </c>
      <c r="G143" s="816"/>
      <c r="H143" s="819"/>
      <c r="I143" s="1787" t="s">
        <v>1760</v>
      </c>
      <c r="J143" s="816">
        <v>15</v>
      </c>
      <c r="K143" s="821">
        <f>ROUND(100+(J143-J140)*K139*100,1)</f>
        <v>102</v>
      </c>
    </row>
    <row r="144" spans="1:17" ht="15">
      <c r="B144" s="815">
        <v>1</v>
      </c>
      <c r="C144" s="816">
        <v>98</v>
      </c>
      <c r="D144" s="1788" t="s">
        <v>1761</v>
      </c>
      <c r="E144" s="817">
        <v>102</v>
      </c>
      <c r="F144" s="823">
        <v>100</v>
      </c>
      <c r="G144" s="1788" t="s">
        <v>1761</v>
      </c>
      <c r="H144" s="819">
        <v>105</v>
      </c>
      <c r="I144" s="1787" t="s">
        <v>1760</v>
      </c>
      <c r="J144" s="816">
        <v>18</v>
      </c>
      <c r="K144" s="821">
        <f>ROUND(100+(J144-J140)*K139*100,1)</f>
        <v>103.2</v>
      </c>
    </row>
    <row r="145" spans="2:11" ht="16.2" thickBot="1">
      <c r="B145" s="1789" t="s">
        <v>1762</v>
      </c>
      <c r="C145" s="824">
        <f>ROUND(MAX(C139:C144)/MIN(C139:C144)-1,3)</f>
        <v>7.2999999999999995E-2</v>
      </c>
      <c r="D145" s="825"/>
      <c r="E145" s="825"/>
      <c r="F145" s="1790" t="s">
        <v>1763</v>
      </c>
      <c r="G145" s="1791"/>
      <c r="H145" s="1792"/>
      <c r="I145" s="1793" t="s">
        <v>1760</v>
      </c>
      <c r="J145" s="826">
        <v>8</v>
      </c>
      <c r="K145" s="827">
        <f>ROUND(100+(J145-J140)*K139*100,1)</f>
        <v>99.2</v>
      </c>
    </row>
    <row r="147" spans="2:11" ht="14.4">
      <c r="B147" s="1774" t="s">
        <v>1764</v>
      </c>
    </row>
    <row r="148" spans="2:11" ht="14.4">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topLeftCell="A28" workbookViewId="0">
      <selection activeCell="A46" sqref="A46"/>
    </sheetView>
  </sheetViews>
  <sheetFormatPr defaultRowHeight="14.4"/>
  <sheetData>
    <row r="1" spans="1:1">
      <c r="A1" s="1400" t="s">
        <v>3525</v>
      </c>
    </row>
    <row r="24" spans="1:1">
      <c r="A24" s="1400" t="s">
        <v>3527</v>
      </c>
    </row>
    <row r="46" spans="1:1">
      <c r="A46" s="1400" t="s">
        <v>3531</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2"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9" t="s">
        <v>1766</v>
      </c>
      <c r="C1" s="1150" t="s">
        <v>1662</v>
      </c>
      <c r="D1" s="1137"/>
      <c r="E1" s="3118"/>
      <c r="F1" s="1730"/>
      <c r="G1" s="1147" t="s">
        <v>1767</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0" customFormat="1" ht="28.5" customHeight="1" thickTop="1">
      <c r="A2" s="1133" t="s">
        <v>1462</v>
      </c>
      <c r="B2" s="1080"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0" customFormat="1" ht="28.5" customHeight="1" thickBot="1">
      <c r="A3" s="193" t="s">
        <v>1464</v>
      </c>
      <c r="B3" s="534">
        <f>IF(C2="——",C49,ROUND(B2*10000/D3,0))</f>
        <v>0</v>
      </c>
      <c r="C3" s="342" t="s">
        <v>1768</v>
      </c>
      <c r="D3" s="341">
        <f>IF(D1="",'数据-汇总表'!E3,SUMIF('数据-汇总表'!$C19:$C33,D1,'数据-汇总表'!$E19:$E33))</f>
        <v>35822.61</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33" t="s">
        <v>1772</v>
      </c>
      <c r="AC4" s="3406" t="s">
        <v>1773</v>
      </c>
    </row>
    <row r="5" spans="1:29">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33"/>
      <c r="AC5" s="340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33"/>
      <c r="AC6" s="3408"/>
    </row>
    <row r="7" spans="1:29" s="100" customFormat="1" ht="15" thickBot="1">
      <c r="A7" s="350" t="s">
        <v>1679</v>
      </c>
      <c r="B7" s="351"/>
      <c r="C7" s="352">
        <f>'数据-取费表'!B2</f>
        <v>45029</v>
      </c>
      <c r="D7" s="353">
        <v>100</v>
      </c>
      <c r="E7" s="354"/>
      <c r="F7" s="355">
        <f>SUMIF(58:58,YEAR(E7)&amp;"-"&amp;MONTH(E7),59:59)</f>
        <v>0</v>
      </c>
      <c r="G7" s="354"/>
      <c r="H7" s="353">
        <f>SUMIF(58:58,YEAR(G7)&amp;"-"&amp;MONTH(G7),59:59)</f>
        <v>0</v>
      </c>
      <c r="I7" s="354"/>
      <c r="J7" s="353">
        <f>SUMIF(58:58,YEAR(I7)&amp;"-"&amp;MONTH(I7),59:59)</f>
        <v>0</v>
      </c>
      <c r="K7" s="37"/>
      <c r="L7" s="2481"/>
      <c r="M7" s="2432"/>
      <c r="N7" s="2432"/>
      <c r="O7" s="2432"/>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6" si="3">D8/F8</f>
        <v>1</v>
      </c>
      <c r="AB8" s="49">
        <f t="shared" ref="AB8:AB46" si="4">D8/H8</f>
        <v>1</v>
      </c>
      <c r="AC8" s="49">
        <f t="shared" ref="AC8:AC46" si="5">D8/J8</f>
        <v>1</v>
      </c>
    </row>
    <row r="9" spans="1:29" s="100" customFormat="1" ht="14.4">
      <c r="A9" s="357" t="s">
        <v>1684</v>
      </c>
      <c r="B9" s="59" t="s">
        <v>1685</v>
      </c>
      <c r="C9" s="358"/>
      <c r="D9" s="58">
        <v>100</v>
      </c>
      <c r="E9" s="359"/>
      <c r="F9" s="59">
        <f>SUMIF(63:63,E9,64:64)-SUMIF(63:63,C9,64:64)+100</f>
        <v>100</v>
      </c>
      <c r="G9" s="359"/>
      <c r="H9" s="58">
        <f>SUMIF(63:63,G9,64:64)-SUMIF(63:63,C9,64:64)+100</f>
        <v>100</v>
      </c>
      <c r="I9" s="359"/>
      <c r="J9" s="58">
        <f>SUMIF(63:63,I9,64:64)-SUMIF(63:63,C9,64:64)+100</f>
        <v>100</v>
      </c>
      <c r="K9" s="37"/>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8.8">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7"/>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43"/>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2"/>
      <c r="N12" s="2432"/>
      <c r="O12" s="2432"/>
      <c r="P12" s="3443"/>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43"/>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6"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43"/>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15">
      <c r="A15" s="377" t="s">
        <v>1690</v>
      </c>
      <c r="B15" s="57" t="s">
        <v>1777</v>
      </c>
      <c r="C15" s="1744">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81" t="s">
        <v>1691</v>
      </c>
      <c r="Q15" s="1258" t="str">
        <f t="shared" si="6"/>
        <v>商业繁华度</v>
      </c>
      <c r="R15" s="664" t="s">
        <v>14</v>
      </c>
      <c r="S15" s="665">
        <f t="shared" si="0"/>
        <v>100</v>
      </c>
      <c r="T15" s="664" t="s">
        <v>14</v>
      </c>
      <c r="U15" s="665">
        <f t="shared" si="1"/>
        <v>100</v>
      </c>
      <c r="V15" s="664" t="s">
        <v>14</v>
      </c>
      <c r="W15" s="665">
        <f t="shared" si="2"/>
        <v>100</v>
      </c>
      <c r="X15" s="1260"/>
      <c r="Y15" s="3438"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5"/>
      <c r="M16" s="2480"/>
      <c r="N16" s="2480"/>
      <c r="O16" s="2480"/>
      <c r="P16" s="3482"/>
      <c r="Q16" s="1258"/>
      <c r="R16" s="664"/>
      <c r="S16" s="665"/>
      <c r="T16" s="664"/>
      <c r="U16" s="665"/>
      <c r="V16" s="664"/>
      <c r="W16" s="665"/>
      <c r="X16" s="1260"/>
      <c r="Y16" s="3439"/>
      <c r="Z16" s="1259"/>
      <c r="AA16" s="1259">
        <v>1</v>
      </c>
      <c r="AB16" s="1259">
        <v>1</v>
      </c>
      <c r="AC16" s="1259">
        <v>1</v>
      </c>
    </row>
    <row r="17" spans="1:29" ht="15">
      <c r="A17" s="365"/>
      <c r="B17" s="388" t="s">
        <v>1259</v>
      </c>
      <c r="C17" s="1748"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82"/>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5"/>
      <c r="M18" s="2480"/>
      <c r="N18" s="2480"/>
      <c r="O18" s="2480"/>
      <c r="P18" s="3482"/>
      <c r="Q18" s="1258"/>
      <c r="R18" s="664"/>
      <c r="S18" s="665"/>
      <c r="T18" s="664"/>
      <c r="U18" s="665"/>
      <c r="V18" s="664"/>
      <c r="W18" s="665"/>
      <c r="X18" s="1260"/>
      <c r="Y18" s="3439"/>
      <c r="Z18" s="1259"/>
      <c r="AA18" s="1259">
        <v>1</v>
      </c>
      <c r="AB18" s="1259">
        <v>1</v>
      </c>
      <c r="AC18" s="1259">
        <v>1</v>
      </c>
    </row>
    <row r="19" spans="1:29" ht="15">
      <c r="A19" s="365"/>
      <c r="B19" s="388" t="s">
        <v>1778</v>
      </c>
      <c r="C19" s="1748" t="str">
        <f>估价对象房地状况!C7</f>
        <v>较差</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82"/>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5"/>
      <c r="M20" s="2480"/>
      <c r="N20" s="2480"/>
      <c r="O20" s="2480"/>
      <c r="P20" s="3482"/>
      <c r="Q20" s="1258"/>
      <c r="R20" s="664"/>
      <c r="S20" s="665"/>
      <c r="T20" s="664"/>
      <c r="U20" s="665"/>
      <c r="V20" s="664"/>
      <c r="W20" s="665"/>
      <c r="X20" s="1260"/>
      <c r="Y20" s="3439"/>
      <c r="Z20" s="1259"/>
      <c r="AA20" s="1259">
        <v>1</v>
      </c>
      <c r="AB20" s="1259">
        <v>1</v>
      </c>
      <c r="AC20" s="1259">
        <v>1</v>
      </c>
    </row>
    <row r="21" spans="1:29" ht="15">
      <c r="A21" s="365"/>
      <c r="B21" s="584" t="s">
        <v>1779</v>
      </c>
      <c r="C21" s="1748"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5"/>
      <c r="M22" s="2480"/>
      <c r="N22" s="2480"/>
      <c r="O22" s="2480"/>
      <c r="P22" s="3482"/>
      <c r="Q22" s="1258"/>
      <c r="R22" s="664"/>
      <c r="S22" s="665"/>
      <c r="T22" s="664"/>
      <c r="U22" s="665"/>
      <c r="V22" s="664"/>
      <c r="W22" s="665"/>
      <c r="X22" s="1260"/>
      <c r="Y22" s="3439"/>
      <c r="Z22" s="1259"/>
      <c r="AA22" s="1259">
        <v>1</v>
      </c>
      <c r="AB22" s="1259">
        <v>1</v>
      </c>
      <c r="AC22" s="1259">
        <v>1</v>
      </c>
    </row>
    <row r="23" spans="1:29" ht="15">
      <c r="A23" s="365"/>
      <c r="B23" s="388" t="s">
        <v>1261</v>
      </c>
      <c r="C23" s="1799"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82"/>
      <c r="Q23" s="1258" t="str">
        <f>B23</f>
        <v>自然及人文环境</v>
      </c>
      <c r="R23" s="664" t="s">
        <v>14</v>
      </c>
      <c r="S23" s="665">
        <f>F23</f>
        <v>100</v>
      </c>
      <c r="T23" s="664" t="s">
        <v>14</v>
      </c>
      <c r="U23" s="665">
        <f>H23</f>
        <v>100</v>
      </c>
      <c r="V23" s="664" t="s">
        <v>14</v>
      </c>
      <c r="W23" s="665">
        <f>J23</f>
        <v>100</v>
      </c>
      <c r="X23" s="1260"/>
      <c r="Y23" s="3439"/>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5"/>
      <c r="M24" s="2480"/>
      <c r="N24" s="2480"/>
      <c r="O24" s="2480"/>
      <c r="P24" s="3482"/>
      <c r="Q24" s="1258"/>
      <c r="R24" s="664"/>
      <c r="S24" s="665"/>
      <c r="T24" s="664"/>
      <c r="U24" s="665"/>
      <c r="V24" s="664"/>
      <c r="W24" s="665"/>
      <c r="X24" s="1260"/>
      <c r="Y24" s="3439"/>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82"/>
      <c r="Q25" s="1258" t="str">
        <f t="shared" ref="Q25:Q46" si="11">B25</f>
        <v>临街状况</v>
      </c>
      <c r="R25" s="664" t="s">
        <v>14</v>
      </c>
      <c r="S25" s="665">
        <f>F25</f>
        <v>100</v>
      </c>
      <c r="T25" s="664" t="s">
        <v>14</v>
      </c>
      <c r="U25" s="665">
        <f>H25</f>
        <v>100</v>
      </c>
      <c r="V25" s="664" t="s">
        <v>14</v>
      </c>
      <c r="W25" s="665">
        <f>J25</f>
        <v>100</v>
      </c>
      <c r="X25" s="1260"/>
      <c r="Y25" s="3439"/>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82"/>
      <c r="Q26" s="1258" t="str">
        <f t="shared" si="11"/>
        <v>平面位置/可视性</v>
      </c>
      <c r="R26" s="664" t="s">
        <v>14</v>
      </c>
      <c r="S26" s="665">
        <f>F26</f>
        <v>100</v>
      </c>
      <c r="T26" s="664" t="s">
        <v>14</v>
      </c>
      <c r="U26" s="665">
        <f>H26</f>
        <v>100</v>
      </c>
      <c r="V26" s="664" t="s">
        <v>14</v>
      </c>
      <c r="W26" s="665">
        <f>J26</f>
        <v>100</v>
      </c>
      <c r="X26" s="1260"/>
      <c r="Y26" s="3439"/>
      <c r="Z26" s="1259" t="str">
        <f>Q26</f>
        <v>平面位置/可视性</v>
      </c>
      <c r="AA26" s="1259">
        <f t="shared" si="3"/>
        <v>1</v>
      </c>
      <c r="AB26" s="1259">
        <f t="shared" si="4"/>
        <v>1</v>
      </c>
      <c r="AC26" s="1259">
        <f t="shared" si="5"/>
        <v>1</v>
      </c>
    </row>
    <row r="27" spans="1:29" s="100" customFormat="1" ht="15">
      <c r="A27" s="368"/>
      <c r="B27" s="388" t="s">
        <v>1782</v>
      </c>
      <c r="C27" s="1800"/>
      <c r="D27" s="399">
        <v>100</v>
      </c>
      <c r="E27" s="1800"/>
      <c r="F27" s="393">
        <f>SUMIF(90:90,E27,91:91)-SUMIF(90:90,C27,91:91)+100</f>
        <v>100</v>
      </c>
      <c r="G27" s="1800"/>
      <c r="H27" s="399">
        <f>SUMIF(90:90,G27,91:91)-SUMIF(90:90,C27,91:91)+100</f>
        <v>100</v>
      </c>
      <c r="I27" s="1800"/>
      <c r="J27" s="399">
        <f>SUMIF(90:90,I27,91:91)-SUMIF(90:90,C27,91:91)+100</f>
        <v>100</v>
      </c>
      <c r="K27" s="536"/>
      <c r="L27" s="2481"/>
      <c r="M27" s="2432"/>
      <c r="N27" s="2432"/>
      <c r="O27" s="2432"/>
      <c r="P27" s="3482"/>
      <c r="Q27" s="528" t="str">
        <f t="shared" si="11"/>
        <v>人流量</v>
      </c>
      <c r="R27" s="661" t="s">
        <v>14</v>
      </c>
      <c r="S27" s="662">
        <f>F27</f>
        <v>100</v>
      </c>
      <c r="T27" s="661" t="s">
        <v>14</v>
      </c>
      <c r="U27" s="662">
        <f>H27</f>
        <v>100</v>
      </c>
      <c r="V27" s="661" t="s">
        <v>14</v>
      </c>
      <c r="W27" s="662">
        <f>J27</f>
        <v>100</v>
      </c>
      <c r="X27" s="663"/>
      <c r="Y27" s="3439"/>
      <c r="Z27" s="49"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82"/>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39"/>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82"/>
      <c r="Q29" s="1258">
        <f t="shared" si="11"/>
        <v>111</v>
      </c>
      <c r="R29" s="664" t="s">
        <v>14</v>
      </c>
      <c r="S29" s="665">
        <f t="shared" si="12"/>
        <v>100</v>
      </c>
      <c r="T29" s="664" t="s">
        <v>14</v>
      </c>
      <c r="U29" s="665">
        <f t="shared" si="13"/>
        <v>100</v>
      </c>
      <c r="V29" s="664" t="s">
        <v>14</v>
      </c>
      <c r="W29" s="665">
        <f t="shared" si="14"/>
        <v>100</v>
      </c>
      <c r="X29" s="1260"/>
      <c r="Y29" s="3439"/>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82"/>
      <c r="Q30" s="1258">
        <f t="shared" si="11"/>
        <v>111</v>
      </c>
      <c r="R30" s="664" t="s">
        <v>14</v>
      </c>
      <c r="S30" s="665">
        <f t="shared" si="12"/>
        <v>100</v>
      </c>
      <c r="T30" s="664" t="s">
        <v>14</v>
      </c>
      <c r="U30" s="665">
        <f t="shared" si="13"/>
        <v>100</v>
      </c>
      <c r="V30" s="664" t="s">
        <v>14</v>
      </c>
      <c r="W30" s="665">
        <f t="shared" si="14"/>
        <v>100</v>
      </c>
      <c r="X30" s="1260"/>
      <c r="Y30" s="3439"/>
      <c r="Z30" s="1259">
        <f t="shared" si="15"/>
        <v>111</v>
      </c>
      <c r="AA30" s="1259">
        <f t="shared" si="3"/>
        <v>1</v>
      </c>
      <c r="AB30" s="1259">
        <f t="shared" si="4"/>
        <v>1</v>
      </c>
      <c r="AC30" s="1259">
        <f t="shared" si="5"/>
        <v>1</v>
      </c>
    </row>
    <row r="31" spans="1:29" ht="15.6"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82"/>
      <c r="Q31" s="1258">
        <f t="shared" si="11"/>
        <v>111</v>
      </c>
      <c r="R31" s="664" t="s">
        <v>14</v>
      </c>
      <c r="S31" s="665">
        <f t="shared" si="12"/>
        <v>100</v>
      </c>
      <c r="T31" s="664" t="s">
        <v>14</v>
      </c>
      <c r="U31" s="665">
        <f t="shared" si="13"/>
        <v>100</v>
      </c>
      <c r="V31" s="664" t="s">
        <v>14</v>
      </c>
      <c r="W31" s="665">
        <f t="shared" si="14"/>
        <v>100</v>
      </c>
      <c r="X31" s="1260"/>
      <c r="Y31" s="3439"/>
      <c r="Z31" s="1259">
        <f t="shared" si="15"/>
        <v>111</v>
      </c>
      <c r="AA31" s="1259">
        <f t="shared" si="3"/>
        <v>1</v>
      </c>
      <c r="AB31" s="1259">
        <f t="shared" si="4"/>
        <v>1</v>
      </c>
      <c r="AC31" s="1259">
        <f t="shared" si="5"/>
        <v>1</v>
      </c>
    </row>
    <row r="32" spans="1:29" ht="15">
      <c r="A32" s="377" t="s">
        <v>1694</v>
      </c>
      <c r="B32" s="59"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5"/>
      <c r="M32" s="2480"/>
      <c r="N32" s="2480"/>
      <c r="O32" s="2480"/>
      <c r="P32" s="3477" t="s">
        <v>1696</v>
      </c>
      <c r="Q32" s="1258" t="str">
        <f t="shared" si="11"/>
        <v>商业类型</v>
      </c>
      <c r="R32" s="664" t="s">
        <v>14</v>
      </c>
      <c r="S32" s="665">
        <f t="shared" si="12"/>
        <v>100</v>
      </c>
      <c r="T32" s="664" t="s">
        <v>14</v>
      </c>
      <c r="U32" s="665">
        <f t="shared" si="13"/>
        <v>100</v>
      </c>
      <c r="V32" s="664" t="s">
        <v>14</v>
      </c>
      <c r="W32" s="665">
        <f t="shared" si="14"/>
        <v>100</v>
      </c>
      <c r="X32" s="1260"/>
      <c r="Y32" s="3441"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8"/>
      <c r="Q33" s="529" t="str">
        <f t="shared" si="11"/>
        <v>项目建筑规模</v>
      </c>
      <c r="R33" s="666" t="s">
        <v>14</v>
      </c>
      <c r="S33" s="667" t="e">
        <f t="shared" si="12"/>
        <v>#N/A</v>
      </c>
      <c r="T33" s="666" t="s">
        <v>14</v>
      </c>
      <c r="U33" s="667" t="e">
        <f t="shared" si="13"/>
        <v>#N/A</v>
      </c>
      <c r="V33" s="666" t="s">
        <v>14</v>
      </c>
      <c r="W33" s="667" t="e">
        <f t="shared" si="14"/>
        <v>#N/A</v>
      </c>
      <c r="X33" s="668"/>
      <c r="Y33" s="3441"/>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8"/>
      <c r="Q34" s="1258" t="str">
        <f t="shared" si="11"/>
        <v>建筑结构</v>
      </c>
      <c r="R34" s="664" t="s">
        <v>14</v>
      </c>
      <c r="S34" s="665">
        <f t="shared" si="12"/>
        <v>100</v>
      </c>
      <c r="T34" s="664" t="s">
        <v>14</v>
      </c>
      <c r="U34" s="665">
        <f t="shared" si="13"/>
        <v>100</v>
      </c>
      <c r="V34" s="664" t="s">
        <v>14</v>
      </c>
      <c r="W34" s="665">
        <f t="shared" si="14"/>
        <v>100</v>
      </c>
      <c r="X34" s="1260"/>
      <c r="Y34" s="3441"/>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5"/>
      <c r="M35" s="2480"/>
      <c r="N35" s="2480"/>
      <c r="O35" s="2480"/>
      <c r="P35" s="3478"/>
      <c r="Q35" s="1258" t="str">
        <f t="shared" si="11"/>
        <v>公共部分装修</v>
      </c>
      <c r="R35" s="664" t="s">
        <v>14</v>
      </c>
      <c r="S35" s="665">
        <f t="shared" si="12"/>
        <v>100</v>
      </c>
      <c r="T35" s="664" t="s">
        <v>14</v>
      </c>
      <c r="U35" s="665">
        <f t="shared" si="13"/>
        <v>100</v>
      </c>
      <c r="V35" s="664" t="s">
        <v>14</v>
      </c>
      <c r="W35" s="665">
        <f t="shared" si="14"/>
        <v>100</v>
      </c>
      <c r="X35" s="1260"/>
      <c r="Y35" s="3441"/>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8"/>
      <c r="Q36" s="1258" t="str">
        <f t="shared" si="11"/>
        <v>成新度</v>
      </c>
      <c r="R36" s="664" t="s">
        <v>14</v>
      </c>
      <c r="S36" s="665" t="e">
        <f t="shared" si="12"/>
        <v>#N/A</v>
      </c>
      <c r="T36" s="664" t="s">
        <v>14</v>
      </c>
      <c r="U36" s="665" t="e">
        <f t="shared" si="13"/>
        <v>#N/A</v>
      </c>
      <c r="V36" s="664" t="s">
        <v>14</v>
      </c>
      <c r="W36" s="665" t="e">
        <f t="shared" si="14"/>
        <v>#N/A</v>
      </c>
      <c r="X36" s="1260"/>
      <c r="Y36" s="3441"/>
      <c r="Z36" s="1259" t="str">
        <f t="shared" si="15"/>
        <v>成新度</v>
      </c>
      <c r="AA36" s="1259" t="e">
        <f t="shared" si="3"/>
        <v>#N/A</v>
      </c>
      <c r="AB36" s="1259" t="e">
        <f t="shared" si="4"/>
        <v>#N/A</v>
      </c>
      <c r="AC36" s="1259" t="e">
        <f t="shared" si="5"/>
        <v>#N/A</v>
      </c>
    </row>
    <row r="37" spans="1:29" s="100"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81"/>
      <c r="M37" s="2432"/>
      <c r="N37" s="2432"/>
      <c r="O37" s="2432"/>
      <c r="P37" s="3478"/>
      <c r="Q37" s="528" t="str">
        <f t="shared" si="11"/>
        <v>市政基础设施</v>
      </c>
      <c r="R37" s="661" t="s">
        <v>14</v>
      </c>
      <c r="S37" s="662">
        <f t="shared" si="12"/>
        <v>100</v>
      </c>
      <c r="T37" s="661" t="s">
        <v>14</v>
      </c>
      <c r="U37" s="662">
        <f t="shared" si="13"/>
        <v>100</v>
      </c>
      <c r="V37" s="661" t="s">
        <v>14</v>
      </c>
      <c r="W37" s="662">
        <f t="shared" si="14"/>
        <v>100</v>
      </c>
      <c r="X37" s="663"/>
      <c r="Y37" s="3441"/>
      <c r="Z37" s="49" t="str">
        <f t="shared" si="15"/>
        <v>市政基础设施</v>
      </c>
      <c r="AA37" s="49">
        <f t="shared" si="3"/>
        <v>1</v>
      </c>
      <c r="AB37" s="49">
        <f t="shared" si="4"/>
        <v>1</v>
      </c>
      <c r="AC37" s="49">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5"/>
      <c r="M38" s="2480"/>
      <c r="N38" s="2480"/>
      <c r="O38" s="2480"/>
      <c r="P38" s="3478" t="s">
        <v>1696</v>
      </c>
      <c r="Q38" s="1258" t="str">
        <f t="shared" si="11"/>
        <v>业态</v>
      </c>
      <c r="R38" s="664" t="s">
        <v>14</v>
      </c>
      <c r="S38" s="665">
        <f t="shared" si="12"/>
        <v>100</v>
      </c>
      <c r="T38" s="664" t="s">
        <v>14</v>
      </c>
      <c r="U38" s="665">
        <f t="shared" si="13"/>
        <v>100</v>
      </c>
      <c r="V38" s="664" t="s">
        <v>14</v>
      </c>
      <c r="W38" s="665">
        <f t="shared" si="14"/>
        <v>100</v>
      </c>
      <c r="X38" s="1260"/>
      <c r="Y38" s="3441"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5"/>
      <c r="M39" s="2480"/>
      <c r="N39" s="2480"/>
      <c r="O39" s="2480"/>
      <c r="P39" s="3478"/>
      <c r="Q39" s="1258" t="str">
        <f t="shared" si="11"/>
        <v>层高</v>
      </c>
      <c r="R39" s="664" t="s">
        <v>14</v>
      </c>
      <c r="S39" s="665">
        <f t="shared" si="12"/>
        <v>100</v>
      </c>
      <c r="T39" s="664" t="s">
        <v>14</v>
      </c>
      <c r="U39" s="665">
        <f t="shared" si="13"/>
        <v>100</v>
      </c>
      <c r="V39" s="664" t="s">
        <v>14</v>
      </c>
      <c r="W39" s="665">
        <f t="shared" si="14"/>
        <v>100</v>
      </c>
      <c r="X39" s="1260"/>
      <c r="Y39" s="3441"/>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8"/>
      <c r="Q40" s="1258" t="str">
        <f t="shared" si="11"/>
        <v>单套建筑面积</v>
      </c>
      <c r="R40" s="664" t="s">
        <v>14</v>
      </c>
      <c r="S40" s="665">
        <f t="shared" si="12"/>
        <v>100</v>
      </c>
      <c r="T40" s="664" t="s">
        <v>14</v>
      </c>
      <c r="U40" s="665">
        <f t="shared" si="13"/>
        <v>100</v>
      </c>
      <c r="V40" s="664" t="s">
        <v>14</v>
      </c>
      <c r="W40" s="665">
        <f t="shared" si="14"/>
        <v>100</v>
      </c>
      <c r="X40" s="1260"/>
      <c r="Y40" s="3441"/>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8"/>
      <c r="Q41" s="529" t="str">
        <f t="shared" si="11"/>
        <v>进深比</v>
      </c>
      <c r="R41" s="666" t="s">
        <v>14</v>
      </c>
      <c r="S41" s="667">
        <f t="shared" si="12"/>
        <v>100</v>
      </c>
      <c r="T41" s="666" t="s">
        <v>14</v>
      </c>
      <c r="U41" s="667">
        <f t="shared" si="13"/>
        <v>100</v>
      </c>
      <c r="V41" s="666" t="s">
        <v>14</v>
      </c>
      <c r="W41" s="667">
        <f t="shared" si="14"/>
        <v>100</v>
      </c>
      <c r="X41" s="668"/>
      <c r="Y41" s="3441"/>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5"/>
      <c r="M42" s="2480"/>
      <c r="N42" s="2480"/>
      <c r="O42" s="2480"/>
      <c r="P42" s="3478"/>
      <c r="Q42" s="1258" t="str">
        <f t="shared" si="11"/>
        <v>内部装修</v>
      </c>
      <c r="R42" s="664" t="s">
        <v>14</v>
      </c>
      <c r="S42" s="665">
        <f t="shared" si="12"/>
        <v>100</v>
      </c>
      <c r="T42" s="664" t="s">
        <v>14</v>
      </c>
      <c r="U42" s="665">
        <f t="shared" si="13"/>
        <v>100</v>
      </c>
      <c r="V42" s="664" t="s">
        <v>14</v>
      </c>
      <c r="W42" s="665">
        <f t="shared" si="14"/>
        <v>100</v>
      </c>
      <c r="X42" s="1260"/>
      <c r="Y42" s="3441"/>
      <c r="Z42" s="1259" t="str">
        <f t="shared" si="15"/>
        <v>内部装修</v>
      </c>
      <c r="AA42" s="1259">
        <f t="shared" si="3"/>
        <v>1</v>
      </c>
      <c r="AB42" s="1259">
        <f t="shared" si="4"/>
        <v>1</v>
      </c>
      <c r="AC42" s="1259">
        <f t="shared" si="5"/>
        <v>1</v>
      </c>
    </row>
    <row r="43" spans="1:29" ht="28.8">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5"/>
      <c r="M43" s="2480"/>
      <c r="N43" s="2480"/>
      <c r="O43" s="2480"/>
      <c r="P43" s="3478"/>
      <c r="Q43" s="1258" t="str">
        <f t="shared" si="11"/>
        <v>内部装修维护情况</v>
      </c>
      <c r="R43" s="664" t="s">
        <v>14</v>
      </c>
      <c r="S43" s="665">
        <f t="shared" si="12"/>
        <v>100</v>
      </c>
      <c r="T43" s="664" t="s">
        <v>14</v>
      </c>
      <c r="U43" s="665">
        <f t="shared" si="13"/>
        <v>100</v>
      </c>
      <c r="V43" s="664" t="s">
        <v>14</v>
      </c>
      <c r="W43" s="665">
        <f t="shared" si="14"/>
        <v>100</v>
      </c>
      <c r="X43" s="1260"/>
      <c r="Y43" s="3441"/>
      <c r="Z43" s="1259" t="str">
        <f t="shared" si="15"/>
        <v>内部装修维护情况</v>
      </c>
      <c r="AA43" s="1259">
        <f t="shared" si="3"/>
        <v>1</v>
      </c>
      <c r="AB43" s="1259">
        <f t="shared" si="4"/>
        <v>1</v>
      </c>
      <c r="AC43" s="1259">
        <f t="shared" si="5"/>
        <v>1</v>
      </c>
    </row>
    <row r="44" spans="1:29" s="100"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2"/>
      <c r="N44" s="2432"/>
      <c r="O44" s="2432"/>
      <c r="P44" s="3478"/>
      <c r="Q44" s="528">
        <f t="shared" si="11"/>
        <v>111</v>
      </c>
      <c r="R44" s="661" t="s">
        <v>14</v>
      </c>
      <c r="S44" s="662">
        <f t="shared" si="12"/>
        <v>100</v>
      </c>
      <c r="T44" s="661" t="s">
        <v>14</v>
      </c>
      <c r="U44" s="662">
        <f t="shared" si="13"/>
        <v>100</v>
      </c>
      <c r="V44" s="661" t="s">
        <v>14</v>
      </c>
      <c r="W44" s="662">
        <f t="shared" si="14"/>
        <v>100</v>
      </c>
      <c r="X44" s="663"/>
      <c r="Y44" s="3441"/>
      <c r="Z44" s="49">
        <f t="shared" si="15"/>
        <v>111</v>
      </c>
      <c r="AA44" s="49">
        <f t="shared" si="3"/>
        <v>1</v>
      </c>
      <c r="AB44" s="49">
        <f t="shared" si="4"/>
        <v>1</v>
      </c>
      <c r="AC44" s="49">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8"/>
      <c r="Q45" s="1258">
        <f t="shared" si="11"/>
        <v>111</v>
      </c>
      <c r="R45" s="664" t="s">
        <v>14</v>
      </c>
      <c r="S45" s="665">
        <f t="shared" si="12"/>
        <v>100</v>
      </c>
      <c r="T45" s="664" t="s">
        <v>14</v>
      </c>
      <c r="U45" s="665">
        <f t="shared" si="13"/>
        <v>100</v>
      </c>
      <c r="V45" s="664" t="s">
        <v>14</v>
      </c>
      <c r="W45" s="665">
        <f t="shared" si="14"/>
        <v>100</v>
      </c>
      <c r="X45" s="1260"/>
      <c r="Y45" s="3441"/>
      <c r="Z45" s="1259">
        <f t="shared" si="15"/>
        <v>111</v>
      </c>
      <c r="AA45" s="1259">
        <f t="shared" si="3"/>
        <v>1</v>
      </c>
      <c r="AB45" s="1259">
        <f t="shared" si="4"/>
        <v>1</v>
      </c>
      <c r="AC45" s="1259">
        <f t="shared" si="5"/>
        <v>1</v>
      </c>
    </row>
    <row r="46" spans="1:29" ht="15.6"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9"/>
      <c r="Q46" s="1258">
        <f t="shared" si="11"/>
        <v>111</v>
      </c>
      <c r="R46" s="664" t="s">
        <v>14</v>
      </c>
      <c r="S46" s="665">
        <f t="shared" si="12"/>
        <v>100</v>
      </c>
      <c r="T46" s="664" t="s">
        <v>14</v>
      </c>
      <c r="U46" s="665">
        <f t="shared" si="13"/>
        <v>100</v>
      </c>
      <c r="V46" s="664" t="s">
        <v>14</v>
      </c>
      <c r="W46" s="665">
        <f t="shared" si="14"/>
        <v>100</v>
      </c>
      <c r="X46" s="1260"/>
      <c r="Y46" s="3480"/>
      <c r="Z46" s="1259">
        <f t="shared" si="15"/>
        <v>111</v>
      </c>
      <c r="AA46" s="1259">
        <f t="shared" si="3"/>
        <v>1</v>
      </c>
      <c r="AB46" s="1259">
        <f t="shared" si="4"/>
        <v>1</v>
      </c>
      <c r="AC46" s="1259">
        <f t="shared" si="5"/>
        <v>1</v>
      </c>
    </row>
    <row r="47" spans="1:29" ht="14.4">
      <c r="A47" s="414" t="s">
        <v>1708</v>
      </c>
      <c r="B47" s="415"/>
      <c r="C47" s="1076" t="s">
        <v>0</v>
      </c>
      <c r="D47" s="416"/>
      <c r="E47" s="417"/>
      <c r="F47" s="418"/>
      <c r="G47" s="419"/>
      <c r="H47" s="420"/>
      <c r="I47" s="417"/>
      <c r="J47" s="420"/>
      <c r="K47" s="671"/>
      <c r="L47" s="2487"/>
      <c r="M47" s="2480"/>
      <c r="N47" s="2480"/>
      <c r="O47" s="2480"/>
      <c r="P47" s="3437" t="str">
        <f>A47</f>
        <v>成交单价（元/平方米）</v>
      </c>
      <c r="Q47" s="3437"/>
      <c r="R47" s="3433">
        <f>E47</f>
        <v>0</v>
      </c>
      <c r="S47" s="3433"/>
      <c r="T47" s="3433">
        <f>G47</f>
        <v>0</v>
      </c>
      <c r="U47" s="3433"/>
      <c r="V47" s="3433">
        <f>I47</f>
        <v>0</v>
      </c>
      <c r="W47" s="3433"/>
      <c r="X47" s="383"/>
      <c r="Y47" s="670"/>
      <c r="Z47" s="383"/>
      <c r="AA47" s="383"/>
      <c r="AB47" s="383"/>
      <c r="AC47" s="383"/>
    </row>
    <row r="48" spans="1:29" ht="15" thickBot="1">
      <c r="A48" s="421" t="s">
        <v>1793</v>
      </c>
      <c r="B48" s="422"/>
      <c r="C48" s="1077" t="e">
        <f>R49</f>
        <v>#DIV/0!</v>
      </c>
      <c r="D48" s="2134" t="s">
        <v>2138</v>
      </c>
      <c r="E48" s="1078" t="e">
        <f>R48</f>
        <v>#DIV/0!</v>
      </c>
      <c r="F48" s="2135"/>
      <c r="G48" s="1077" t="e">
        <f>T48</f>
        <v>#DIV/0!</v>
      </c>
      <c r="H48" s="2135"/>
      <c r="I48" s="1078" t="e">
        <f>V48</f>
        <v>#DIV/0!</v>
      </c>
      <c r="J48" s="2135"/>
      <c r="K48" s="2137">
        <f>F48+H48+J48</f>
        <v>0</v>
      </c>
      <c r="L48" s="2487"/>
      <c r="M48" s="2480"/>
      <c r="N48" s="2480"/>
      <c r="O48" s="2480"/>
      <c r="P48" s="3437" t="str">
        <f>A48</f>
        <v>比较价值（元/平方米）</v>
      </c>
      <c r="Q48" s="3437"/>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3"/>
      <c r="Y48" s="383"/>
      <c r="Z48" s="383"/>
      <c r="AA48" s="383"/>
      <c r="AB48" s="383"/>
      <c r="AC48" s="383"/>
    </row>
    <row r="49" spans="1:29" ht="15" thickBot="1">
      <c r="A49" s="425" t="s">
        <v>1794</v>
      </c>
      <c r="B49" s="426"/>
      <c r="C49" s="349" t="e">
        <f>R49</f>
        <v>#DIV/0!</v>
      </c>
      <c r="D49" s="349"/>
      <c r="E49" s="349"/>
      <c r="F49" s="349"/>
      <c r="G49" s="349"/>
      <c r="H49" s="349"/>
      <c r="I49" s="349"/>
      <c r="J49" s="349"/>
      <c r="K49" s="672"/>
      <c r="L49" s="2487"/>
      <c r="M49" s="2480"/>
      <c r="N49" s="2480"/>
      <c r="O49" s="2480"/>
      <c r="P49" s="3445" t="str">
        <f>A49</f>
        <v>估价对象XX用房的比较价值（楼面单价，元/平方米）</v>
      </c>
      <c r="Q49" s="3446"/>
      <c r="R49" s="3476" t="e">
        <f>IF(F1="售价",ROUND(IF(D48="简单平均",AVERAGE(R48:V48),R48*F48+T48*H48+V48*J48),0),ROUND(IF(D48="简单平均",AVERAGE(R48:V48),R48*F48+T48*H48+V48*J48),1))</f>
        <v>#DIV/0!</v>
      </c>
      <c r="S49" s="3476"/>
      <c r="T49" s="3476"/>
      <c r="U49" s="3476"/>
      <c r="V49" s="3476"/>
      <c r="W49" s="3476"/>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5" t="s">
        <v>1798</v>
      </c>
      <c r="B57" s="383"/>
      <c r="C57" s="656"/>
      <c r="D57" s="656"/>
      <c r="E57" s="656"/>
      <c r="F57" s="657"/>
      <c r="G57" s="657"/>
      <c r="H57" s="656"/>
      <c r="I57" s="656"/>
      <c r="J57" s="656"/>
      <c r="K57" s="658"/>
      <c r="L57" s="883"/>
      <c r="M57" s="881"/>
      <c r="N57" s="881"/>
      <c r="O57" s="881"/>
      <c r="P57" s="2500"/>
      <c r="Q57" s="2501"/>
      <c r="R57" s="2480"/>
      <c r="S57" s="2480"/>
      <c r="T57" s="2480"/>
      <c r="U57" s="2480"/>
      <c r="V57" s="2480"/>
      <c r="W57" s="2480"/>
      <c r="X57" s="2480"/>
      <c r="Y57" s="2480"/>
      <c r="Z57" s="2480"/>
      <c r="AA57" s="2480"/>
      <c r="AB57" s="2480"/>
      <c r="AC57" s="2480"/>
    </row>
    <row r="58" spans="1:29" s="440" customFormat="1" ht="14.4">
      <c r="A58" s="438" t="s">
        <v>1679</v>
      </c>
      <c r="B58" s="439"/>
      <c r="C58" s="1098" t="str">
        <f>YEAR(C7)&amp;"-"&amp;MONTH(C7)</f>
        <v>2023-4</v>
      </c>
      <c r="D58" s="1099">
        <f>EDATE(C58,-1)</f>
        <v>44986</v>
      </c>
      <c r="E58" s="1099">
        <f t="shared" ref="E58:N58" si="16">EDATE(D58,-1)</f>
        <v>44958</v>
      </c>
      <c r="F58" s="1099">
        <f t="shared" si="16"/>
        <v>44927</v>
      </c>
      <c r="G58" s="1099">
        <f t="shared" si="16"/>
        <v>44896</v>
      </c>
      <c r="H58" s="1099">
        <f t="shared" si="16"/>
        <v>44866</v>
      </c>
      <c r="I58" s="1099">
        <f t="shared" si="16"/>
        <v>44835</v>
      </c>
      <c r="J58" s="1099">
        <f t="shared" si="16"/>
        <v>44805</v>
      </c>
      <c r="K58" s="1099">
        <f t="shared" si="16"/>
        <v>44774</v>
      </c>
      <c r="L58" s="1099">
        <f t="shared" si="16"/>
        <v>44743</v>
      </c>
      <c r="M58" s="1099">
        <f t="shared" si="16"/>
        <v>44713</v>
      </c>
      <c r="N58" s="1099">
        <f t="shared" si="16"/>
        <v>44682</v>
      </c>
      <c r="O58" s="1099">
        <f>EDATE(N58,-1)</f>
        <v>44652</v>
      </c>
      <c r="P58" s="2502"/>
      <c r="Q58" s="2503"/>
      <c r="R58" s="2503"/>
      <c r="S58" s="2503"/>
      <c r="T58" s="2503"/>
      <c r="U58" s="2503"/>
      <c r="V58" s="2503"/>
      <c r="W58" s="2503"/>
      <c r="X58" s="2503"/>
      <c r="Y58" s="2503"/>
      <c r="Z58" s="2503"/>
      <c r="AA58" s="2503"/>
      <c r="AB58" s="2503"/>
      <c r="AC58" s="2503"/>
    </row>
    <row r="59" spans="1:29" s="100" customFormat="1">
      <c r="A59" s="441"/>
      <c r="B59" s="442"/>
      <c r="C59" s="1097">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0" customFormat="1" ht="15" thickBot="1">
      <c r="A60" s="447" t="s">
        <v>1716</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0" customFormat="1" ht="14.4">
      <c r="A61" s="453" t="s">
        <v>1681</v>
      </c>
      <c r="B61" s="442"/>
      <c r="C61" s="454" t="s">
        <v>1776</v>
      </c>
      <c r="D61" s="30"/>
      <c r="E61" s="30"/>
      <c r="F61" s="30"/>
      <c r="G61" s="30"/>
      <c r="H61" s="30"/>
      <c r="I61" s="30"/>
      <c r="J61" s="30"/>
      <c r="K61" s="30"/>
      <c r="L61" s="455"/>
      <c r="M61" s="456"/>
      <c r="N61" s="2513"/>
      <c r="O61" s="2513"/>
      <c r="P61" s="2505"/>
      <c r="Q61" s="2501"/>
      <c r="R61" s="2432"/>
      <c r="S61" s="2432"/>
      <c r="T61" s="2432"/>
      <c r="U61" s="2432"/>
      <c r="V61" s="2432"/>
      <c r="W61" s="2432"/>
      <c r="X61" s="2432"/>
      <c r="Y61" s="2432"/>
      <c r="Z61" s="2432"/>
      <c r="AA61" s="2432"/>
      <c r="AB61" s="2432"/>
      <c r="AC61" s="2432"/>
    </row>
    <row r="62" spans="1:29" s="100" customFormat="1" ht="14.4"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ht="14.4">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4.4"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9.4"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4.4"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4.4"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4.4"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4.4"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4.4"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4.4" thickTop="1">
      <c r="A74" s="482"/>
      <c r="B74" s="475">
        <f>B14</f>
        <v>111</v>
      </c>
      <c r="C74" s="483"/>
      <c r="D74" s="483"/>
      <c r="E74" s="483"/>
      <c r="F74" s="483"/>
      <c r="G74" s="30"/>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4.4"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ht="14.4">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 thickTop="1">
      <c r="A82" s="365"/>
      <c r="B82" s="475" t="s">
        <v>1779</v>
      </c>
      <c r="C82" s="579" t="s">
        <v>1799</v>
      </c>
      <c r="D82" s="579" t="s">
        <v>1800</v>
      </c>
      <c r="E82" s="579" t="s">
        <v>1801</v>
      </c>
      <c r="F82" s="579" t="s">
        <v>1802</v>
      </c>
      <c r="G82" s="579" t="s">
        <v>1803</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0" customFormat="1" ht="15" thickTop="1">
      <c r="A86" s="368"/>
      <c r="B86" s="467" t="s">
        <v>1804</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0"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0" customFormat="1" ht="14.4" thickTop="1">
      <c r="A88" s="368"/>
      <c r="B88" s="467" t="str">
        <f>B26</f>
        <v>平面位置/可视性</v>
      </c>
      <c r="C88" s="483"/>
      <c r="D88" s="483"/>
      <c r="E88" s="483"/>
      <c r="F88" s="1773"/>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0" customFormat="1" ht="14.4" thickBot="1">
      <c r="A89" s="368"/>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6" customFormat="1" ht="14.4"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4.4"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4.4"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4.4"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4.4"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4.4"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4.4"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4.4"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ht="14.4">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4.4"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4.4"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4.4"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4.4"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4.4"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4.4"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4.4" thickTop="1">
      <c r="A130" s="407"/>
      <c r="B130" s="475">
        <f>B46</f>
        <v>111</v>
      </c>
      <c r="C130" s="483"/>
      <c r="D130" s="483"/>
      <c r="E130" s="483"/>
      <c r="F130" s="483"/>
      <c r="G130" s="515"/>
      <c r="H130" s="515"/>
      <c r="I130" s="515"/>
      <c r="J130" s="515"/>
      <c r="K130" s="30"/>
      <c r="L130" s="455"/>
      <c r="M130" s="518"/>
      <c r="N130" s="2514"/>
      <c r="O130" s="2514"/>
      <c r="P130" s="2506"/>
      <c r="Q130" s="2501"/>
      <c r="R130" s="2480"/>
      <c r="S130" s="2480"/>
      <c r="T130" s="2480"/>
      <c r="U130" s="2480"/>
      <c r="V130" s="2480"/>
      <c r="W130" s="2480"/>
      <c r="X130" s="2480"/>
      <c r="Y130" s="2480"/>
      <c r="Z130" s="2480"/>
      <c r="AA130" s="2480"/>
      <c r="AB130" s="2480"/>
      <c r="AC130" s="2480"/>
    </row>
    <row r="131" spans="1:29" ht="14.4"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48"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1" t="s">
        <v>1810</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35822.61</v>
      </c>
      <c r="E3" s="1798"/>
      <c r="F3" s="851"/>
      <c r="G3" s="850"/>
      <c r="H3" s="850"/>
      <c r="I3" s="850"/>
      <c r="J3" s="850"/>
      <c r="K3" s="852"/>
      <c r="L3" s="2496"/>
      <c r="M3" s="2497"/>
      <c r="N3" s="2497"/>
      <c r="O3" s="2497"/>
      <c r="P3" s="339"/>
      <c r="Q3" s="339"/>
      <c r="R3" s="339"/>
      <c r="S3" s="339"/>
      <c r="T3" s="339"/>
      <c r="U3" s="339"/>
      <c r="V3" s="339"/>
      <c r="W3" s="339"/>
      <c r="X3" s="339"/>
      <c r="Y3" s="339"/>
      <c r="Z3" s="339"/>
      <c r="AA3" s="339"/>
      <c r="AB3" s="339"/>
      <c r="AC3" s="660"/>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89" t="s">
        <v>1775</v>
      </c>
      <c r="Q4" s="3490"/>
      <c r="R4" s="3484" t="s">
        <v>1771</v>
      </c>
      <c r="S4" s="3485"/>
      <c r="T4" s="3484" t="s">
        <v>1772</v>
      </c>
      <c r="U4" s="3485"/>
      <c r="V4" s="3493" t="s">
        <v>1773</v>
      </c>
      <c r="W4" s="3493"/>
      <c r="X4" s="1802"/>
      <c r="Y4" s="3484" t="s">
        <v>1775</v>
      </c>
      <c r="Z4" s="3485"/>
      <c r="AA4" s="3483" t="s">
        <v>1771</v>
      </c>
      <c r="AB4" s="3483" t="s">
        <v>1772</v>
      </c>
      <c r="AC4" s="3486" t="s">
        <v>1773</v>
      </c>
    </row>
    <row r="5" spans="1:29">
      <c r="A5" s="346"/>
      <c r="B5" s="347"/>
      <c r="C5" s="3423" t="s">
        <v>1673</v>
      </c>
      <c r="D5" s="3424"/>
      <c r="E5" s="3425" t="s">
        <v>1674</v>
      </c>
      <c r="F5" s="3426"/>
      <c r="G5" s="3423" t="s">
        <v>1675</v>
      </c>
      <c r="H5" s="3424"/>
      <c r="I5" s="3423" t="s">
        <v>1676</v>
      </c>
      <c r="J5" s="3424"/>
      <c r="K5" s="535"/>
      <c r="L5" s="2479"/>
      <c r="M5" s="2480"/>
      <c r="N5" s="2480"/>
      <c r="O5" s="2480"/>
      <c r="P5" s="3491"/>
      <c r="Q5" s="3416"/>
      <c r="R5" s="3421"/>
      <c r="S5" s="3422"/>
      <c r="T5" s="3421"/>
      <c r="U5" s="3422"/>
      <c r="V5" s="3433"/>
      <c r="W5" s="3433"/>
      <c r="X5" s="1260"/>
      <c r="Y5" s="3421"/>
      <c r="Z5" s="3422"/>
      <c r="AA5" s="3407"/>
      <c r="AB5" s="3407"/>
      <c r="AC5" s="348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92"/>
      <c r="Q6" s="3418"/>
      <c r="R6" s="3421"/>
      <c r="S6" s="3422"/>
      <c r="T6" s="3431"/>
      <c r="U6" s="3432"/>
      <c r="V6" s="3433"/>
      <c r="W6" s="3433"/>
      <c r="X6" s="1260"/>
      <c r="Y6" s="3431"/>
      <c r="Z6" s="3432"/>
      <c r="AA6" s="3408"/>
      <c r="AB6" s="3408"/>
      <c r="AC6" s="3488"/>
    </row>
    <row r="7" spans="1:29" s="100" customFormat="1" ht="15" thickBot="1">
      <c r="A7" s="350" t="s">
        <v>1679</v>
      </c>
      <c r="B7" s="351"/>
      <c r="C7" s="352">
        <f>'数据-取费表'!B2</f>
        <v>45029</v>
      </c>
      <c r="D7" s="353">
        <v>100</v>
      </c>
      <c r="E7" s="354"/>
      <c r="F7" s="355">
        <f>SUMIF(59:59,YEAR(E7)&amp;"-"&amp;MONTH(E7),60:60)</f>
        <v>0</v>
      </c>
      <c r="G7" s="354"/>
      <c r="H7" s="353">
        <f>SUMIF(59:59,YEAR(G7)&amp;"-"&amp;MONTH(G7),60:60)</f>
        <v>0</v>
      </c>
      <c r="I7" s="354"/>
      <c r="J7" s="353">
        <f>SUMIF(59:59,YEAR(I7)&amp;"-"&amp;MONTH(I7),60:60)</f>
        <v>0</v>
      </c>
      <c r="K7" s="37"/>
      <c r="L7" s="2481"/>
      <c r="M7" s="2432"/>
      <c r="N7" s="2432"/>
      <c r="O7" s="2432"/>
      <c r="P7" s="349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797" t="e">
        <f>D7/J7</f>
        <v>#DIV/0!</v>
      </c>
    </row>
    <row r="8" spans="1:29" s="100"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7"/>
      <c r="L8" s="2481"/>
      <c r="M8" s="2432"/>
      <c r="N8" s="2432"/>
      <c r="O8" s="2432"/>
      <c r="P8" s="3494" t="s">
        <v>1683</v>
      </c>
      <c r="Q8" s="3436"/>
      <c r="R8" s="661" t="s">
        <v>14</v>
      </c>
      <c r="S8" s="662">
        <f t="shared" si="0"/>
        <v>100</v>
      </c>
      <c r="T8" s="661" t="s">
        <v>14</v>
      </c>
      <c r="U8" s="662">
        <f t="shared" si="1"/>
        <v>100</v>
      </c>
      <c r="V8" s="661" t="s">
        <v>14</v>
      </c>
      <c r="W8" s="662">
        <f t="shared" si="2"/>
        <v>100</v>
      </c>
      <c r="X8" s="663"/>
      <c r="Y8" s="3434" t="s">
        <v>1683</v>
      </c>
      <c r="Z8" s="3436"/>
      <c r="AA8" s="49">
        <f t="shared" ref="AA8:AA47" si="3">D8/F8</f>
        <v>1</v>
      </c>
      <c r="AB8" s="49">
        <f t="shared" ref="AB8:AB47" si="4">D8/H8</f>
        <v>1</v>
      </c>
      <c r="AC8" s="797">
        <f t="shared" ref="AC8:AC47" si="5">D8/J8</f>
        <v>1</v>
      </c>
    </row>
    <row r="9" spans="1:29" s="100" customFormat="1" ht="14.4">
      <c r="A9" s="357" t="s">
        <v>1684</v>
      </c>
      <c r="B9" s="59" t="s">
        <v>1685</v>
      </c>
      <c r="C9" s="358"/>
      <c r="D9" s="58">
        <v>100</v>
      </c>
      <c r="E9" s="360"/>
      <c r="F9" s="58">
        <f>SUMIF(64:64,E9,65:65)-SUMIF(64:64,C9,65:65)+100</f>
        <v>100</v>
      </c>
      <c r="G9" s="359"/>
      <c r="H9" s="58">
        <f>SUMIF(64:64,G9,65:65)-SUMIF(64:64,C9,65:65)+100</f>
        <v>100</v>
      </c>
      <c r="I9" s="359"/>
      <c r="J9" s="58">
        <f>SUMIF(64:64,I9,65:65)-SUMIF(64:64,C9,65:65)+100</f>
        <v>100</v>
      </c>
      <c r="K9" s="37"/>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797">
        <f t="shared" si="5"/>
        <v>1</v>
      </c>
    </row>
    <row r="10" spans="1:29" s="364" customFormat="1" ht="28.8">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7"/>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797">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43"/>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797">
        <f t="shared" si="5"/>
        <v>1</v>
      </c>
    </row>
    <row r="12" spans="1:29" s="100" customFormat="1" ht="15">
      <c r="A12" s="368"/>
      <c r="B12" s="445">
        <v>111</v>
      </c>
      <c r="C12" s="369"/>
      <c r="D12" s="370">
        <v>100</v>
      </c>
      <c r="E12" s="369"/>
      <c r="F12" s="117">
        <f>SUMIF(71:71,E12,72:72)-SUMIF(71:71,C12,72:72)+100</f>
        <v>100</v>
      </c>
      <c r="G12" s="1803"/>
      <c r="H12" s="117">
        <f>SUMIF(71:71,G12,72:72)-SUMIF(71:71,C12,72:72)+100</f>
        <v>100</v>
      </c>
      <c r="I12" s="369"/>
      <c r="J12" s="117">
        <f>SUMIF(71:71,I12,72:72)-SUMIF(71:71,C12,72:72)+100</f>
        <v>100</v>
      </c>
      <c r="K12" s="537"/>
      <c r="L12" s="2481"/>
      <c r="M12" s="2432"/>
      <c r="N12" s="2432"/>
      <c r="O12" s="2432"/>
      <c r="P12" s="3443"/>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797">
        <f>D12/J12</f>
        <v>1</v>
      </c>
    </row>
    <row r="13" spans="1:29" ht="15">
      <c r="A13" s="365"/>
      <c r="B13" s="445">
        <v>111</v>
      </c>
      <c r="C13" s="371"/>
      <c r="D13" s="372">
        <v>100</v>
      </c>
      <c r="E13" s="369"/>
      <c r="F13" s="117">
        <f>SUMIF(73:73,E13,74:74)-SUMIF(73:73,C13,74:74)+100</f>
        <v>100</v>
      </c>
      <c r="G13" s="1803"/>
      <c r="H13" s="372">
        <f>SUMIF(73:73,G13,74:74)-SUMIF(73:73,C13,74:74)+100</f>
        <v>100</v>
      </c>
      <c r="I13" s="369"/>
      <c r="J13" s="372">
        <f>SUMIF(73:73,I13,74:74)-SUMIF(73:73,C13,74:74)+100</f>
        <v>100</v>
      </c>
      <c r="K13" s="537"/>
      <c r="L13" s="2485"/>
      <c r="M13" s="2480"/>
      <c r="N13" s="2480"/>
      <c r="O13" s="2480"/>
      <c r="P13" s="3443"/>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797">
        <f t="shared" si="5"/>
        <v>1</v>
      </c>
    </row>
    <row r="14" spans="1:29" ht="15.6" thickBot="1">
      <c r="A14" s="373"/>
      <c r="B14" s="1743">
        <v>111</v>
      </c>
      <c r="C14" s="374"/>
      <c r="D14" s="375">
        <v>100</v>
      </c>
      <c r="E14" s="551"/>
      <c r="F14" s="375">
        <f>SUMIF(75:75,E14,76:76)-SUMIF(75:75,C14,76:76)+100</f>
        <v>100</v>
      </c>
      <c r="G14" s="1803"/>
      <c r="H14" s="375">
        <f>SUMIF(75:75,G14,76:76)-SUMIF(75:75,C14,76:76)+100</f>
        <v>100</v>
      </c>
      <c r="I14" s="369"/>
      <c r="J14" s="375">
        <f>SUMIF(75:75,I14,76:76)-SUMIF(75:75,C14,76:76)+100</f>
        <v>100</v>
      </c>
      <c r="K14" s="537"/>
      <c r="L14" s="2485"/>
      <c r="M14" s="2480"/>
      <c r="N14" s="2480"/>
      <c r="O14" s="2480"/>
      <c r="P14" s="3443"/>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797">
        <f t="shared" si="5"/>
        <v>1</v>
      </c>
    </row>
    <row r="15" spans="1:29" ht="15">
      <c r="A15" s="377" t="s">
        <v>1690</v>
      </c>
      <c r="B15" s="552" t="s">
        <v>1811</v>
      </c>
      <c r="C15" s="1804">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81" t="s">
        <v>1691</v>
      </c>
      <c r="Q15" s="1258" t="str">
        <f t="shared" si="6"/>
        <v>办公集聚程度</v>
      </c>
      <c r="R15" s="664" t="s">
        <v>14</v>
      </c>
      <c r="S15" s="665">
        <f t="shared" si="0"/>
        <v>100</v>
      </c>
      <c r="T15" s="664" t="s">
        <v>14</v>
      </c>
      <c r="U15" s="665">
        <f t="shared" si="1"/>
        <v>100</v>
      </c>
      <c r="V15" s="664" t="s">
        <v>14</v>
      </c>
      <c r="W15" s="665">
        <f t="shared" si="2"/>
        <v>100</v>
      </c>
      <c r="X15" s="1260"/>
      <c r="Y15" s="3438" t="s">
        <v>1691</v>
      </c>
      <c r="Z15" s="1259" t="str">
        <f t="shared" si="7"/>
        <v>办公集聚程度</v>
      </c>
      <c r="AA15" s="1259">
        <f t="shared" si="3"/>
        <v>1</v>
      </c>
      <c r="AB15" s="1259">
        <f t="shared" si="4"/>
        <v>1</v>
      </c>
      <c r="AC15" s="1805">
        <f t="shared" si="5"/>
        <v>1</v>
      </c>
    </row>
    <row r="16" spans="1:29" ht="15">
      <c r="A16" s="365"/>
      <c r="B16" s="553"/>
      <c r="C16" s="1752"/>
      <c r="D16" s="385"/>
      <c r="E16" s="384"/>
      <c r="F16" s="385"/>
      <c r="G16" s="1752"/>
      <c r="H16" s="387"/>
      <c r="I16" s="384"/>
      <c r="J16" s="385"/>
      <c r="K16" s="539"/>
      <c r="L16" s="2485"/>
      <c r="M16" s="2480"/>
      <c r="N16" s="2480"/>
      <c r="O16" s="2480"/>
      <c r="P16" s="3482"/>
      <c r="Q16" s="1258"/>
      <c r="R16" s="664"/>
      <c r="S16" s="665"/>
      <c r="T16" s="664"/>
      <c r="U16" s="665"/>
      <c r="V16" s="664"/>
      <c r="W16" s="665"/>
      <c r="X16" s="1260"/>
      <c r="Y16" s="3439"/>
      <c r="Z16" s="1259"/>
      <c r="AA16" s="1259">
        <v>1</v>
      </c>
      <c r="AB16" s="1259">
        <v>1</v>
      </c>
      <c r="AC16" s="1805">
        <v>1</v>
      </c>
    </row>
    <row r="17" spans="1:29" ht="15">
      <c r="A17" s="365"/>
      <c r="B17" s="554" t="s">
        <v>1259</v>
      </c>
      <c r="C17" s="1806"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82"/>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805">
        <f t="shared" si="5"/>
        <v>1</v>
      </c>
    </row>
    <row r="18" spans="1:29" ht="15">
      <c r="A18" s="365"/>
      <c r="B18" s="399"/>
      <c r="C18" s="1807"/>
      <c r="D18" s="387"/>
      <c r="E18" s="1750"/>
      <c r="F18" s="387"/>
      <c r="G18" s="1751"/>
      <c r="H18" s="385"/>
      <c r="I18" s="1751"/>
      <c r="J18" s="385"/>
      <c r="K18" s="539"/>
      <c r="L18" s="2485"/>
      <c r="M18" s="2480"/>
      <c r="N18" s="2480"/>
      <c r="O18" s="2480"/>
      <c r="P18" s="3482"/>
      <c r="Q18" s="1258"/>
      <c r="R18" s="664"/>
      <c r="S18" s="665"/>
      <c r="T18" s="664"/>
      <c r="U18" s="665"/>
      <c r="V18" s="664"/>
      <c r="W18" s="665"/>
      <c r="X18" s="1260"/>
      <c r="Y18" s="3439"/>
      <c r="Z18" s="1259"/>
      <c r="AA18" s="1259">
        <v>1</v>
      </c>
      <c r="AB18" s="1259">
        <v>1</v>
      </c>
      <c r="AC18" s="1805">
        <v>1</v>
      </c>
    </row>
    <row r="19" spans="1:29" ht="15">
      <c r="A19" s="365"/>
      <c r="B19" s="554" t="s">
        <v>1812</v>
      </c>
      <c r="C19" s="1806" t="str">
        <f>估价对象房地状况!C7</f>
        <v>较差</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82"/>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805">
        <f t="shared" si="5"/>
        <v>1</v>
      </c>
    </row>
    <row r="20" spans="1:29" ht="15">
      <c r="A20" s="365"/>
      <c r="B20" s="399"/>
      <c r="C20" s="1752"/>
      <c r="D20" s="385"/>
      <c r="E20" s="1745"/>
      <c r="F20" s="385"/>
      <c r="G20" s="1746"/>
      <c r="H20" s="385"/>
      <c r="I20" s="1746"/>
      <c r="J20" s="385"/>
      <c r="K20" s="539"/>
      <c r="L20" s="2485"/>
      <c r="M20" s="2480"/>
      <c r="N20" s="2480"/>
      <c r="O20" s="2480"/>
      <c r="P20" s="3482"/>
      <c r="Q20" s="1258"/>
      <c r="R20" s="664"/>
      <c r="S20" s="665"/>
      <c r="T20" s="664"/>
      <c r="U20" s="665"/>
      <c r="V20" s="664"/>
      <c r="W20" s="665"/>
      <c r="X20" s="1260"/>
      <c r="Y20" s="3439"/>
      <c r="Z20" s="1259"/>
      <c r="AA20" s="1259">
        <v>1</v>
      </c>
      <c r="AB20" s="1259">
        <v>1</v>
      </c>
      <c r="AC20" s="1805">
        <v>1</v>
      </c>
    </row>
    <row r="21" spans="1:29" ht="15">
      <c r="A21" s="365"/>
      <c r="B21" s="555" t="s">
        <v>1813</v>
      </c>
      <c r="C21" s="1806"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805">
        <f t="shared" ref="AC21" si="10">D21/J21</f>
        <v>1</v>
      </c>
    </row>
    <row r="22" spans="1:29" ht="15">
      <c r="A22" s="365"/>
      <c r="B22" s="555"/>
      <c r="C22" s="1807"/>
      <c r="D22" s="385"/>
      <c r="E22" s="384"/>
      <c r="F22" s="385"/>
      <c r="G22" s="1752"/>
      <c r="H22" s="385"/>
      <c r="I22" s="1752"/>
      <c r="J22" s="385"/>
      <c r="K22" s="1059"/>
      <c r="L22" s="2485"/>
      <c r="M22" s="2480"/>
      <c r="N22" s="2480"/>
      <c r="O22" s="2480"/>
      <c r="P22" s="3482"/>
      <c r="Q22" s="1258"/>
      <c r="R22" s="664"/>
      <c r="S22" s="665"/>
      <c r="T22" s="664"/>
      <c r="U22" s="665"/>
      <c r="V22" s="664"/>
      <c r="W22" s="665"/>
      <c r="X22" s="1260"/>
      <c r="Y22" s="3439"/>
      <c r="Z22" s="1259"/>
      <c r="AA22" s="1259">
        <v>1</v>
      </c>
      <c r="AB22" s="1259">
        <v>1</v>
      </c>
      <c r="AC22" s="1805">
        <v>1</v>
      </c>
    </row>
    <row r="23" spans="1:29" ht="15">
      <c r="A23" s="365"/>
      <c r="B23" s="554" t="s">
        <v>1814</v>
      </c>
      <c r="C23" s="1806"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82"/>
      <c r="Q23" s="1258" t="str">
        <f>B23</f>
        <v>环境质量</v>
      </c>
      <c r="R23" s="664" t="s">
        <v>14</v>
      </c>
      <c r="S23" s="665">
        <f>F23</f>
        <v>100</v>
      </c>
      <c r="T23" s="664" t="s">
        <v>14</v>
      </c>
      <c r="U23" s="665">
        <f>H23</f>
        <v>100</v>
      </c>
      <c r="V23" s="664" t="s">
        <v>14</v>
      </c>
      <c r="W23" s="665">
        <f>J23</f>
        <v>100</v>
      </c>
      <c r="X23" s="1260"/>
      <c r="Y23" s="3439"/>
      <c r="Z23" s="1259" t="str">
        <f>Q23</f>
        <v>环境质量</v>
      </c>
      <c r="AA23" s="1259">
        <f t="shared" si="3"/>
        <v>1</v>
      </c>
      <c r="AB23" s="1259">
        <f t="shared" si="4"/>
        <v>1</v>
      </c>
      <c r="AC23" s="1805">
        <f t="shared" si="5"/>
        <v>1</v>
      </c>
    </row>
    <row r="24" spans="1:29" ht="15">
      <c r="A24" s="365"/>
      <c r="B24" s="555"/>
      <c r="C24" s="1752"/>
      <c r="D24" s="385"/>
      <c r="E24" s="1745"/>
      <c r="F24" s="385"/>
      <c r="G24" s="1746"/>
      <c r="H24" s="385"/>
      <c r="I24" s="1746"/>
      <c r="J24" s="385"/>
      <c r="K24" s="539"/>
      <c r="L24" s="2485"/>
      <c r="M24" s="2480"/>
      <c r="N24" s="2480"/>
      <c r="O24" s="2480"/>
      <c r="P24" s="3482"/>
      <c r="Q24" s="1258"/>
      <c r="R24" s="664"/>
      <c r="S24" s="665"/>
      <c r="T24" s="664"/>
      <c r="U24" s="665"/>
      <c r="V24" s="664"/>
      <c r="W24" s="665"/>
      <c r="X24" s="1260"/>
      <c r="Y24" s="3439"/>
      <c r="Z24" s="1259"/>
      <c r="AA24" s="1259">
        <v>1</v>
      </c>
      <c r="AB24" s="1259">
        <v>1</v>
      </c>
      <c r="AC24" s="1805">
        <v>1</v>
      </c>
    </row>
    <row r="25" spans="1:29" ht="28.8">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5"/>
      <c r="M25" s="2480"/>
      <c r="N25" s="2480"/>
      <c r="O25" s="2480"/>
      <c r="P25" s="3482"/>
      <c r="Q25" s="1258" t="str">
        <f>B25</f>
        <v>毗邻道路的类型与等级</v>
      </c>
      <c r="R25" s="664" t="s">
        <v>14</v>
      </c>
      <c r="S25" s="665">
        <f>F25</f>
        <v>100</v>
      </c>
      <c r="T25" s="664" t="s">
        <v>14</v>
      </c>
      <c r="U25" s="665">
        <f>H25</f>
        <v>100</v>
      </c>
      <c r="V25" s="664" t="s">
        <v>14</v>
      </c>
      <c r="W25" s="665">
        <f>J25</f>
        <v>100</v>
      </c>
      <c r="X25" s="1260"/>
      <c r="Y25" s="3439"/>
      <c r="Z25" s="1259" t="str">
        <f>Q25</f>
        <v>毗邻道路的类型与等级</v>
      </c>
      <c r="AA25" s="1259">
        <f t="shared" si="3"/>
        <v>1</v>
      </c>
      <c r="AB25" s="1259">
        <f t="shared" si="4"/>
        <v>1</v>
      </c>
      <c r="AC25" s="1805">
        <f t="shared" si="5"/>
        <v>1</v>
      </c>
    </row>
    <row r="26" spans="1:29" ht="15">
      <c r="A26" s="346"/>
      <c r="B26" s="399"/>
      <c r="C26" s="556"/>
      <c r="D26" s="372"/>
      <c r="E26" s="540"/>
      <c r="F26" s="372"/>
      <c r="G26" s="556"/>
      <c r="H26" s="372"/>
      <c r="I26" s="540"/>
      <c r="J26" s="372"/>
      <c r="K26" s="539"/>
      <c r="L26" s="2485"/>
      <c r="M26" s="2480"/>
      <c r="N26" s="2480"/>
      <c r="O26" s="2480"/>
      <c r="P26" s="3482"/>
      <c r="Q26" s="1258"/>
      <c r="R26" s="664"/>
      <c r="S26" s="665"/>
      <c r="T26" s="664"/>
      <c r="U26" s="665"/>
      <c r="V26" s="664"/>
      <c r="W26" s="665"/>
      <c r="X26" s="1260"/>
      <c r="Y26" s="3439"/>
      <c r="Z26" s="1259"/>
      <c r="AA26" s="1259">
        <v>1</v>
      </c>
      <c r="AB26" s="1259">
        <v>1</v>
      </c>
      <c r="AC26" s="1805">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82"/>
      <c r="Q27" s="1258" t="str">
        <f t="shared" ref="Q27:Q47" si="11">B27</f>
        <v>楼层</v>
      </c>
      <c r="R27" s="664" t="s">
        <v>14</v>
      </c>
      <c r="S27" s="665">
        <f>F27</f>
        <v>100</v>
      </c>
      <c r="T27" s="664" t="s">
        <v>14</v>
      </c>
      <c r="U27" s="665">
        <f>H27</f>
        <v>100</v>
      </c>
      <c r="V27" s="664" t="s">
        <v>14</v>
      </c>
      <c r="W27" s="665">
        <f>J27</f>
        <v>100</v>
      </c>
      <c r="X27" s="1260"/>
      <c r="Y27" s="3439"/>
      <c r="Z27" s="1259" t="str">
        <f>Q27</f>
        <v>楼层</v>
      </c>
      <c r="AA27" s="1259">
        <f t="shared" si="3"/>
        <v>1</v>
      </c>
      <c r="AB27" s="1259">
        <f t="shared" si="4"/>
        <v>1</v>
      </c>
      <c r="AC27" s="1805">
        <f t="shared" si="5"/>
        <v>1</v>
      </c>
    </row>
    <row r="28" spans="1:29" s="100" customFormat="1" ht="15">
      <c r="A28" s="368"/>
      <c r="B28" s="554" t="s">
        <v>1816</v>
      </c>
      <c r="C28" s="1808"/>
      <c r="D28" s="399">
        <v>100</v>
      </c>
      <c r="E28" s="1800"/>
      <c r="F28" s="399">
        <f>SUMIF(91:91,E28,92:92)-SUMIF(91:91,C28,92:92)+100</f>
        <v>100</v>
      </c>
      <c r="G28" s="1808"/>
      <c r="H28" s="399">
        <f>SUMIF(91:91,G28,92:92)-SUMIF(91:91,C28,92:92)+100</f>
        <v>100</v>
      </c>
      <c r="I28" s="1800"/>
      <c r="J28" s="399">
        <f>SUMIF(91:91,I28,92:92)-SUMIF(91:91,C28,92:92)+100</f>
        <v>100</v>
      </c>
      <c r="K28" s="536"/>
      <c r="L28" s="2481"/>
      <c r="M28" s="2432"/>
      <c r="N28" s="2432"/>
      <c r="O28" s="2432"/>
      <c r="P28" s="3482"/>
      <c r="Q28" s="528" t="str">
        <f t="shared" si="11"/>
        <v>朝向</v>
      </c>
      <c r="R28" s="661" t="s">
        <v>14</v>
      </c>
      <c r="S28" s="662">
        <f>F28</f>
        <v>100</v>
      </c>
      <c r="T28" s="661" t="s">
        <v>14</v>
      </c>
      <c r="U28" s="662">
        <f>H28</f>
        <v>100</v>
      </c>
      <c r="V28" s="661" t="s">
        <v>14</v>
      </c>
      <c r="W28" s="662">
        <f>J28</f>
        <v>100</v>
      </c>
      <c r="X28" s="663"/>
      <c r="Y28" s="3439"/>
      <c r="Z28" s="49" t="str">
        <f>Q28</f>
        <v>朝向</v>
      </c>
      <c r="AA28" s="1259">
        <f>D28/F28</f>
        <v>1</v>
      </c>
      <c r="AB28" s="1259">
        <f>D28/H28</f>
        <v>1</v>
      </c>
      <c r="AC28" s="1805">
        <f>D28/J28</f>
        <v>1</v>
      </c>
    </row>
    <row r="29" spans="1:29" ht="15">
      <c r="A29" s="365"/>
      <c r="B29" s="1094">
        <v>111</v>
      </c>
      <c r="C29" s="1756"/>
      <c r="D29" s="372">
        <v>100</v>
      </c>
      <c r="E29" s="369"/>
      <c r="F29" s="372">
        <f>SUMIF(93:93,E29,94:94)-SUMIF(93:93,C29,94:94)+100</f>
        <v>100</v>
      </c>
      <c r="G29" s="1803"/>
      <c r="H29" s="372">
        <f>SUMIF(93:93,G29,94:94)-SUMIF(93:93,C29,94:94)+100</f>
        <v>100</v>
      </c>
      <c r="I29" s="369"/>
      <c r="J29" s="372">
        <f>SUMIF(93:93,I29,94:94)-SUMIF(93:93,C29,94:94)+100</f>
        <v>100</v>
      </c>
      <c r="K29" s="537"/>
      <c r="L29" s="2485"/>
      <c r="M29" s="2480"/>
      <c r="N29" s="2480"/>
      <c r="O29" s="2480"/>
      <c r="P29" s="3482"/>
      <c r="Q29" s="1258">
        <f t="shared" si="11"/>
        <v>111</v>
      </c>
      <c r="R29" s="664" t="s">
        <v>14</v>
      </c>
      <c r="S29" s="665">
        <f t="shared" ref="S29:S47" si="12">F29</f>
        <v>100</v>
      </c>
      <c r="T29" s="664" t="s">
        <v>14</v>
      </c>
      <c r="U29" s="665">
        <f t="shared" ref="U29:U47" si="13">H29</f>
        <v>100</v>
      </c>
      <c r="V29" s="664" t="s">
        <v>14</v>
      </c>
      <c r="W29" s="665">
        <f t="shared" ref="W29:W47" si="14">J29</f>
        <v>100</v>
      </c>
      <c r="X29" s="1260"/>
      <c r="Y29" s="3439"/>
      <c r="Z29" s="1259">
        <f t="shared" ref="Z29:Z47" si="15">Q29</f>
        <v>111</v>
      </c>
      <c r="AA29" s="1259">
        <f t="shared" si="3"/>
        <v>1</v>
      </c>
      <c r="AB29" s="1259">
        <f t="shared" si="4"/>
        <v>1</v>
      </c>
      <c r="AC29" s="1805">
        <f t="shared" si="5"/>
        <v>1</v>
      </c>
    </row>
    <row r="30" spans="1:29" ht="15">
      <c r="A30" s="365"/>
      <c r="B30" s="1094">
        <v>111</v>
      </c>
      <c r="C30" s="1756"/>
      <c r="D30" s="372">
        <v>100</v>
      </c>
      <c r="E30" s="369"/>
      <c r="F30" s="372">
        <f>SUMIF(95:95,E30,96:96)-SUMIF(95:95,C30,96:96)+100</f>
        <v>100</v>
      </c>
      <c r="G30" s="1803"/>
      <c r="H30" s="372">
        <f>SUMIF(95:95,G30,96:96)-SUMIF(95:95,C30,96:96)+100</f>
        <v>100</v>
      </c>
      <c r="I30" s="369"/>
      <c r="J30" s="372">
        <f>SUMIF(95:95,I30,96:96)-SUMIF(95:95,C30,96:96)+100</f>
        <v>100</v>
      </c>
      <c r="K30" s="537"/>
      <c r="L30" s="2485"/>
      <c r="M30" s="2480"/>
      <c r="N30" s="2480"/>
      <c r="O30" s="2480"/>
      <c r="P30" s="3482"/>
      <c r="Q30" s="1258">
        <f t="shared" si="11"/>
        <v>111</v>
      </c>
      <c r="R30" s="664" t="s">
        <v>14</v>
      </c>
      <c r="S30" s="665">
        <f t="shared" si="12"/>
        <v>100</v>
      </c>
      <c r="T30" s="664" t="s">
        <v>14</v>
      </c>
      <c r="U30" s="665">
        <f t="shared" si="13"/>
        <v>100</v>
      </c>
      <c r="V30" s="664" t="s">
        <v>14</v>
      </c>
      <c r="W30" s="665">
        <f t="shared" si="14"/>
        <v>100</v>
      </c>
      <c r="X30" s="1260"/>
      <c r="Y30" s="3439"/>
      <c r="Z30" s="1259">
        <f t="shared" si="15"/>
        <v>111</v>
      </c>
      <c r="AA30" s="1259">
        <f t="shared" si="3"/>
        <v>1</v>
      </c>
      <c r="AB30" s="1259">
        <f t="shared" si="4"/>
        <v>1</v>
      </c>
      <c r="AC30" s="1805">
        <f t="shared" si="5"/>
        <v>1</v>
      </c>
    </row>
    <row r="31" spans="1:29" ht="15">
      <c r="A31" s="365"/>
      <c r="B31" s="1094">
        <v>111</v>
      </c>
      <c r="C31" s="1756"/>
      <c r="D31" s="372">
        <v>100</v>
      </c>
      <c r="E31" s="369"/>
      <c r="F31" s="372">
        <f>SUMIF(97:97,E31,98:98)-SUMIF(97:97,C31,98:98)+100</f>
        <v>100</v>
      </c>
      <c r="G31" s="1803"/>
      <c r="H31" s="372">
        <f>SUMIF(97:97,G31,98:98)-SUMIF(97:97,C31,98:98)+100</f>
        <v>100</v>
      </c>
      <c r="I31" s="369"/>
      <c r="J31" s="372">
        <f>SUMIF(97:97,I31,98:98)-SUMIF(97:97,C31,98:98)+100</f>
        <v>100</v>
      </c>
      <c r="K31" s="537"/>
      <c r="L31" s="2485"/>
      <c r="M31" s="2480"/>
      <c r="N31" s="2480"/>
      <c r="O31" s="2480"/>
      <c r="P31" s="3482"/>
      <c r="Q31" s="1258">
        <f t="shared" si="11"/>
        <v>111</v>
      </c>
      <c r="R31" s="664" t="s">
        <v>14</v>
      </c>
      <c r="S31" s="665">
        <f t="shared" si="12"/>
        <v>100</v>
      </c>
      <c r="T31" s="664" t="s">
        <v>14</v>
      </c>
      <c r="U31" s="665">
        <f t="shared" si="13"/>
        <v>100</v>
      </c>
      <c r="V31" s="664" t="s">
        <v>14</v>
      </c>
      <c r="W31" s="665">
        <f t="shared" si="14"/>
        <v>100</v>
      </c>
      <c r="X31" s="1260"/>
      <c r="Y31" s="3439"/>
      <c r="Z31" s="1259">
        <f t="shared" si="15"/>
        <v>111</v>
      </c>
      <c r="AA31" s="1259">
        <f t="shared" si="3"/>
        <v>1</v>
      </c>
      <c r="AB31" s="1259">
        <f t="shared" si="4"/>
        <v>1</v>
      </c>
      <c r="AC31" s="1805">
        <f t="shared" si="5"/>
        <v>1</v>
      </c>
    </row>
    <row r="32" spans="1:29" ht="15.6" thickBot="1">
      <c r="A32" s="373"/>
      <c r="B32" s="557">
        <v>111</v>
      </c>
      <c r="C32" s="1757"/>
      <c r="D32" s="375">
        <v>100</v>
      </c>
      <c r="E32" s="551"/>
      <c r="F32" s="375">
        <f>SUMIF(99:99,E32,100:100)-SUMIF(99:99,C32,100:100)+100</f>
        <v>100</v>
      </c>
      <c r="G32" s="1803"/>
      <c r="H32" s="375">
        <f>SUMIF(99:99,G32,100:100)-SUMIF(99:99,C32,100:100)+100</f>
        <v>100</v>
      </c>
      <c r="I32" s="369"/>
      <c r="J32" s="375">
        <f>SUMIF(99:99,I32,100:100)-SUMIF(99:99,C32,100:100)+100</f>
        <v>100</v>
      </c>
      <c r="K32" s="537"/>
      <c r="L32" s="2485"/>
      <c r="M32" s="2480"/>
      <c r="N32" s="2480"/>
      <c r="O32" s="2480"/>
      <c r="P32" s="3482"/>
      <c r="Q32" s="1258">
        <f t="shared" si="11"/>
        <v>111</v>
      </c>
      <c r="R32" s="664" t="s">
        <v>14</v>
      </c>
      <c r="S32" s="665">
        <f t="shared" si="12"/>
        <v>100</v>
      </c>
      <c r="T32" s="664" t="s">
        <v>14</v>
      </c>
      <c r="U32" s="665">
        <f t="shared" si="13"/>
        <v>100</v>
      </c>
      <c r="V32" s="664" t="s">
        <v>14</v>
      </c>
      <c r="W32" s="665">
        <f t="shared" si="14"/>
        <v>100</v>
      </c>
      <c r="X32" s="1260"/>
      <c r="Y32" s="3439"/>
      <c r="Z32" s="1259">
        <f t="shared" si="15"/>
        <v>111</v>
      </c>
      <c r="AA32" s="1259">
        <f t="shared" si="3"/>
        <v>1</v>
      </c>
      <c r="AB32" s="1259">
        <f t="shared" si="4"/>
        <v>1</v>
      </c>
      <c r="AC32" s="1805">
        <f t="shared" si="5"/>
        <v>1</v>
      </c>
    </row>
    <row r="33" spans="1:29" ht="15">
      <c r="A33" s="377" t="s">
        <v>1694</v>
      </c>
      <c r="B33" s="59"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5"/>
      <c r="M33" s="2480"/>
      <c r="N33" s="2480"/>
      <c r="O33" s="2480"/>
      <c r="P33" s="3477" t="s">
        <v>1696</v>
      </c>
      <c r="Q33" s="1258" t="str">
        <f t="shared" si="11"/>
        <v>建筑类型</v>
      </c>
      <c r="R33" s="664" t="s">
        <v>14</v>
      </c>
      <c r="S33" s="665">
        <f t="shared" si="12"/>
        <v>100</v>
      </c>
      <c r="T33" s="664" t="s">
        <v>14</v>
      </c>
      <c r="U33" s="665">
        <f t="shared" si="13"/>
        <v>100</v>
      </c>
      <c r="V33" s="664" t="s">
        <v>14</v>
      </c>
      <c r="W33" s="665">
        <f t="shared" si="14"/>
        <v>100</v>
      </c>
      <c r="X33" s="1260"/>
      <c r="Y33" s="3441" t="s">
        <v>1696</v>
      </c>
      <c r="Z33" s="1259" t="str">
        <f t="shared" si="15"/>
        <v>建筑类型</v>
      </c>
      <c r="AA33" s="1259">
        <f t="shared" si="3"/>
        <v>1</v>
      </c>
      <c r="AB33" s="1259">
        <f t="shared" si="4"/>
        <v>1</v>
      </c>
      <c r="AC33" s="1805">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8"/>
      <c r="Q34" s="529" t="str">
        <f t="shared" si="11"/>
        <v>项目建筑规模</v>
      </c>
      <c r="R34" s="666" t="s">
        <v>14</v>
      </c>
      <c r="S34" s="667" t="e">
        <f t="shared" si="12"/>
        <v>#N/A</v>
      </c>
      <c r="T34" s="666" t="s">
        <v>14</v>
      </c>
      <c r="U34" s="667" t="e">
        <f t="shared" si="13"/>
        <v>#N/A</v>
      </c>
      <c r="V34" s="666" t="s">
        <v>14</v>
      </c>
      <c r="W34" s="667" t="e">
        <f t="shared" si="14"/>
        <v>#N/A</v>
      </c>
      <c r="X34" s="668"/>
      <c r="Y34" s="3441"/>
      <c r="Z34" s="669" t="str">
        <f t="shared" si="15"/>
        <v>项目建筑规模</v>
      </c>
      <c r="AA34" s="1259" t="e">
        <f t="shared" si="3"/>
        <v>#N/A</v>
      </c>
      <c r="AB34" s="1259" t="e">
        <f t="shared" si="4"/>
        <v>#N/A</v>
      </c>
      <c r="AC34" s="1805"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8"/>
      <c r="Q35" s="1258" t="str">
        <f t="shared" si="11"/>
        <v>建筑结构</v>
      </c>
      <c r="R35" s="664" t="s">
        <v>14</v>
      </c>
      <c r="S35" s="665">
        <f t="shared" si="12"/>
        <v>100</v>
      </c>
      <c r="T35" s="664" t="s">
        <v>14</v>
      </c>
      <c r="U35" s="665">
        <f t="shared" si="13"/>
        <v>100</v>
      </c>
      <c r="V35" s="664" t="s">
        <v>14</v>
      </c>
      <c r="W35" s="665">
        <f t="shared" si="14"/>
        <v>100</v>
      </c>
      <c r="X35" s="1260"/>
      <c r="Y35" s="3441"/>
      <c r="Z35" s="1259" t="str">
        <f t="shared" si="15"/>
        <v>建筑结构</v>
      </c>
      <c r="AA35" s="1259">
        <f t="shared" si="3"/>
        <v>1</v>
      </c>
      <c r="AB35" s="1259">
        <f t="shared" si="4"/>
        <v>1</v>
      </c>
      <c r="AC35" s="1805">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8"/>
      <c r="Q36" s="1258" t="str">
        <f t="shared" si="11"/>
        <v>公共部分装修</v>
      </c>
      <c r="R36" s="664" t="s">
        <v>14</v>
      </c>
      <c r="S36" s="665">
        <f t="shared" si="12"/>
        <v>100</v>
      </c>
      <c r="T36" s="664" t="s">
        <v>14</v>
      </c>
      <c r="U36" s="665">
        <f t="shared" si="13"/>
        <v>100</v>
      </c>
      <c r="V36" s="664" t="s">
        <v>14</v>
      </c>
      <c r="W36" s="665">
        <f t="shared" si="14"/>
        <v>100</v>
      </c>
      <c r="X36" s="1260"/>
      <c r="Y36" s="3441"/>
      <c r="Z36" s="1259" t="str">
        <f t="shared" si="15"/>
        <v>公共部分装修</v>
      </c>
      <c r="AA36" s="1259">
        <f t="shared" si="3"/>
        <v>1</v>
      </c>
      <c r="AB36" s="1259">
        <f t="shared" si="4"/>
        <v>1</v>
      </c>
      <c r="AC36" s="1805">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8"/>
      <c r="Q37" s="1258" t="str">
        <f t="shared" si="11"/>
        <v>成新度</v>
      </c>
      <c r="R37" s="664" t="s">
        <v>14</v>
      </c>
      <c r="S37" s="665" t="e">
        <f t="shared" si="12"/>
        <v>#N/A</v>
      </c>
      <c r="T37" s="664" t="s">
        <v>14</v>
      </c>
      <c r="U37" s="665" t="e">
        <f t="shared" si="13"/>
        <v>#N/A</v>
      </c>
      <c r="V37" s="664" t="s">
        <v>14</v>
      </c>
      <c r="W37" s="665" t="e">
        <f t="shared" si="14"/>
        <v>#N/A</v>
      </c>
      <c r="X37" s="1260"/>
      <c r="Y37" s="3441"/>
      <c r="Z37" s="1259" t="str">
        <f t="shared" si="15"/>
        <v>成新度</v>
      </c>
      <c r="AA37" s="1259" t="e">
        <f t="shared" si="3"/>
        <v>#N/A</v>
      </c>
      <c r="AB37" s="1259" t="e">
        <f t="shared" si="4"/>
        <v>#N/A</v>
      </c>
      <c r="AC37" s="1805"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2"/>
      <c r="N38" s="2432"/>
      <c r="O38" s="2432"/>
      <c r="P38" s="3478"/>
      <c r="Q38" s="528" t="str">
        <f t="shared" si="11"/>
        <v>写字楼等级</v>
      </c>
      <c r="R38" s="661" t="s">
        <v>14</v>
      </c>
      <c r="S38" s="662">
        <f t="shared" si="12"/>
        <v>100</v>
      </c>
      <c r="T38" s="661" t="s">
        <v>14</v>
      </c>
      <c r="U38" s="662">
        <f t="shared" si="13"/>
        <v>100</v>
      </c>
      <c r="V38" s="661" t="s">
        <v>14</v>
      </c>
      <c r="W38" s="662">
        <f t="shared" si="14"/>
        <v>100</v>
      </c>
      <c r="X38" s="663"/>
      <c r="Y38" s="3441"/>
      <c r="Z38" s="49" t="str">
        <f t="shared" si="15"/>
        <v>写字楼等级</v>
      </c>
      <c r="AA38" s="49">
        <f t="shared" si="3"/>
        <v>1</v>
      </c>
      <c r="AB38" s="49">
        <f t="shared" si="4"/>
        <v>1</v>
      </c>
      <c r="AC38" s="797">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8" t="s">
        <v>1696</v>
      </c>
      <c r="Q39" s="1258" t="str">
        <f t="shared" si="11"/>
        <v>物业管理</v>
      </c>
      <c r="R39" s="664" t="s">
        <v>14</v>
      </c>
      <c r="S39" s="665">
        <f t="shared" si="12"/>
        <v>100</v>
      </c>
      <c r="T39" s="664" t="s">
        <v>14</v>
      </c>
      <c r="U39" s="665">
        <f t="shared" si="13"/>
        <v>100</v>
      </c>
      <c r="V39" s="664" t="s">
        <v>14</v>
      </c>
      <c r="W39" s="665">
        <f t="shared" si="14"/>
        <v>100</v>
      </c>
      <c r="X39" s="1260"/>
      <c r="Y39" s="3441" t="s">
        <v>1696</v>
      </c>
      <c r="Z39" s="1259" t="str">
        <f t="shared" si="15"/>
        <v>物业管理</v>
      </c>
      <c r="AA39" s="1259">
        <f t="shared" si="3"/>
        <v>1</v>
      </c>
      <c r="AB39" s="1259">
        <f t="shared" si="4"/>
        <v>1</v>
      </c>
      <c r="AC39" s="1805">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8"/>
      <c r="Q40" s="1258" t="str">
        <f t="shared" si="11"/>
        <v>市政基础设施</v>
      </c>
      <c r="R40" s="664" t="s">
        <v>14</v>
      </c>
      <c r="S40" s="665">
        <f t="shared" si="12"/>
        <v>100</v>
      </c>
      <c r="T40" s="664" t="s">
        <v>14</v>
      </c>
      <c r="U40" s="665">
        <f t="shared" si="13"/>
        <v>100</v>
      </c>
      <c r="V40" s="664" t="s">
        <v>14</v>
      </c>
      <c r="W40" s="665">
        <f t="shared" si="14"/>
        <v>100</v>
      </c>
      <c r="X40" s="1260"/>
      <c r="Y40" s="3441"/>
      <c r="Z40" s="1259" t="str">
        <f t="shared" si="15"/>
        <v>市政基础设施</v>
      </c>
      <c r="AA40" s="1259">
        <f t="shared" si="3"/>
        <v>1</v>
      </c>
      <c r="AB40" s="1259">
        <f t="shared" si="4"/>
        <v>1</v>
      </c>
      <c r="AC40" s="1805">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8"/>
      <c r="Q41" s="1258" t="str">
        <f t="shared" si="11"/>
        <v>层高</v>
      </c>
      <c r="R41" s="664" t="s">
        <v>14</v>
      </c>
      <c r="S41" s="665">
        <f t="shared" si="12"/>
        <v>100</v>
      </c>
      <c r="T41" s="664" t="s">
        <v>14</v>
      </c>
      <c r="U41" s="665">
        <f t="shared" si="13"/>
        <v>100</v>
      </c>
      <c r="V41" s="664" t="s">
        <v>14</v>
      </c>
      <c r="W41" s="665">
        <f t="shared" si="14"/>
        <v>100</v>
      </c>
      <c r="X41" s="1260"/>
      <c r="Y41" s="3441"/>
      <c r="Z41" s="1259" t="str">
        <f t="shared" si="15"/>
        <v>层高</v>
      </c>
      <c r="AA41" s="1259">
        <f t="shared" si="3"/>
        <v>1</v>
      </c>
      <c r="AB41" s="1259">
        <f t="shared" si="4"/>
        <v>1</v>
      </c>
      <c r="AC41" s="1805">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8"/>
      <c r="Q42" s="529" t="str">
        <f t="shared" si="11"/>
        <v>单套建筑面积</v>
      </c>
      <c r="R42" s="666" t="s">
        <v>14</v>
      </c>
      <c r="S42" s="667">
        <f t="shared" si="12"/>
        <v>100</v>
      </c>
      <c r="T42" s="666" t="s">
        <v>14</v>
      </c>
      <c r="U42" s="667">
        <f t="shared" si="13"/>
        <v>100</v>
      </c>
      <c r="V42" s="666" t="s">
        <v>14</v>
      </c>
      <c r="W42" s="667">
        <f t="shared" si="14"/>
        <v>100</v>
      </c>
      <c r="X42" s="668"/>
      <c r="Y42" s="3441"/>
      <c r="Z42" s="669" t="str">
        <f t="shared" si="15"/>
        <v>单套建筑面积</v>
      </c>
      <c r="AA42" s="1259">
        <f t="shared" si="3"/>
        <v>1</v>
      </c>
      <c r="AB42" s="1259">
        <f t="shared" si="4"/>
        <v>1</v>
      </c>
      <c r="AC42" s="1805">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8"/>
      <c r="Q43" s="1258" t="str">
        <f t="shared" si="11"/>
        <v>内部装修</v>
      </c>
      <c r="R43" s="664" t="s">
        <v>14</v>
      </c>
      <c r="S43" s="665">
        <f t="shared" si="12"/>
        <v>100</v>
      </c>
      <c r="T43" s="664" t="s">
        <v>14</v>
      </c>
      <c r="U43" s="665">
        <f t="shared" si="13"/>
        <v>100</v>
      </c>
      <c r="V43" s="664" t="s">
        <v>14</v>
      </c>
      <c r="W43" s="665">
        <f t="shared" si="14"/>
        <v>100</v>
      </c>
      <c r="X43" s="1260"/>
      <c r="Y43" s="3441"/>
      <c r="Z43" s="1259" t="str">
        <f t="shared" si="15"/>
        <v>内部装修</v>
      </c>
      <c r="AA43" s="1259">
        <f t="shared" si="3"/>
        <v>1</v>
      </c>
      <c r="AB43" s="1259">
        <f t="shared" si="4"/>
        <v>1</v>
      </c>
      <c r="AC43" s="1805">
        <f t="shared" si="5"/>
        <v>1</v>
      </c>
    </row>
    <row r="44" spans="1:29" ht="28.8">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5"/>
      <c r="M44" s="2480"/>
      <c r="N44" s="2480"/>
      <c r="O44" s="2480"/>
      <c r="P44" s="3478"/>
      <c r="Q44" s="1258" t="str">
        <f t="shared" si="11"/>
        <v>内部装修维护情况</v>
      </c>
      <c r="R44" s="664" t="s">
        <v>14</v>
      </c>
      <c r="S44" s="665">
        <f t="shared" si="12"/>
        <v>100</v>
      </c>
      <c r="T44" s="664" t="s">
        <v>14</v>
      </c>
      <c r="U44" s="665">
        <f t="shared" si="13"/>
        <v>100</v>
      </c>
      <c r="V44" s="664" t="s">
        <v>14</v>
      </c>
      <c r="W44" s="665">
        <f t="shared" si="14"/>
        <v>100</v>
      </c>
      <c r="X44" s="1260"/>
      <c r="Y44" s="3441"/>
      <c r="Z44" s="1259" t="str">
        <f t="shared" si="15"/>
        <v>内部装修维护情况</v>
      </c>
      <c r="AA44" s="1259">
        <f t="shared" si="3"/>
        <v>1</v>
      </c>
      <c r="AB44" s="1259">
        <f t="shared" si="4"/>
        <v>1</v>
      </c>
      <c r="AC44" s="1805">
        <f t="shared" si="5"/>
        <v>1</v>
      </c>
    </row>
    <row r="45" spans="1:29" s="100"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2"/>
      <c r="N45" s="2432"/>
      <c r="O45" s="2432"/>
      <c r="P45" s="3478"/>
      <c r="Q45" s="528">
        <f t="shared" si="11"/>
        <v>111</v>
      </c>
      <c r="R45" s="661" t="s">
        <v>14</v>
      </c>
      <c r="S45" s="662">
        <f t="shared" si="12"/>
        <v>100</v>
      </c>
      <c r="T45" s="661" t="s">
        <v>14</v>
      </c>
      <c r="U45" s="662">
        <f t="shared" si="13"/>
        <v>100</v>
      </c>
      <c r="V45" s="661" t="s">
        <v>14</v>
      </c>
      <c r="W45" s="662">
        <f t="shared" si="14"/>
        <v>100</v>
      </c>
      <c r="X45" s="663"/>
      <c r="Y45" s="3441"/>
      <c r="Z45" s="49">
        <f t="shared" si="15"/>
        <v>111</v>
      </c>
      <c r="AA45" s="49">
        <f t="shared" si="3"/>
        <v>1</v>
      </c>
      <c r="AB45" s="49">
        <f t="shared" si="4"/>
        <v>1</v>
      </c>
      <c r="AC45" s="797">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8"/>
      <c r="Q46" s="1258">
        <f t="shared" si="11"/>
        <v>111</v>
      </c>
      <c r="R46" s="664" t="s">
        <v>14</v>
      </c>
      <c r="S46" s="665">
        <f t="shared" si="12"/>
        <v>100</v>
      </c>
      <c r="T46" s="664" t="s">
        <v>14</v>
      </c>
      <c r="U46" s="665">
        <f t="shared" si="13"/>
        <v>100</v>
      </c>
      <c r="V46" s="664" t="s">
        <v>14</v>
      </c>
      <c r="W46" s="665">
        <f t="shared" si="14"/>
        <v>100</v>
      </c>
      <c r="X46" s="1260"/>
      <c r="Y46" s="3441"/>
      <c r="Z46" s="1259">
        <f t="shared" si="15"/>
        <v>111</v>
      </c>
      <c r="AA46" s="1259">
        <f t="shared" si="3"/>
        <v>1</v>
      </c>
      <c r="AB46" s="1259">
        <f t="shared" si="4"/>
        <v>1</v>
      </c>
      <c r="AC46" s="1805">
        <f t="shared" si="5"/>
        <v>1</v>
      </c>
    </row>
    <row r="47" spans="1:29" ht="15.6"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9"/>
      <c r="Q47" s="1258">
        <f t="shared" si="11"/>
        <v>111</v>
      </c>
      <c r="R47" s="664" t="s">
        <v>14</v>
      </c>
      <c r="S47" s="665">
        <f t="shared" si="12"/>
        <v>100</v>
      </c>
      <c r="T47" s="664" t="s">
        <v>14</v>
      </c>
      <c r="U47" s="665">
        <f t="shared" si="13"/>
        <v>100</v>
      </c>
      <c r="V47" s="664" t="s">
        <v>14</v>
      </c>
      <c r="W47" s="665">
        <f t="shared" si="14"/>
        <v>100</v>
      </c>
      <c r="X47" s="1260"/>
      <c r="Y47" s="3480"/>
      <c r="Z47" s="1259">
        <f t="shared" si="15"/>
        <v>111</v>
      </c>
      <c r="AA47" s="1259">
        <f t="shared" si="3"/>
        <v>1</v>
      </c>
      <c r="AB47" s="1259">
        <f t="shared" si="4"/>
        <v>1</v>
      </c>
      <c r="AC47" s="1805">
        <f t="shared" si="5"/>
        <v>1</v>
      </c>
    </row>
    <row r="48" spans="1:29" ht="14.4">
      <c r="A48" s="414" t="s">
        <v>1708</v>
      </c>
      <c r="B48" s="415"/>
      <c r="C48" s="1076" t="s">
        <v>0</v>
      </c>
      <c r="D48" s="416"/>
      <c r="E48" s="417"/>
      <c r="F48" s="418"/>
      <c r="G48" s="419"/>
      <c r="H48" s="420"/>
      <c r="I48" s="417"/>
      <c r="J48" s="420"/>
      <c r="K48" s="671"/>
      <c r="L48" s="2487"/>
      <c r="M48" s="2480"/>
      <c r="N48" s="2480"/>
      <c r="O48" s="2480"/>
      <c r="P48" s="3443" t="str">
        <f>A48</f>
        <v>成交单价（元/平方米）</v>
      </c>
      <c r="Q48" s="3437"/>
      <c r="R48" s="3433">
        <f>E48</f>
        <v>0</v>
      </c>
      <c r="S48" s="3433"/>
      <c r="T48" s="3433">
        <f>G48</f>
        <v>0</v>
      </c>
      <c r="U48" s="3433"/>
      <c r="V48" s="3433">
        <f>I48</f>
        <v>0</v>
      </c>
      <c r="W48" s="3433"/>
      <c r="X48" s="383"/>
      <c r="Y48" s="670"/>
      <c r="Z48" s="383"/>
      <c r="AA48" s="383"/>
      <c r="AB48" s="383"/>
      <c r="AC48" s="553"/>
    </row>
    <row r="49" spans="1:29" ht="15" thickBot="1">
      <c r="A49" s="421" t="s">
        <v>1793</v>
      </c>
      <c r="B49" s="422"/>
      <c r="C49" s="1077" t="e">
        <f>R50</f>
        <v>#DIV/0!</v>
      </c>
      <c r="D49" s="2134" t="s">
        <v>2138</v>
      </c>
      <c r="E49" s="1078" t="e">
        <f>R49</f>
        <v>#DIV/0!</v>
      </c>
      <c r="F49" s="2135"/>
      <c r="G49" s="1077" t="e">
        <f>T49</f>
        <v>#DIV/0!</v>
      </c>
      <c r="H49" s="2135"/>
      <c r="I49" s="1078" t="e">
        <f>V49</f>
        <v>#DIV/0!</v>
      </c>
      <c r="J49" s="2135"/>
      <c r="K49" s="2137">
        <f>F49+H49+J49</f>
        <v>0</v>
      </c>
      <c r="L49" s="2487"/>
      <c r="M49" s="2480"/>
      <c r="N49" s="2480"/>
      <c r="O49" s="2480"/>
      <c r="P49" s="3443" t="str">
        <f>A49</f>
        <v>比较价值（元/平方米）</v>
      </c>
      <c r="Q49" s="3437"/>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3"/>
      <c r="Y49" s="383"/>
      <c r="Z49" s="383"/>
      <c r="AA49" s="383"/>
      <c r="AB49" s="383"/>
      <c r="AC49" s="553"/>
    </row>
    <row r="50" spans="1:29" ht="15" thickBot="1">
      <c r="A50" s="425" t="s">
        <v>1794</v>
      </c>
      <c r="B50" s="426"/>
      <c r="C50" s="349" t="e">
        <f>R50</f>
        <v>#DIV/0!</v>
      </c>
      <c r="D50" s="349"/>
      <c r="E50" s="349"/>
      <c r="F50" s="349"/>
      <c r="G50" s="349"/>
      <c r="H50" s="349"/>
      <c r="I50" s="349"/>
      <c r="J50" s="427"/>
      <c r="K50" s="672"/>
      <c r="L50" s="2487"/>
      <c r="M50" s="2480"/>
      <c r="N50" s="2480"/>
      <c r="O50" s="2480"/>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5" t="s">
        <v>1798</v>
      </c>
      <c r="B58" s="383"/>
      <c r="C58" s="656"/>
      <c r="D58" s="656"/>
      <c r="E58" s="656"/>
      <c r="F58" s="657"/>
      <c r="G58" s="657"/>
      <c r="H58" s="656"/>
      <c r="I58" s="656"/>
      <c r="J58" s="656"/>
      <c r="K58" s="658"/>
      <c r="L58" s="883"/>
      <c r="M58" s="881"/>
      <c r="N58" s="2530"/>
      <c r="O58" s="2530"/>
      <c r="P58" s="2519"/>
      <c r="Q58" s="2501"/>
      <c r="R58" s="2480"/>
      <c r="S58" s="2480"/>
      <c r="T58" s="2480"/>
      <c r="U58" s="2480"/>
      <c r="V58" s="2480"/>
      <c r="W58" s="2480"/>
      <c r="X58" s="2480"/>
      <c r="Y58" s="2480"/>
      <c r="Z58" s="2480"/>
      <c r="AA58" s="2480"/>
      <c r="AB58" s="2480"/>
      <c r="AC58" s="2480"/>
    </row>
    <row r="59" spans="1:29" s="440" customFormat="1" ht="14.4">
      <c r="A59" s="438" t="s">
        <v>1679</v>
      </c>
      <c r="B59" s="439"/>
      <c r="C59" s="1098" t="str">
        <f>YEAR(C7)&amp;"-"&amp;MONTH(C7)</f>
        <v>2023-4</v>
      </c>
      <c r="D59" s="1099">
        <f>EDATE(C59,-1)</f>
        <v>44986</v>
      </c>
      <c r="E59" s="1099">
        <f>EDATE(D59,-1)</f>
        <v>44958</v>
      </c>
      <c r="F59" s="1099">
        <f t="shared" ref="F59:O59" si="16">EDATE(E59,-1)</f>
        <v>44927</v>
      </c>
      <c r="G59" s="1099">
        <f t="shared" si="16"/>
        <v>44896</v>
      </c>
      <c r="H59" s="1099">
        <f t="shared" si="16"/>
        <v>44866</v>
      </c>
      <c r="I59" s="1099">
        <f t="shared" si="16"/>
        <v>44835</v>
      </c>
      <c r="J59" s="1099">
        <f t="shared" si="16"/>
        <v>44805</v>
      </c>
      <c r="K59" s="1099">
        <f t="shared" si="16"/>
        <v>44774</v>
      </c>
      <c r="L59" s="1099">
        <f t="shared" si="16"/>
        <v>44743</v>
      </c>
      <c r="M59" s="1099">
        <f t="shared" si="16"/>
        <v>44713</v>
      </c>
      <c r="N59" s="1099">
        <f t="shared" si="16"/>
        <v>44682</v>
      </c>
      <c r="O59" s="1099">
        <f t="shared" si="16"/>
        <v>44652</v>
      </c>
      <c r="P59" s="2520"/>
      <c r="Q59" s="2503"/>
      <c r="R59" s="2503"/>
      <c r="S59" s="2503"/>
      <c r="T59" s="2503"/>
      <c r="U59" s="2503"/>
      <c r="V59" s="2503"/>
      <c r="W59" s="2503"/>
      <c r="X59" s="2503"/>
      <c r="Y59" s="2503"/>
      <c r="Z59" s="2503"/>
      <c r="AA59" s="2503"/>
      <c r="AB59" s="2503"/>
      <c r="AC59" s="2503"/>
    </row>
    <row r="60" spans="1:29" s="100" customFormat="1">
      <c r="A60" s="441"/>
      <c r="B60" s="442"/>
      <c r="C60" s="1097">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0" customFormat="1" ht="15" thickBot="1">
      <c r="A61" s="447" t="s">
        <v>1716</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0" customFormat="1" ht="14.4">
      <c r="A62" s="453" t="s">
        <v>1681</v>
      </c>
      <c r="B62" s="442"/>
      <c r="C62" s="454" t="s">
        <v>1776</v>
      </c>
      <c r="D62" s="30"/>
      <c r="E62" s="30"/>
      <c r="F62" s="30"/>
      <c r="G62" s="30"/>
      <c r="H62" s="30"/>
      <c r="I62" s="30"/>
      <c r="J62" s="30"/>
      <c r="K62" s="30"/>
      <c r="L62" s="455"/>
      <c r="M62" s="456"/>
      <c r="N62" s="2513"/>
      <c r="O62" s="2513"/>
      <c r="P62" s="2522"/>
      <c r="Q62" s="2501"/>
      <c r="R62" s="2432"/>
      <c r="S62" s="2432"/>
      <c r="T62" s="2432"/>
      <c r="U62" s="2432"/>
      <c r="V62" s="2432"/>
      <c r="W62" s="2432"/>
      <c r="X62" s="2432"/>
      <c r="Y62" s="2432"/>
      <c r="Z62" s="2432"/>
      <c r="AA62" s="2432"/>
      <c r="AB62" s="2432"/>
      <c r="AC62" s="2432"/>
    </row>
    <row r="63" spans="1:29" s="100" customFormat="1" ht="14.4"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ht="14.4">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4.4"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9.4"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4.4"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4.4"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4.4"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4.4"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4.4"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4.4" thickTop="1">
      <c r="A75" s="482"/>
      <c r="B75" s="475">
        <f>B14</f>
        <v>111</v>
      </c>
      <c r="C75" s="30"/>
      <c r="D75" s="30"/>
      <c r="E75" s="30"/>
      <c r="F75" s="30"/>
      <c r="G75" s="30"/>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4.4"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ht="14.4">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 thickTop="1">
      <c r="A83" s="365"/>
      <c r="B83" s="475" t="s">
        <v>1813</v>
      </c>
      <c r="C83" s="579" t="s">
        <v>1799</v>
      </c>
      <c r="D83" s="579" t="s">
        <v>1800</v>
      </c>
      <c r="E83" s="579" t="s">
        <v>1801</v>
      </c>
      <c r="F83" s="579" t="s">
        <v>1802</v>
      </c>
      <c r="G83" s="579" t="s">
        <v>1803</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0" customFormat="1" ht="29.4" thickTop="1">
      <c r="A87" s="368"/>
      <c r="B87" s="467" t="s">
        <v>1823</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0"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0" customFormat="1" ht="14.4" thickTop="1">
      <c r="A89" s="368"/>
      <c r="B89" s="467" t="str">
        <f>B27</f>
        <v>楼层</v>
      </c>
      <c r="C89" s="483"/>
      <c r="D89" s="483"/>
      <c r="E89" s="483"/>
      <c r="F89" s="1773"/>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0"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6" customFormat="1" ht="14.4"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4.4"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4.4"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4.4"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4.4"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4.4"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4.4" thickTop="1">
      <c r="A99" s="365"/>
      <c r="B99" s="475">
        <f>B32</f>
        <v>111</v>
      </c>
      <c r="C99" s="30"/>
      <c r="D99" s="30"/>
      <c r="E99" s="30"/>
      <c r="F99" s="30"/>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4.4"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ht="14.4">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4.4"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4.4"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4.4"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4.4"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4.4"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4.4"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4.4" thickTop="1">
      <c r="A131" s="407"/>
      <c r="B131" s="475">
        <f>B47</f>
        <v>111</v>
      </c>
      <c r="C131" s="30"/>
      <c r="D131" s="30"/>
      <c r="E131" s="30"/>
      <c r="F131" s="30"/>
      <c r="G131" s="515"/>
      <c r="H131" s="515"/>
      <c r="I131" s="515"/>
      <c r="J131" s="515"/>
      <c r="K131" s="30"/>
      <c r="L131" s="455"/>
      <c r="M131" s="518"/>
      <c r="N131" s="2514"/>
      <c r="O131" s="2514"/>
      <c r="P131" s="2523"/>
      <c r="Q131" s="2501"/>
      <c r="R131" s="2480"/>
      <c r="S131" s="2480"/>
      <c r="T131" s="2480"/>
      <c r="U131" s="2480"/>
      <c r="V131" s="2480"/>
      <c r="W131" s="2480"/>
      <c r="X131" s="2480"/>
      <c r="Y131" s="2480"/>
      <c r="Z131" s="2480"/>
      <c r="AA131" s="2480"/>
      <c r="AB131" s="2480"/>
      <c r="AC131" s="2480"/>
    </row>
    <row r="132" spans="1:29" ht="14.4"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1" t="s">
        <v>1826</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0"/>
      <c r="L2" s="853"/>
      <c r="M2" s="854"/>
      <c r="N2" s="854"/>
      <c r="O2" s="854"/>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35822.61</v>
      </c>
      <c r="E3" s="850"/>
      <c r="F3" s="851"/>
      <c r="G3" s="850"/>
      <c r="H3" s="850"/>
      <c r="I3" s="850"/>
      <c r="J3" s="850"/>
      <c r="K3" s="852"/>
      <c r="L3" s="853"/>
      <c r="M3" s="854"/>
      <c r="N3" s="854"/>
      <c r="O3" s="854"/>
      <c r="P3" s="339"/>
      <c r="Q3" s="339"/>
      <c r="R3" s="339"/>
      <c r="S3" s="339"/>
      <c r="T3" s="339"/>
      <c r="U3" s="339"/>
      <c r="V3" s="339"/>
      <c r="W3" s="339"/>
      <c r="X3" s="339"/>
      <c r="Y3" s="339"/>
      <c r="Z3" s="339"/>
      <c r="AA3" s="339"/>
      <c r="AB3" s="673"/>
      <c r="AC3" s="660"/>
    </row>
    <row r="4" spans="1:29" ht="14.4">
      <c r="A4" s="343" t="s">
        <v>1769</v>
      </c>
      <c r="B4" s="344"/>
      <c r="C4" s="3409" t="s">
        <v>1770</v>
      </c>
      <c r="D4" s="3410"/>
      <c r="E4" s="3411" t="s">
        <v>1771</v>
      </c>
      <c r="F4" s="3412"/>
      <c r="G4" s="3409" t="s">
        <v>1772</v>
      </c>
      <c r="H4" s="3410"/>
      <c r="I4" s="3409" t="s">
        <v>1773</v>
      </c>
      <c r="J4" s="3410"/>
      <c r="K4" s="535" t="s">
        <v>1774</v>
      </c>
      <c r="L4" s="855"/>
      <c r="M4" s="856"/>
      <c r="N4" s="856"/>
      <c r="O4" s="856"/>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c r="A5" s="346"/>
      <c r="B5" s="347"/>
      <c r="C5" s="3423" t="s">
        <v>1673</v>
      </c>
      <c r="D5" s="3424"/>
      <c r="E5" s="3425" t="s">
        <v>1674</v>
      </c>
      <c r="F5" s="3426"/>
      <c r="G5" s="3423" t="s">
        <v>1675</v>
      </c>
      <c r="H5" s="3424"/>
      <c r="I5" s="3423" t="s">
        <v>1676</v>
      </c>
      <c r="J5" s="3424"/>
      <c r="K5" s="535"/>
      <c r="L5" s="855"/>
      <c r="M5" s="856"/>
      <c r="N5" s="856"/>
      <c r="O5" s="856"/>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27" t="s">
        <v>1677</v>
      </c>
      <c r="H6" s="3428"/>
      <c r="I6" s="3427" t="s">
        <v>1677</v>
      </c>
      <c r="J6" s="3428"/>
      <c r="K6" s="535" t="s">
        <v>1678</v>
      </c>
      <c r="L6" s="855"/>
      <c r="M6" s="856"/>
      <c r="N6" s="856"/>
      <c r="O6" s="856"/>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c r="F7" s="355">
        <f>SUMIF(52:52,YEAR(E7)&amp;"-"&amp;MONTH(E7),53:53)</f>
        <v>0</v>
      </c>
      <c r="G7" s="354"/>
      <c r="H7" s="353">
        <f>SUMIF(52:52,YEAR(G7)&amp;"-"&amp;MONTH(G7),53:53)</f>
        <v>0</v>
      </c>
      <c r="I7" s="354"/>
      <c r="J7" s="353">
        <f>SUMIF(52:52,YEAR(I7)&amp;"-"&amp;MONTH(I7),53:53)</f>
        <v>0</v>
      </c>
      <c r="K7" s="37"/>
      <c r="L7" s="857"/>
      <c r="M7" s="858"/>
      <c r="N7" s="858"/>
      <c r="O7" s="858"/>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7"/>
      <c r="L8" s="857"/>
      <c r="M8" s="858"/>
      <c r="N8" s="858"/>
      <c r="O8" s="858"/>
      <c r="P8" s="3434" t="s">
        <v>1683</v>
      </c>
      <c r="Q8" s="3436"/>
      <c r="R8" s="661" t="s">
        <v>14</v>
      </c>
      <c r="S8" s="662">
        <f t="shared" si="0"/>
        <v>100</v>
      </c>
      <c r="T8" s="661" t="s">
        <v>14</v>
      </c>
      <c r="U8" s="662">
        <f t="shared" si="1"/>
        <v>100</v>
      </c>
      <c r="V8" s="661" t="s">
        <v>14</v>
      </c>
      <c r="W8" s="662">
        <f t="shared" si="2"/>
        <v>100</v>
      </c>
      <c r="X8" s="663"/>
      <c r="Y8" s="3434" t="s">
        <v>1683</v>
      </c>
      <c r="Z8" s="3436"/>
      <c r="AA8" s="49">
        <f t="shared" ref="AA8:AA40" si="3">D8/F8</f>
        <v>1</v>
      </c>
      <c r="AB8" s="49">
        <f t="shared" ref="AB8:AB40" si="4">D8/H8</f>
        <v>1</v>
      </c>
      <c r="AC8" s="49">
        <f t="shared" ref="AC8:AC40" si="5">D8/J8</f>
        <v>1</v>
      </c>
    </row>
    <row r="9" spans="1:29" s="100" customFormat="1" ht="14.4">
      <c r="A9" s="357" t="s">
        <v>1684</v>
      </c>
      <c r="B9" s="59" t="s">
        <v>1685</v>
      </c>
      <c r="C9" s="358"/>
      <c r="D9" s="58">
        <v>100</v>
      </c>
      <c r="E9" s="360"/>
      <c r="F9" s="58">
        <f>SUMIF(57:57,E9,58:58)-SUMIF(57:57,C9,58:58)+100</f>
        <v>100</v>
      </c>
      <c r="G9" s="359"/>
      <c r="H9" s="58">
        <f>SUMIF(57:57,G9,58:58)-SUMIF(57:57,C9,58:58)+100</f>
        <v>100</v>
      </c>
      <c r="I9" s="359"/>
      <c r="J9" s="58">
        <f>SUMIF(57:57,I9,58:58)-SUMIF(57:57,C9,58:58)+100</f>
        <v>100</v>
      </c>
      <c r="K9" s="37"/>
      <c r="L9" s="857"/>
      <c r="M9" s="858"/>
      <c r="N9" s="858"/>
      <c r="O9" s="859"/>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8.8">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7"/>
      <c r="L10" s="860"/>
      <c r="M10" s="861"/>
      <c r="N10" s="861"/>
      <c r="O10" s="862"/>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3"/>
      <c r="M11" s="856"/>
      <c r="N11" s="856"/>
      <c r="O11" s="864"/>
      <c r="P11" s="3437"/>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49">
        <f t="shared" si="5"/>
        <v>1</v>
      </c>
    </row>
    <row r="12" spans="1:29" s="100" customFormat="1" ht="15">
      <c r="A12" s="368"/>
      <c r="B12" s="445">
        <v>111</v>
      </c>
      <c r="C12" s="369"/>
      <c r="D12" s="370">
        <v>100</v>
      </c>
      <c r="E12" s="371"/>
      <c r="F12" s="117">
        <f>SUMIF(64:64,E12,65:65)-SUMIF(64:64,C12,65:65)+100</f>
        <v>100</v>
      </c>
      <c r="G12" s="1811"/>
      <c r="H12" s="117">
        <f>SUMIF(64:64,G12,65:65)-SUMIF(64:64,C12,65:65)+100</f>
        <v>100</v>
      </c>
      <c r="I12" s="405"/>
      <c r="J12" s="117">
        <f>SUMIF(64:64,I12,65:65)-SUMIF(64:64,C12,65:65)+100</f>
        <v>100</v>
      </c>
      <c r="K12" s="537"/>
      <c r="L12" s="857"/>
      <c r="M12" s="858"/>
      <c r="N12" s="858"/>
      <c r="O12" s="859"/>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117">
        <f>SUMIF(66:66,E13,67:67)-SUMIF(66:66,C13,67:67)+100</f>
        <v>100</v>
      </c>
      <c r="G13" s="1811"/>
      <c r="H13" s="372">
        <f>SUMIF(66:66,G13,67:67)-SUMIF(66:66,C13,67:67)+100</f>
        <v>100</v>
      </c>
      <c r="I13" s="405"/>
      <c r="J13" s="372">
        <f>SUMIF(66:66,I13,67:67)-SUMIF(66:66,C13,67:67)+100</f>
        <v>100</v>
      </c>
      <c r="K13" s="537"/>
      <c r="L13" s="865"/>
      <c r="M13" s="856"/>
      <c r="N13" s="856"/>
      <c r="O13" s="864"/>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6" thickBot="1">
      <c r="A14" s="373"/>
      <c r="B14" s="1743">
        <v>111</v>
      </c>
      <c r="C14" s="374"/>
      <c r="D14" s="375">
        <v>100</v>
      </c>
      <c r="E14" s="374"/>
      <c r="F14" s="375">
        <f>SUMIF(68:68,E14,69:69)-SUMIF(68:68,C14,69:69)+100</f>
        <v>100</v>
      </c>
      <c r="G14" s="1811"/>
      <c r="H14" s="375">
        <f>SUMIF(68:68,G14,69:69)-SUMIF(68:68,C14,69:69)+100</f>
        <v>100</v>
      </c>
      <c r="I14" s="405"/>
      <c r="J14" s="375">
        <f>SUMIF(68:68,I14,69:69)-SUMIF(68:68,C14,69:69)+100</f>
        <v>100</v>
      </c>
      <c r="K14" s="537"/>
      <c r="L14" s="865"/>
      <c r="M14" s="856"/>
      <c r="N14" s="856"/>
      <c r="O14" s="864"/>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69">
      <c r="A15" s="377" t="s">
        <v>1690</v>
      </c>
      <c r="B15" s="57" t="s">
        <v>1827</v>
      </c>
      <c r="C15" s="1812"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5"/>
      <c r="M15" s="856"/>
      <c r="N15" s="856"/>
      <c r="O15" s="864"/>
      <c r="P15" s="3438" t="s">
        <v>1691</v>
      </c>
      <c r="Q15" s="1258" t="str">
        <f t="shared" si="6"/>
        <v>产业集聚程度</v>
      </c>
      <c r="R15" s="664" t="s">
        <v>14</v>
      </c>
      <c r="S15" s="665">
        <f t="shared" si="0"/>
        <v>100</v>
      </c>
      <c r="T15" s="664" t="s">
        <v>14</v>
      </c>
      <c r="U15" s="665">
        <f t="shared" si="1"/>
        <v>100</v>
      </c>
      <c r="V15" s="664" t="s">
        <v>14</v>
      </c>
      <c r="W15" s="665">
        <f t="shared" si="2"/>
        <v>100</v>
      </c>
      <c r="X15" s="1260"/>
      <c r="Y15" s="3438"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5"/>
      <c r="M16" s="856"/>
      <c r="N16" s="856"/>
      <c r="O16" s="864"/>
      <c r="P16" s="3439"/>
      <c r="Q16" s="1258"/>
      <c r="R16" s="664"/>
      <c r="S16" s="665"/>
      <c r="T16" s="664"/>
      <c r="U16" s="665"/>
      <c r="V16" s="664"/>
      <c r="W16" s="665"/>
      <c r="X16" s="1260"/>
      <c r="Y16" s="3439"/>
      <c r="Z16" s="1259"/>
      <c r="AA16" s="1259">
        <v>1</v>
      </c>
      <c r="AB16" s="1259">
        <v>1</v>
      </c>
      <c r="AC16" s="1259">
        <v>1</v>
      </c>
    </row>
    <row r="17" spans="1:29" ht="96.6">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5"/>
      <c r="M17" s="856"/>
      <c r="N17" s="856"/>
      <c r="O17" s="864"/>
      <c r="P17" s="3439"/>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5"/>
      <c r="M18" s="856"/>
      <c r="N18" s="856"/>
      <c r="O18" s="864"/>
      <c r="P18" s="3439"/>
      <c r="Q18" s="1258"/>
      <c r="R18" s="664"/>
      <c r="S18" s="665"/>
      <c r="T18" s="664"/>
      <c r="U18" s="665"/>
      <c r="V18" s="664"/>
      <c r="W18" s="665"/>
      <c r="X18" s="1260"/>
      <c r="Y18" s="3439"/>
      <c r="Z18" s="1259"/>
      <c r="AA18" s="1259">
        <v>1</v>
      </c>
      <c r="AB18" s="1259">
        <v>1</v>
      </c>
      <c r="AC18" s="1259">
        <v>1</v>
      </c>
    </row>
    <row r="19" spans="1:29" ht="41.4">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5"/>
      <c r="M19" s="856"/>
      <c r="N19" s="856"/>
      <c r="O19" s="864"/>
      <c r="P19" s="3439"/>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5"/>
      <c r="M20" s="856"/>
      <c r="N20" s="856"/>
      <c r="O20" s="864"/>
      <c r="P20" s="3439"/>
      <c r="Q20" s="1258"/>
      <c r="R20" s="664"/>
      <c r="S20" s="665"/>
      <c r="T20" s="664"/>
      <c r="U20" s="665"/>
      <c r="V20" s="664"/>
      <c r="W20" s="665"/>
      <c r="X20" s="1260"/>
      <c r="Y20" s="3439"/>
      <c r="Z20" s="1259"/>
      <c r="AA20" s="1259">
        <v>1</v>
      </c>
      <c r="AB20" s="1259">
        <v>1</v>
      </c>
      <c r="AC20" s="1259">
        <v>1</v>
      </c>
    </row>
    <row r="21" spans="1:29" ht="41.4">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5"/>
      <c r="M21" s="856"/>
      <c r="N21" s="856"/>
      <c r="O21" s="864"/>
      <c r="P21" s="3439"/>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5"/>
      <c r="M22" s="856"/>
      <c r="N22" s="856"/>
      <c r="O22" s="864"/>
      <c r="P22" s="3439"/>
      <c r="Q22" s="1258"/>
      <c r="R22" s="664"/>
      <c r="S22" s="665"/>
      <c r="T22" s="664"/>
      <c r="U22" s="665"/>
      <c r="V22" s="664"/>
      <c r="W22" s="665"/>
      <c r="X22" s="1260"/>
      <c r="Y22" s="3439"/>
      <c r="Z22" s="1259"/>
      <c r="AA22" s="1259">
        <v>1</v>
      </c>
      <c r="AB22" s="1259">
        <v>1</v>
      </c>
      <c r="AC22" s="1259">
        <v>1</v>
      </c>
    </row>
    <row r="23" spans="1:29" ht="82.8">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5"/>
      <c r="M23" s="856"/>
      <c r="N23" s="856"/>
      <c r="O23" s="864"/>
      <c r="P23" s="3439"/>
      <c r="Q23" s="1258" t="str">
        <f>B23</f>
        <v>环境质量</v>
      </c>
      <c r="R23" s="664" t="s">
        <v>14</v>
      </c>
      <c r="S23" s="665">
        <f>F23</f>
        <v>100</v>
      </c>
      <c r="T23" s="664" t="s">
        <v>14</v>
      </c>
      <c r="U23" s="665">
        <f>H23</f>
        <v>100</v>
      </c>
      <c r="V23" s="664" t="s">
        <v>14</v>
      </c>
      <c r="W23" s="665">
        <f>J23</f>
        <v>100</v>
      </c>
      <c r="X23" s="1260"/>
      <c r="Y23" s="3439"/>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5"/>
      <c r="M24" s="856"/>
      <c r="N24" s="856"/>
      <c r="O24" s="864"/>
      <c r="P24" s="3439"/>
      <c r="Q24" s="1258"/>
      <c r="R24" s="664"/>
      <c r="S24" s="665"/>
      <c r="T24" s="664"/>
      <c r="U24" s="665"/>
      <c r="V24" s="664"/>
      <c r="W24" s="665"/>
      <c r="X24" s="1260"/>
      <c r="Y24" s="3439"/>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5"/>
      <c r="M25" s="856"/>
      <c r="N25" s="856"/>
      <c r="O25" s="864"/>
      <c r="P25" s="3439"/>
      <c r="Q25" s="1258">
        <f>B25</f>
        <v>111</v>
      </c>
      <c r="R25" s="664" t="s">
        <v>14</v>
      </c>
      <c r="S25" s="665">
        <f>F25</f>
        <v>100</v>
      </c>
      <c r="T25" s="664" t="s">
        <v>14</v>
      </c>
      <c r="U25" s="665">
        <f>H25</f>
        <v>100</v>
      </c>
      <c r="V25" s="664" t="s">
        <v>14</v>
      </c>
      <c r="W25" s="665">
        <f>J25</f>
        <v>100</v>
      </c>
      <c r="X25" s="1260"/>
      <c r="Y25" s="3439"/>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5"/>
      <c r="M26" s="856"/>
      <c r="N26" s="856"/>
      <c r="O26" s="864"/>
      <c r="P26" s="3439"/>
      <c r="Q26" s="1258">
        <f t="shared" ref="Q26:Q40" si="11">B26</f>
        <v>111</v>
      </c>
      <c r="R26" s="664" t="s">
        <v>14</v>
      </c>
      <c r="S26" s="665">
        <f>F26</f>
        <v>100</v>
      </c>
      <c r="T26" s="664" t="s">
        <v>14</v>
      </c>
      <c r="U26" s="665">
        <f>H26</f>
        <v>100</v>
      </c>
      <c r="V26" s="664" t="s">
        <v>14</v>
      </c>
      <c r="W26" s="665">
        <f>J26</f>
        <v>100</v>
      </c>
      <c r="X26" s="1260"/>
      <c r="Y26" s="3439"/>
      <c r="Z26" s="1259">
        <f>Q26</f>
        <v>111</v>
      </c>
      <c r="AA26" s="1259">
        <f t="shared" si="3"/>
        <v>1</v>
      </c>
      <c r="AB26" s="1259">
        <f t="shared" si="4"/>
        <v>1</v>
      </c>
      <c r="AC26" s="1259">
        <f t="shared" si="5"/>
        <v>1</v>
      </c>
    </row>
    <row r="27" spans="1:29" s="100"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7"/>
      <c r="M27" s="858"/>
      <c r="N27" s="858"/>
      <c r="O27" s="859"/>
      <c r="P27" s="3439"/>
      <c r="Q27" s="528">
        <f t="shared" si="11"/>
        <v>111</v>
      </c>
      <c r="R27" s="661" t="s">
        <v>14</v>
      </c>
      <c r="S27" s="662">
        <f>F27</f>
        <v>100</v>
      </c>
      <c r="T27" s="661" t="s">
        <v>14</v>
      </c>
      <c r="U27" s="662">
        <f>H27</f>
        <v>100</v>
      </c>
      <c r="V27" s="661" t="s">
        <v>14</v>
      </c>
      <c r="W27" s="662">
        <f>J27</f>
        <v>100</v>
      </c>
      <c r="X27" s="663"/>
      <c r="Y27" s="3439"/>
      <c r="Z27" s="49">
        <f>Q27</f>
        <v>111</v>
      </c>
      <c r="AA27" s="1259">
        <f>D27/F27</f>
        <v>1</v>
      </c>
      <c r="AB27" s="1259">
        <f>D27/H27</f>
        <v>1</v>
      </c>
      <c r="AC27" s="1259">
        <f>D27/J27</f>
        <v>1</v>
      </c>
    </row>
    <row r="28" spans="1:29" ht="15.6"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5"/>
      <c r="M28" s="856"/>
      <c r="N28" s="856"/>
      <c r="O28" s="864"/>
      <c r="P28" s="3439"/>
      <c r="Q28" s="1258">
        <f t="shared" si="11"/>
        <v>111</v>
      </c>
      <c r="R28" s="664" t="s">
        <v>14</v>
      </c>
      <c r="S28" s="665">
        <f t="shared" ref="S28:S40" si="12">F28</f>
        <v>100</v>
      </c>
      <c r="T28" s="664" t="s">
        <v>14</v>
      </c>
      <c r="U28" s="665">
        <f t="shared" ref="U28:U40" si="13">H28</f>
        <v>100</v>
      </c>
      <c r="V28" s="664" t="s">
        <v>14</v>
      </c>
      <c r="W28" s="665">
        <f t="shared" ref="W28:W40" si="14">J28</f>
        <v>100</v>
      </c>
      <c r="X28" s="1260"/>
      <c r="Y28" s="3439"/>
      <c r="Z28" s="1259">
        <f t="shared" ref="Z28:Z40" si="15">Q28</f>
        <v>111</v>
      </c>
      <c r="AA28" s="1259">
        <f t="shared" si="3"/>
        <v>1</v>
      </c>
      <c r="AB28" s="1259">
        <f t="shared" si="4"/>
        <v>1</v>
      </c>
      <c r="AC28" s="1259">
        <f t="shared" si="5"/>
        <v>1</v>
      </c>
    </row>
    <row r="29" spans="1:29" ht="30">
      <c r="A29" s="402" t="s">
        <v>1694</v>
      </c>
      <c r="B29" s="59"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5"/>
      <c r="M29" s="856"/>
      <c r="N29" s="856"/>
      <c r="O29" s="864"/>
      <c r="P29" s="3440" t="s">
        <v>1696</v>
      </c>
      <c r="Q29" s="1258" t="str">
        <f t="shared" si="11"/>
        <v>建筑类型</v>
      </c>
      <c r="R29" s="664" t="s">
        <v>14</v>
      </c>
      <c r="S29" s="665">
        <f t="shared" si="12"/>
        <v>100</v>
      </c>
      <c r="T29" s="664" t="s">
        <v>14</v>
      </c>
      <c r="U29" s="665">
        <f t="shared" si="13"/>
        <v>100</v>
      </c>
      <c r="V29" s="664" t="s">
        <v>14</v>
      </c>
      <c r="W29" s="665">
        <f t="shared" si="14"/>
        <v>100</v>
      </c>
      <c r="X29" s="1260"/>
      <c r="Y29" s="3441"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3"/>
      <c r="M30" s="866"/>
      <c r="N30" s="866"/>
      <c r="O30" s="867"/>
      <c r="P30" s="3441"/>
      <c r="Q30" s="529" t="str">
        <f t="shared" si="11"/>
        <v>项目建筑规模</v>
      </c>
      <c r="R30" s="666" t="s">
        <v>14</v>
      </c>
      <c r="S30" s="667" t="e">
        <f t="shared" si="12"/>
        <v>#N/A</v>
      </c>
      <c r="T30" s="666" t="s">
        <v>14</v>
      </c>
      <c r="U30" s="667" t="e">
        <f t="shared" si="13"/>
        <v>#N/A</v>
      </c>
      <c r="V30" s="666" t="s">
        <v>14</v>
      </c>
      <c r="W30" s="667" t="e">
        <f t="shared" si="14"/>
        <v>#N/A</v>
      </c>
      <c r="X30" s="668"/>
      <c r="Y30" s="3441"/>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5"/>
      <c r="M31" s="856"/>
      <c r="N31" s="856"/>
      <c r="O31" s="864"/>
      <c r="P31" s="3441"/>
      <c r="Q31" s="1258" t="str">
        <f t="shared" si="11"/>
        <v>建筑结构</v>
      </c>
      <c r="R31" s="664" t="s">
        <v>14</v>
      </c>
      <c r="S31" s="665">
        <f t="shared" si="12"/>
        <v>100</v>
      </c>
      <c r="T31" s="664" t="s">
        <v>14</v>
      </c>
      <c r="U31" s="665">
        <f t="shared" si="13"/>
        <v>100</v>
      </c>
      <c r="V31" s="664" t="s">
        <v>14</v>
      </c>
      <c r="W31" s="665">
        <f t="shared" si="14"/>
        <v>100</v>
      </c>
      <c r="X31" s="1260"/>
      <c r="Y31" s="3441"/>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5"/>
      <c r="M32" s="856"/>
      <c r="N32" s="856"/>
      <c r="O32" s="864"/>
      <c r="P32" s="3441"/>
      <c r="Q32" s="1258" t="str">
        <f t="shared" si="11"/>
        <v>公共部分装修</v>
      </c>
      <c r="R32" s="664" t="s">
        <v>14</v>
      </c>
      <c r="S32" s="665">
        <f t="shared" si="12"/>
        <v>100</v>
      </c>
      <c r="T32" s="664" t="s">
        <v>14</v>
      </c>
      <c r="U32" s="665">
        <f t="shared" si="13"/>
        <v>100</v>
      </c>
      <c r="V32" s="664" t="s">
        <v>14</v>
      </c>
      <c r="W32" s="665">
        <f t="shared" si="14"/>
        <v>100</v>
      </c>
      <c r="X32" s="1260"/>
      <c r="Y32" s="3441"/>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5"/>
      <c r="M33" s="856"/>
      <c r="N33" s="856"/>
      <c r="O33" s="864"/>
      <c r="P33" s="3441"/>
      <c r="Q33" s="1258" t="str">
        <f t="shared" si="11"/>
        <v>成新度</v>
      </c>
      <c r="R33" s="664" t="s">
        <v>14</v>
      </c>
      <c r="S33" s="665" t="e">
        <f t="shared" si="12"/>
        <v>#N/A</v>
      </c>
      <c r="T33" s="664" t="s">
        <v>14</v>
      </c>
      <c r="U33" s="665" t="e">
        <f t="shared" si="13"/>
        <v>#N/A</v>
      </c>
      <c r="V33" s="664" t="s">
        <v>14</v>
      </c>
      <c r="W33" s="665" t="e">
        <f t="shared" si="14"/>
        <v>#N/A</v>
      </c>
      <c r="X33" s="1260"/>
      <c r="Y33" s="3441"/>
      <c r="Z33" s="1259" t="str">
        <f t="shared" si="15"/>
        <v>成新度</v>
      </c>
      <c r="AA33" s="1259" t="e">
        <f t="shared" si="3"/>
        <v>#N/A</v>
      </c>
      <c r="AB33" s="1259" t="e">
        <f t="shared" si="4"/>
        <v>#N/A</v>
      </c>
      <c r="AC33" s="1259"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7"/>
      <c r="M34" s="858"/>
      <c r="N34" s="858"/>
      <c r="O34" s="859"/>
      <c r="P34" s="3441"/>
      <c r="Q34" s="528" t="str">
        <f t="shared" si="11"/>
        <v>物业管理</v>
      </c>
      <c r="R34" s="661" t="s">
        <v>14</v>
      </c>
      <c r="S34" s="662">
        <f t="shared" si="12"/>
        <v>100</v>
      </c>
      <c r="T34" s="661" t="s">
        <v>14</v>
      </c>
      <c r="U34" s="662">
        <f t="shared" si="13"/>
        <v>100</v>
      </c>
      <c r="V34" s="661" t="s">
        <v>14</v>
      </c>
      <c r="W34" s="662">
        <f t="shared" si="14"/>
        <v>100</v>
      </c>
      <c r="X34" s="663"/>
      <c r="Y34" s="3441"/>
      <c r="Z34" s="49" t="str">
        <f t="shared" si="15"/>
        <v>物业管理</v>
      </c>
      <c r="AA34" s="49">
        <f t="shared" si="3"/>
        <v>1</v>
      </c>
      <c r="AB34" s="49">
        <f t="shared" si="4"/>
        <v>1</v>
      </c>
      <c r="AC34" s="49">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5"/>
      <c r="M35" s="856"/>
      <c r="N35" s="856"/>
      <c r="O35" s="864"/>
      <c r="P35" s="3441" t="s">
        <v>1696</v>
      </c>
      <c r="Q35" s="1258" t="str">
        <f t="shared" si="11"/>
        <v>市政基础设施</v>
      </c>
      <c r="R35" s="664" t="s">
        <v>14</v>
      </c>
      <c r="S35" s="665">
        <f t="shared" si="12"/>
        <v>100</v>
      </c>
      <c r="T35" s="664" t="s">
        <v>14</v>
      </c>
      <c r="U35" s="665">
        <f t="shared" si="13"/>
        <v>100</v>
      </c>
      <c r="V35" s="664" t="s">
        <v>14</v>
      </c>
      <c r="W35" s="665">
        <f t="shared" si="14"/>
        <v>100</v>
      </c>
      <c r="X35" s="1260"/>
      <c r="Y35" s="3441"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5"/>
      <c r="M36" s="856"/>
      <c r="N36" s="856"/>
      <c r="O36" s="864"/>
      <c r="P36" s="3441"/>
      <c r="Q36" s="1258" t="str">
        <f t="shared" si="11"/>
        <v>内部装修</v>
      </c>
      <c r="R36" s="664" t="s">
        <v>14</v>
      </c>
      <c r="S36" s="665">
        <f t="shared" si="12"/>
        <v>100</v>
      </c>
      <c r="T36" s="664" t="s">
        <v>14</v>
      </c>
      <c r="U36" s="665">
        <f t="shared" si="13"/>
        <v>100</v>
      </c>
      <c r="V36" s="664" t="s">
        <v>14</v>
      </c>
      <c r="W36" s="665">
        <f t="shared" si="14"/>
        <v>100</v>
      </c>
      <c r="X36" s="1260"/>
      <c r="Y36" s="3441"/>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5"/>
      <c r="M37" s="856"/>
      <c r="N37" s="856"/>
      <c r="O37" s="864"/>
      <c r="P37" s="3441"/>
      <c r="Q37" s="1258" t="str">
        <f t="shared" si="11"/>
        <v>内部装修状况</v>
      </c>
      <c r="R37" s="664" t="s">
        <v>14</v>
      </c>
      <c r="S37" s="665">
        <f t="shared" si="12"/>
        <v>100</v>
      </c>
      <c r="T37" s="664" t="s">
        <v>14</v>
      </c>
      <c r="U37" s="665">
        <f t="shared" si="13"/>
        <v>100</v>
      </c>
      <c r="V37" s="664" t="s">
        <v>14</v>
      </c>
      <c r="W37" s="665">
        <f t="shared" si="14"/>
        <v>100</v>
      </c>
      <c r="X37" s="1260"/>
      <c r="Y37" s="3441"/>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3"/>
      <c r="M38" s="866"/>
      <c r="N38" s="866"/>
      <c r="O38" s="867"/>
      <c r="P38" s="3441"/>
      <c r="Q38" s="529">
        <f t="shared" si="11"/>
        <v>111</v>
      </c>
      <c r="R38" s="666" t="s">
        <v>14</v>
      </c>
      <c r="S38" s="667">
        <f t="shared" si="12"/>
        <v>100</v>
      </c>
      <c r="T38" s="666" t="s">
        <v>14</v>
      </c>
      <c r="U38" s="667">
        <f t="shared" si="13"/>
        <v>100</v>
      </c>
      <c r="V38" s="666" t="s">
        <v>14</v>
      </c>
      <c r="W38" s="667">
        <f t="shared" si="14"/>
        <v>100</v>
      </c>
      <c r="X38" s="668"/>
      <c r="Y38" s="3441"/>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5"/>
      <c r="M39" s="856"/>
      <c r="N39" s="856"/>
      <c r="O39" s="864"/>
      <c r="P39" s="3441"/>
      <c r="Q39" s="1258">
        <f t="shared" si="11"/>
        <v>111</v>
      </c>
      <c r="R39" s="664" t="s">
        <v>14</v>
      </c>
      <c r="S39" s="665">
        <f t="shared" si="12"/>
        <v>100</v>
      </c>
      <c r="T39" s="664" t="s">
        <v>14</v>
      </c>
      <c r="U39" s="665">
        <f t="shared" si="13"/>
        <v>100</v>
      </c>
      <c r="V39" s="664" t="s">
        <v>14</v>
      </c>
      <c r="W39" s="665">
        <f t="shared" si="14"/>
        <v>100</v>
      </c>
      <c r="X39" s="1260"/>
      <c r="Y39" s="3441"/>
      <c r="Z39" s="1259">
        <f t="shared" si="15"/>
        <v>111</v>
      </c>
      <c r="AA39" s="1259">
        <f t="shared" si="3"/>
        <v>1</v>
      </c>
      <c r="AB39" s="1259">
        <f t="shared" si="4"/>
        <v>1</v>
      </c>
      <c r="AC39" s="1259">
        <f t="shared" si="5"/>
        <v>1</v>
      </c>
    </row>
    <row r="40" spans="1:29" ht="15.6"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5"/>
      <c r="M40" s="856"/>
      <c r="N40" s="856"/>
      <c r="O40" s="864"/>
      <c r="P40" s="3480"/>
      <c r="Q40" s="1258">
        <f t="shared" si="11"/>
        <v>111</v>
      </c>
      <c r="R40" s="664" t="s">
        <v>14</v>
      </c>
      <c r="S40" s="665">
        <f t="shared" si="12"/>
        <v>100</v>
      </c>
      <c r="T40" s="664" t="s">
        <v>14</v>
      </c>
      <c r="U40" s="665">
        <f t="shared" si="13"/>
        <v>100</v>
      </c>
      <c r="V40" s="664" t="s">
        <v>14</v>
      </c>
      <c r="W40" s="665">
        <f t="shared" si="14"/>
        <v>100</v>
      </c>
      <c r="X40" s="1260"/>
      <c r="Y40" s="3480"/>
      <c r="Z40" s="1259">
        <f t="shared" si="15"/>
        <v>111</v>
      </c>
      <c r="AA40" s="1259">
        <f t="shared" si="3"/>
        <v>1</v>
      </c>
      <c r="AB40" s="1259">
        <f t="shared" si="4"/>
        <v>1</v>
      </c>
      <c r="AC40" s="1259">
        <f t="shared" si="5"/>
        <v>1</v>
      </c>
    </row>
    <row r="41" spans="1:29" ht="14.4">
      <c r="A41" s="414" t="s">
        <v>1708</v>
      </c>
      <c r="B41" s="415"/>
      <c r="C41" s="1076" t="s">
        <v>0</v>
      </c>
      <c r="D41" s="416"/>
      <c r="E41" s="417"/>
      <c r="F41" s="418"/>
      <c r="G41" s="419"/>
      <c r="H41" s="420"/>
      <c r="I41" s="417"/>
      <c r="J41" s="420"/>
      <c r="K41" s="671"/>
      <c r="L41" s="868"/>
      <c r="M41" s="856"/>
      <c r="N41" s="856"/>
      <c r="O41" s="856"/>
      <c r="P41" s="3437" t="str">
        <f>A41</f>
        <v>成交单价（元/平方米）</v>
      </c>
      <c r="Q41" s="3437"/>
      <c r="R41" s="3433">
        <f>E41</f>
        <v>0</v>
      </c>
      <c r="S41" s="3433"/>
      <c r="T41" s="3433">
        <f>G41</f>
        <v>0</v>
      </c>
      <c r="U41" s="3433"/>
      <c r="V41" s="3433">
        <f>I41</f>
        <v>0</v>
      </c>
      <c r="W41" s="3433"/>
      <c r="X41" s="383"/>
      <c r="Y41" s="670"/>
      <c r="Z41" s="383"/>
      <c r="AA41" s="383"/>
      <c r="AB41" s="383"/>
      <c r="AC41" s="383"/>
    </row>
    <row r="42" spans="1:29" ht="15" thickBot="1">
      <c r="A42" s="421" t="s">
        <v>1793</v>
      </c>
      <c r="B42" s="422"/>
      <c r="C42" s="1077" t="e">
        <f>R43</f>
        <v>#DIV/0!</v>
      </c>
      <c r="D42" s="2134" t="s">
        <v>2138</v>
      </c>
      <c r="E42" s="1078" t="e">
        <f>R42</f>
        <v>#DIV/0!</v>
      </c>
      <c r="F42" s="2135"/>
      <c r="G42" s="1077" t="e">
        <f>T42</f>
        <v>#DIV/0!</v>
      </c>
      <c r="H42" s="2135"/>
      <c r="I42" s="1078" t="e">
        <f>V42</f>
        <v>#DIV/0!</v>
      </c>
      <c r="J42" s="2135"/>
      <c r="K42" s="2137">
        <f>F42+H42+J42</f>
        <v>0</v>
      </c>
      <c r="L42" s="868"/>
      <c r="M42" s="856"/>
      <c r="N42" s="856"/>
      <c r="O42" s="856"/>
      <c r="P42" s="3437" t="str">
        <f>A42</f>
        <v>比较价值（元/平方米）</v>
      </c>
      <c r="Q42" s="3437"/>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3"/>
      <c r="Y42" s="383"/>
      <c r="Z42" s="383"/>
      <c r="AA42" s="383"/>
      <c r="AB42" s="383"/>
      <c r="AC42" s="383"/>
    </row>
    <row r="43" spans="1:29" ht="15" thickBot="1">
      <c r="A43" s="425" t="s">
        <v>1794</v>
      </c>
      <c r="B43" s="426"/>
      <c r="C43" s="349" t="e">
        <f>R43</f>
        <v>#DIV/0!</v>
      </c>
      <c r="D43" s="349"/>
      <c r="E43" s="349"/>
      <c r="F43" s="349"/>
      <c r="G43" s="349"/>
      <c r="H43" s="349"/>
      <c r="I43" s="349"/>
      <c r="J43" s="349"/>
      <c r="K43" s="672"/>
      <c r="L43" s="868"/>
      <c r="M43" s="856"/>
      <c r="N43" s="856"/>
      <c r="O43" s="856"/>
      <c r="P43" s="3445" t="str">
        <f>A43</f>
        <v>估价对象XX用房的比较价值（楼面单价，元/平方米）</v>
      </c>
      <c r="Q43" s="3446"/>
      <c r="R43" s="3476" t="e">
        <f>IF(F1="售价",ROUND(IF(D42="简单平均",AVERAGE(R42:V42),R42*F42+T42*H42+V42*J42),0),ROUND(IF(D42="简单平均",AVERAGE(R42:V42),R42*F42+T42*H42+V42*J42),1))</f>
        <v>#DIV/0!</v>
      </c>
      <c r="S43" s="3476"/>
      <c r="T43" s="3476"/>
      <c r="U43" s="3476"/>
      <c r="V43" s="3476"/>
      <c r="W43" s="3476"/>
      <c r="X43" s="383"/>
      <c r="Y43" s="383"/>
      <c r="Z43" s="383"/>
      <c r="AA43" s="383"/>
      <c r="AB43" s="383"/>
      <c r="AC43" s="383"/>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2.2" thickBot="1">
      <c r="A51" s="655" t="s">
        <v>1798</v>
      </c>
      <c r="B51" s="383"/>
      <c r="C51" s="656"/>
      <c r="D51" s="656"/>
      <c r="E51" s="656"/>
      <c r="F51" s="657"/>
      <c r="G51" s="657"/>
      <c r="H51" s="656"/>
      <c r="I51" s="656"/>
      <c r="J51" s="656"/>
      <c r="K51" s="882"/>
      <c r="L51" s="883"/>
      <c r="M51" s="881"/>
      <c r="N51" s="881"/>
      <c r="O51" s="881"/>
      <c r="P51" s="436"/>
      <c r="Q51" s="437"/>
    </row>
    <row r="52" spans="1:17" s="440" customFormat="1" ht="14.4">
      <c r="A52" s="438" t="s">
        <v>1679</v>
      </c>
      <c r="B52" s="439"/>
      <c r="C52" s="1098" t="str">
        <f>YEAR(C7)&amp;"-"&amp;MONTH(C7)</f>
        <v>2023-4</v>
      </c>
      <c r="D52" s="1099">
        <f>EDATE(C52,-1)</f>
        <v>44986</v>
      </c>
      <c r="E52" s="1099">
        <f t="shared" ref="E52:O52" si="16">EDATE(D52,-1)</f>
        <v>44958</v>
      </c>
      <c r="F52" s="1099">
        <f t="shared" si="16"/>
        <v>44927</v>
      </c>
      <c r="G52" s="1099">
        <f t="shared" si="16"/>
        <v>44896</v>
      </c>
      <c r="H52" s="1099">
        <f t="shared" si="16"/>
        <v>44866</v>
      </c>
      <c r="I52" s="1099">
        <f t="shared" si="16"/>
        <v>44835</v>
      </c>
      <c r="J52" s="1099">
        <f t="shared" si="16"/>
        <v>44805</v>
      </c>
      <c r="K52" s="1099">
        <f t="shared" si="16"/>
        <v>44774</v>
      </c>
      <c r="L52" s="1099">
        <f t="shared" si="16"/>
        <v>44743</v>
      </c>
      <c r="M52" s="1099">
        <f t="shared" si="16"/>
        <v>44713</v>
      </c>
      <c r="N52" s="1099">
        <f t="shared" si="16"/>
        <v>44682</v>
      </c>
      <c r="O52" s="1099">
        <f t="shared" si="16"/>
        <v>44652</v>
      </c>
    </row>
    <row r="53" spans="1:17" s="100" customFormat="1">
      <c r="A53" s="441"/>
      <c r="B53" s="442"/>
      <c r="C53" s="1097">
        <v>100</v>
      </c>
      <c r="D53" s="444"/>
      <c r="E53" s="444"/>
      <c r="F53" s="444"/>
      <c r="G53" s="444"/>
      <c r="H53" s="444"/>
      <c r="I53" s="444"/>
      <c r="J53" s="444"/>
      <c r="K53" s="444"/>
      <c r="L53" s="444"/>
      <c r="M53" s="445"/>
      <c r="N53" s="444"/>
      <c r="O53" s="446"/>
      <c r="P53" s="437"/>
    </row>
    <row r="54" spans="1:17" s="100" customFormat="1" ht="15" thickBot="1">
      <c r="A54" s="447" t="s">
        <v>1716</v>
      </c>
      <c r="B54" s="448"/>
      <c r="C54" s="449"/>
      <c r="D54" s="450"/>
      <c r="E54" s="450"/>
      <c r="F54" s="450"/>
      <c r="G54" s="450"/>
      <c r="H54" s="450"/>
      <c r="I54" s="450"/>
      <c r="J54" s="450"/>
      <c r="K54" s="450"/>
      <c r="L54" s="450"/>
      <c r="M54" s="451"/>
      <c r="N54" s="2531"/>
      <c r="O54" s="2532"/>
      <c r="P54" s="437"/>
      <c r="Q54" s="437"/>
    </row>
    <row r="55" spans="1:17" s="100" customFormat="1" ht="14.4">
      <c r="A55" s="453" t="s">
        <v>1681</v>
      </c>
      <c r="B55" s="442"/>
      <c r="C55" s="454" t="s">
        <v>1776</v>
      </c>
      <c r="D55" s="30"/>
      <c r="E55" s="30"/>
      <c r="F55" s="30"/>
      <c r="G55" s="30"/>
      <c r="H55" s="30"/>
      <c r="I55" s="30"/>
      <c r="J55" s="30"/>
      <c r="K55" s="30"/>
      <c r="L55" s="455"/>
      <c r="M55" s="456"/>
      <c r="N55" s="873"/>
      <c r="O55" s="873"/>
      <c r="P55" s="457"/>
      <c r="Q55" s="437"/>
    </row>
    <row r="56" spans="1:17" s="100" customFormat="1" ht="14.4" thickBot="1">
      <c r="A56" s="453"/>
      <c r="B56" s="442"/>
      <c r="C56" s="561">
        <v>100</v>
      </c>
      <c r="D56" s="444"/>
      <c r="E56" s="444"/>
      <c r="F56" s="444"/>
      <c r="G56" s="444"/>
      <c r="H56" s="444"/>
      <c r="I56" s="444"/>
      <c r="J56" s="444"/>
      <c r="K56" s="444"/>
      <c r="L56" s="444"/>
      <c r="M56" s="446"/>
      <c r="N56" s="873"/>
      <c r="O56" s="873"/>
      <c r="P56" s="437"/>
      <c r="Q56" s="437"/>
    </row>
    <row r="57" spans="1:17" ht="14.4">
      <c r="A57" s="377" t="s">
        <v>1719</v>
      </c>
      <c r="B57" s="458" t="s">
        <v>1685</v>
      </c>
      <c r="C57" s="459">
        <f>C9</f>
        <v>0</v>
      </c>
      <c r="D57" s="460"/>
      <c r="E57" s="460"/>
      <c r="F57" s="460"/>
      <c r="G57" s="460"/>
      <c r="H57" s="460"/>
      <c r="I57" s="460"/>
      <c r="J57" s="460"/>
      <c r="K57" s="461"/>
      <c r="L57" s="462"/>
      <c r="M57" s="463"/>
      <c r="N57" s="874"/>
      <c r="O57" s="874"/>
      <c r="P57" s="39"/>
      <c r="Q57" s="437"/>
    </row>
    <row r="58" spans="1:17" ht="14.4" thickBot="1">
      <c r="A58" s="365"/>
      <c r="B58" s="464"/>
      <c r="C58" s="465">
        <v>100</v>
      </c>
      <c r="D58" s="465"/>
      <c r="E58" s="465"/>
      <c r="F58" s="465"/>
      <c r="G58" s="465"/>
      <c r="H58" s="465"/>
      <c r="I58" s="465"/>
      <c r="J58" s="465"/>
      <c r="K58" s="465"/>
      <c r="L58" s="465"/>
      <c r="M58" s="466"/>
      <c r="N58" s="875"/>
      <c r="O58" s="875"/>
      <c r="P58" s="39"/>
      <c r="Q58" s="437"/>
    </row>
    <row r="59" spans="1:17" ht="29.4" thickTop="1">
      <c r="A59" s="365"/>
      <c r="B59" s="467" t="s">
        <v>1688</v>
      </c>
      <c r="C59" s="511"/>
      <c r="D59" s="511"/>
      <c r="E59" s="511"/>
      <c r="F59" s="511"/>
      <c r="G59" s="511"/>
      <c r="H59" s="511"/>
      <c r="I59" s="511"/>
      <c r="J59" s="511"/>
      <c r="K59" s="512"/>
      <c r="L59" s="513"/>
      <c r="M59" s="514"/>
      <c r="N59" s="874"/>
      <c r="O59" s="874"/>
      <c r="P59" s="39"/>
      <c r="Q59" s="437"/>
    </row>
    <row r="60" spans="1:17" ht="14.4" thickBot="1">
      <c r="A60" s="365"/>
      <c r="B60" s="472"/>
      <c r="C60" s="465"/>
      <c r="D60" s="465"/>
      <c r="E60" s="465"/>
      <c r="F60" s="465"/>
      <c r="G60" s="465"/>
      <c r="H60" s="465"/>
      <c r="I60" s="465"/>
      <c r="J60" s="465"/>
      <c r="K60" s="465"/>
      <c r="L60" s="465"/>
      <c r="M60" s="466"/>
      <c r="N60" s="875"/>
      <c r="O60" s="875"/>
      <c r="P60" s="39"/>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5"/>
      <c r="O61" s="875"/>
      <c r="P61" s="39"/>
      <c r="Q61" s="437"/>
    </row>
    <row r="62" spans="1:17">
      <c r="A62" s="365"/>
      <c r="B62" s="477"/>
      <c r="C62" s="478">
        <v>0</v>
      </c>
      <c r="D62" s="478">
        <v>2</v>
      </c>
      <c r="E62" s="478"/>
      <c r="F62" s="478"/>
      <c r="G62" s="478"/>
      <c r="H62" s="478"/>
      <c r="I62" s="478"/>
      <c r="J62" s="478"/>
      <c r="K62" s="479"/>
      <c r="L62" s="480"/>
      <c r="M62" s="481"/>
      <c r="N62" s="874"/>
      <c r="O62" s="874"/>
      <c r="P62" s="39"/>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39"/>
      <c r="Q63" s="437"/>
    </row>
    <row r="64" spans="1:17" s="406" customFormat="1" ht="14.4" thickTop="1">
      <c r="A64" s="482"/>
      <c r="B64" s="467">
        <f>B12</f>
        <v>111</v>
      </c>
      <c r="C64" s="483"/>
      <c r="D64" s="483"/>
      <c r="E64" s="483"/>
      <c r="F64" s="483"/>
      <c r="G64" s="483"/>
      <c r="H64" s="484"/>
      <c r="I64" s="484"/>
      <c r="J64" s="484"/>
      <c r="K64" s="484"/>
      <c r="L64" s="485"/>
      <c r="M64" s="486"/>
      <c r="N64" s="876"/>
      <c r="O64" s="876"/>
      <c r="P64" s="487"/>
      <c r="Q64" s="488"/>
    </row>
    <row r="65" spans="1:17" s="406" customFormat="1" ht="14.4" thickBot="1">
      <c r="A65" s="482"/>
      <c r="B65" s="472"/>
      <c r="C65" s="489"/>
      <c r="D65" s="465"/>
      <c r="E65" s="465"/>
      <c r="F65" s="465"/>
      <c r="G65" s="465"/>
      <c r="H65" s="465"/>
      <c r="I65" s="465"/>
      <c r="J65" s="465"/>
      <c r="K65" s="465"/>
      <c r="L65" s="465"/>
      <c r="M65" s="466"/>
      <c r="N65" s="875"/>
      <c r="O65" s="875"/>
      <c r="P65" s="487"/>
      <c r="Q65" s="488"/>
    </row>
    <row r="66" spans="1:17" s="406" customFormat="1" ht="14.4" thickTop="1">
      <c r="A66" s="482"/>
      <c r="B66" s="467">
        <f>B13</f>
        <v>111</v>
      </c>
      <c r="C66" s="483"/>
      <c r="D66" s="483"/>
      <c r="E66" s="483"/>
      <c r="F66" s="483"/>
      <c r="G66" s="483"/>
      <c r="H66" s="484"/>
      <c r="I66" s="484"/>
      <c r="J66" s="484"/>
      <c r="K66" s="484"/>
      <c r="L66" s="485"/>
      <c r="M66" s="486"/>
      <c r="N66" s="876"/>
      <c r="O66" s="876"/>
      <c r="Q66" s="490"/>
    </row>
    <row r="67" spans="1:17" s="406" customFormat="1" ht="14.4" thickBot="1">
      <c r="A67" s="482"/>
      <c r="B67" s="472"/>
      <c r="C67" s="489"/>
      <c r="D67" s="465"/>
      <c r="E67" s="465"/>
      <c r="F67" s="465"/>
      <c r="G67" s="489"/>
      <c r="H67" s="491"/>
      <c r="I67" s="491"/>
      <c r="J67" s="491"/>
      <c r="K67" s="491"/>
      <c r="L67" s="491"/>
      <c r="M67" s="492"/>
      <c r="N67" s="876"/>
      <c r="O67" s="876"/>
      <c r="P67" s="487"/>
      <c r="Q67" s="488"/>
    </row>
    <row r="68" spans="1:17" s="406" customFormat="1" ht="14.4" thickTop="1">
      <c r="A68" s="482"/>
      <c r="B68" s="475">
        <f>B14</f>
        <v>111</v>
      </c>
      <c r="C68" s="30"/>
      <c r="D68" s="30"/>
      <c r="E68" s="30"/>
      <c r="F68" s="30"/>
      <c r="G68" s="30"/>
      <c r="H68" s="493"/>
      <c r="I68" s="493"/>
      <c r="J68" s="493"/>
      <c r="K68" s="493"/>
      <c r="L68" s="494"/>
      <c r="M68" s="495"/>
      <c r="N68" s="876"/>
      <c r="O68" s="876"/>
      <c r="P68" s="496"/>
      <c r="Q68" s="488"/>
    </row>
    <row r="69" spans="1:17" s="406" customFormat="1" ht="14.4" thickBot="1">
      <c r="A69" s="497"/>
      <c r="B69" s="498"/>
      <c r="C69" s="499"/>
      <c r="D69" s="499"/>
      <c r="E69" s="499"/>
      <c r="F69" s="499"/>
      <c r="G69" s="499"/>
      <c r="H69" s="500"/>
      <c r="I69" s="500"/>
      <c r="J69" s="500"/>
      <c r="K69" s="500"/>
      <c r="L69" s="500"/>
      <c r="M69" s="501"/>
      <c r="N69" s="876"/>
      <c r="O69" s="876"/>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4"/>
      <c r="O70" s="874"/>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5"/>
      <c r="O71" s="875"/>
      <c r="P71" s="39"/>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4"/>
      <c r="O72" s="874"/>
      <c r="P72" s="39"/>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5"/>
      <c r="O73" s="875"/>
      <c r="P73" s="39"/>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4"/>
      <c r="O74" s="874"/>
      <c r="P74" s="39"/>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5"/>
      <c r="O75" s="875"/>
      <c r="P75" s="39"/>
      <c r="Q75" s="437"/>
    </row>
    <row r="76" spans="1:17" ht="15" thickTop="1">
      <c r="A76" s="365"/>
      <c r="B76" s="475" t="s">
        <v>1813</v>
      </c>
      <c r="C76" s="579" t="s">
        <v>1799</v>
      </c>
      <c r="D76" s="579" t="s">
        <v>1800</v>
      </c>
      <c r="E76" s="579" t="s">
        <v>1801</v>
      </c>
      <c r="F76" s="579" t="s">
        <v>1802</v>
      </c>
      <c r="G76" s="579" t="s">
        <v>1803</v>
      </c>
      <c r="H76" s="468"/>
      <c r="I76" s="468"/>
      <c r="J76" s="468"/>
      <c r="K76" s="468"/>
      <c r="L76" s="468"/>
      <c r="M76" s="1058"/>
      <c r="N76" s="875"/>
      <c r="O76" s="875"/>
      <c r="P76" s="39"/>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5"/>
      <c r="O77" s="875"/>
      <c r="P77" s="39"/>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4"/>
      <c r="O78" s="874"/>
      <c r="P78" s="39"/>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5"/>
      <c r="O79" s="875"/>
      <c r="P79" s="39"/>
      <c r="Q79" s="437"/>
    </row>
    <row r="80" spans="1:17" s="100" customFormat="1" ht="14.4" thickTop="1">
      <c r="A80" s="368"/>
      <c r="B80" s="467">
        <f>B25</f>
        <v>111</v>
      </c>
      <c r="C80" s="483"/>
      <c r="D80" s="483"/>
      <c r="E80" s="483"/>
      <c r="F80" s="483"/>
      <c r="G80" s="483"/>
      <c r="H80" s="483"/>
      <c r="I80" s="483"/>
      <c r="J80" s="483"/>
      <c r="K80" s="483"/>
      <c r="L80" s="508"/>
      <c r="M80" s="509"/>
      <c r="N80" s="873"/>
      <c r="O80" s="873"/>
      <c r="P80" s="39"/>
      <c r="Q80" s="437"/>
    </row>
    <row r="81" spans="1:17" s="100" customFormat="1" ht="14.4" thickBot="1">
      <c r="A81" s="368"/>
      <c r="B81" s="472"/>
      <c r="C81" s="489"/>
      <c r="D81" s="465"/>
      <c r="E81" s="465"/>
      <c r="F81" s="465"/>
      <c r="G81" s="465"/>
      <c r="H81" s="465"/>
      <c r="I81" s="465"/>
      <c r="J81" s="465"/>
      <c r="K81" s="465"/>
      <c r="L81" s="465"/>
      <c r="M81" s="466"/>
      <c r="N81" s="875"/>
      <c r="O81" s="875"/>
      <c r="P81" s="39"/>
      <c r="Q81" s="437"/>
    </row>
    <row r="82" spans="1:17" s="100" customFormat="1" ht="14.4" thickTop="1">
      <c r="A82" s="368"/>
      <c r="B82" s="467">
        <f>B26</f>
        <v>111</v>
      </c>
      <c r="C82" s="483"/>
      <c r="D82" s="483"/>
      <c r="E82" s="483"/>
      <c r="F82" s="483"/>
      <c r="G82" s="483"/>
      <c r="H82" s="483"/>
      <c r="I82" s="483"/>
      <c r="J82" s="483"/>
      <c r="K82" s="483"/>
      <c r="L82" s="508"/>
      <c r="M82" s="509"/>
      <c r="N82" s="873"/>
      <c r="O82" s="873"/>
      <c r="P82" s="39"/>
      <c r="Q82" s="437"/>
    </row>
    <row r="83" spans="1:17" s="100" customFormat="1" ht="14.4" thickBot="1">
      <c r="A83" s="368"/>
      <c r="B83" s="472"/>
      <c r="C83" s="489"/>
      <c r="D83" s="465"/>
      <c r="E83" s="465"/>
      <c r="F83" s="465"/>
      <c r="G83" s="465"/>
      <c r="H83" s="465"/>
      <c r="I83" s="465"/>
      <c r="J83" s="465"/>
      <c r="K83" s="465"/>
      <c r="L83" s="465"/>
      <c r="M83" s="466"/>
      <c r="N83" s="875"/>
      <c r="O83" s="875"/>
      <c r="P83" s="39"/>
      <c r="Q83" s="437"/>
    </row>
    <row r="84" spans="1:17" s="406" customFormat="1" ht="14.4" thickTop="1">
      <c r="A84" s="482"/>
      <c r="B84" s="467">
        <f>B27</f>
        <v>111</v>
      </c>
      <c r="C84" s="483"/>
      <c r="D84" s="483"/>
      <c r="E84" s="483"/>
      <c r="F84" s="483"/>
      <c r="G84" s="483"/>
      <c r="H84" s="483"/>
      <c r="I84" s="483"/>
      <c r="J84" s="483"/>
      <c r="K84" s="483"/>
      <c r="L84" s="508"/>
      <c r="M84" s="509"/>
      <c r="N84" s="876"/>
      <c r="O84" s="876"/>
      <c r="P84" s="487"/>
      <c r="Q84" s="488"/>
    </row>
    <row r="85" spans="1:17" s="406" customFormat="1" ht="14.4" thickBot="1">
      <c r="A85" s="482"/>
      <c r="B85" s="472"/>
      <c r="C85" s="489"/>
      <c r="D85" s="465"/>
      <c r="E85" s="465"/>
      <c r="F85" s="465"/>
      <c r="G85" s="465"/>
      <c r="H85" s="465"/>
      <c r="I85" s="465"/>
      <c r="J85" s="465"/>
      <c r="K85" s="465"/>
      <c r="L85" s="465"/>
      <c r="M85" s="466"/>
      <c r="N85" s="876"/>
      <c r="O85" s="876"/>
      <c r="P85" s="487"/>
      <c r="Q85" s="488"/>
    </row>
    <row r="86" spans="1:17" ht="14.4" thickTop="1">
      <c r="A86" s="365"/>
      <c r="B86" s="475">
        <f>B28</f>
        <v>111</v>
      </c>
      <c r="C86" s="30"/>
      <c r="D86" s="30"/>
      <c r="E86" s="30"/>
      <c r="F86" s="30"/>
      <c r="G86" s="515"/>
      <c r="H86" s="515"/>
      <c r="I86" s="515"/>
      <c r="J86" s="515"/>
      <c r="K86" s="516"/>
      <c r="L86" s="517"/>
      <c r="M86" s="518"/>
      <c r="N86" s="874"/>
      <c r="O86" s="874"/>
      <c r="P86" s="39"/>
      <c r="Q86" s="437"/>
    </row>
    <row r="87" spans="1:17" ht="14.4" thickBot="1">
      <c r="A87" s="373"/>
      <c r="B87" s="498"/>
      <c r="C87" s="499"/>
      <c r="D87" s="499"/>
      <c r="E87" s="499"/>
      <c r="F87" s="499"/>
      <c r="G87" s="519"/>
      <c r="H87" s="519"/>
      <c r="I87" s="519"/>
      <c r="J87" s="519"/>
      <c r="K87" s="519"/>
      <c r="L87" s="519"/>
      <c r="M87" s="520"/>
      <c r="N87" s="875"/>
      <c r="O87" s="875"/>
      <c r="P87" s="39"/>
      <c r="Q87" s="437"/>
    </row>
    <row r="88" spans="1:17" ht="14.4">
      <c r="A88" s="377" t="s">
        <v>1694</v>
      </c>
      <c r="B88" s="458" t="s">
        <v>1736</v>
      </c>
      <c r="C88" s="460"/>
      <c r="D88" s="460"/>
      <c r="E88" s="460"/>
      <c r="F88" s="460"/>
      <c r="G88" s="460"/>
      <c r="H88" s="460"/>
      <c r="I88" s="460"/>
      <c r="J88" s="460"/>
      <c r="K88" s="461"/>
      <c r="L88" s="462"/>
      <c r="M88" s="463"/>
      <c r="N88" s="874"/>
      <c r="O88" s="874"/>
      <c r="P88" s="39"/>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39"/>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39"/>
      <c r="Q90" s="437"/>
    </row>
    <row r="91" spans="1:17" s="406" customFormat="1">
      <c r="A91" s="404"/>
      <c r="B91" s="521"/>
      <c r="C91" s="6"/>
      <c r="D91" s="6"/>
      <c r="E91" s="6"/>
      <c r="F91" s="6"/>
      <c r="G91" s="6"/>
      <c r="H91" s="6"/>
      <c r="I91" s="6"/>
      <c r="J91" s="522"/>
      <c r="K91" s="522"/>
      <c r="L91" s="523"/>
      <c r="M91" s="524"/>
      <c r="N91" s="876"/>
      <c r="O91" s="876"/>
      <c r="P91" s="487"/>
      <c r="Q91" s="488"/>
    </row>
    <row r="92" spans="1:17" s="406" customFormat="1" ht="14.4" thickBot="1">
      <c r="A92" s="482"/>
      <c r="B92" s="472"/>
      <c r="C92" s="489"/>
      <c r="D92" s="465"/>
      <c r="E92" s="465"/>
      <c r="F92" s="465"/>
      <c r="G92" s="465"/>
      <c r="H92" s="465"/>
      <c r="I92" s="465"/>
      <c r="J92" s="465"/>
      <c r="K92" s="465"/>
      <c r="L92" s="465"/>
      <c r="M92" s="466"/>
      <c r="N92" s="875"/>
      <c r="O92" s="875"/>
      <c r="P92" s="487"/>
      <c r="Q92" s="488"/>
    </row>
    <row r="93" spans="1:17" ht="15" thickTop="1">
      <c r="A93" s="407"/>
      <c r="B93" s="467" t="s">
        <v>1738</v>
      </c>
      <c r="C93" s="483"/>
      <c r="D93" s="483"/>
      <c r="E93" s="511"/>
      <c r="F93" s="511"/>
      <c r="G93" s="511"/>
      <c r="H93" s="511"/>
      <c r="I93" s="511"/>
      <c r="J93" s="511"/>
      <c r="K93" s="512"/>
      <c r="L93" s="513"/>
      <c r="M93" s="514"/>
      <c r="N93" s="874"/>
      <c r="O93" s="874"/>
      <c r="P93" s="39"/>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39"/>
      <c r="Q94" s="437"/>
    </row>
    <row r="95" spans="1:17" ht="15" thickTop="1">
      <c r="A95" s="407"/>
      <c r="B95" s="467" t="s">
        <v>1740</v>
      </c>
      <c r="C95" s="483"/>
      <c r="D95" s="483"/>
      <c r="E95" s="483"/>
      <c r="F95" s="511"/>
      <c r="G95" s="511"/>
      <c r="H95" s="511"/>
      <c r="I95" s="511"/>
      <c r="J95" s="511"/>
      <c r="K95" s="512"/>
      <c r="L95" s="513"/>
      <c r="M95" s="514"/>
      <c r="N95" s="874"/>
      <c r="O95" s="874"/>
      <c r="P95" s="39"/>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39"/>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39"/>
      <c r="Q97" s="437"/>
    </row>
    <row r="98" spans="1:17">
      <c r="A98" s="407"/>
      <c r="B98" s="475"/>
      <c r="C98" s="528">
        <v>0.5</v>
      </c>
      <c r="D98" s="528">
        <v>0.6</v>
      </c>
      <c r="E98" s="528">
        <v>0.7</v>
      </c>
      <c r="F98" s="528">
        <v>0.8</v>
      </c>
      <c r="G98" s="528">
        <v>0.9</v>
      </c>
      <c r="H98" s="528">
        <v>1.0001</v>
      </c>
      <c r="I98" s="546"/>
      <c r="J98" s="546"/>
      <c r="K98" s="547"/>
      <c r="L98" s="548"/>
      <c r="M98" s="549"/>
      <c r="N98" s="874"/>
      <c r="O98" s="874"/>
      <c r="P98" s="39"/>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39"/>
      <c r="Q99" s="437"/>
    </row>
    <row r="100" spans="1:17" s="406" customFormat="1" ht="15" thickTop="1">
      <c r="A100" s="404"/>
      <c r="B100" s="467" t="s">
        <v>1741</v>
      </c>
      <c r="C100" s="483"/>
      <c r="D100" s="483"/>
      <c r="E100" s="483"/>
      <c r="F100" s="483"/>
      <c r="G100" s="483"/>
      <c r="H100" s="511"/>
      <c r="I100" s="511"/>
      <c r="J100" s="511"/>
      <c r="K100" s="512"/>
      <c r="L100" s="513"/>
      <c r="M100" s="514"/>
      <c r="N100" s="876"/>
      <c r="O100" s="876"/>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7"/>
      <c r="B102" s="467" t="s">
        <v>1742</v>
      </c>
      <c r="C102" s="483"/>
      <c r="D102" s="483"/>
      <c r="E102" s="483"/>
      <c r="F102" s="483"/>
      <c r="G102" s="483"/>
      <c r="H102" s="511"/>
      <c r="I102" s="511"/>
      <c r="J102" s="511"/>
      <c r="K102" s="512"/>
      <c r="L102" s="513"/>
      <c r="M102" s="514"/>
      <c r="N102" s="874"/>
      <c r="O102" s="874"/>
      <c r="P102" s="39"/>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39"/>
      <c r="Q103" s="437"/>
    </row>
    <row r="104" spans="1:17" ht="15" thickTop="1">
      <c r="A104" s="407"/>
      <c r="B104" s="467" t="s">
        <v>1744</v>
      </c>
      <c r="C104" s="483"/>
      <c r="D104" s="483"/>
      <c r="E104" s="483"/>
      <c r="F104" s="483"/>
      <c r="G104" s="483"/>
      <c r="H104" s="511"/>
      <c r="I104" s="511"/>
      <c r="J104" s="511"/>
      <c r="K104" s="512"/>
      <c r="L104" s="513"/>
      <c r="M104" s="514"/>
      <c r="N104" s="874"/>
      <c r="O104" s="874"/>
      <c r="P104" s="39"/>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5"/>
      <c r="O105" s="875"/>
      <c r="P105" s="39"/>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5"/>
      <c r="O106" s="875"/>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39"/>
      <c r="Q107" s="437"/>
    </row>
    <row r="108" spans="1:17" s="406" customFormat="1" ht="14.4" thickTop="1">
      <c r="A108" s="404"/>
      <c r="B108" s="467">
        <f>B38</f>
        <v>111</v>
      </c>
      <c r="C108" s="483"/>
      <c r="D108" s="483"/>
      <c r="E108" s="483"/>
      <c r="F108" s="483"/>
      <c r="G108" s="483"/>
      <c r="H108" s="484"/>
      <c r="I108" s="484"/>
      <c r="J108" s="484"/>
      <c r="K108" s="484"/>
      <c r="L108" s="485"/>
      <c r="M108" s="486"/>
      <c r="N108" s="876"/>
      <c r="O108" s="876"/>
      <c r="P108" s="487"/>
      <c r="Q108" s="488"/>
    </row>
    <row r="109" spans="1:17" s="406" customFormat="1" ht="14.4" thickBot="1">
      <c r="A109" s="482"/>
      <c r="B109" s="464"/>
      <c r="C109" s="489"/>
      <c r="D109" s="465"/>
      <c r="E109" s="465"/>
      <c r="F109" s="465"/>
      <c r="G109" s="489"/>
      <c r="H109" s="491"/>
      <c r="I109" s="491"/>
      <c r="J109" s="491"/>
      <c r="K109" s="491"/>
      <c r="L109" s="491"/>
      <c r="M109" s="492"/>
      <c r="N109" s="876"/>
      <c r="O109" s="876"/>
      <c r="P109" s="487"/>
      <c r="Q109" s="488"/>
    </row>
    <row r="110" spans="1:17" ht="14.4" thickTop="1">
      <c r="A110" s="407"/>
      <c r="B110" s="467">
        <f>B39</f>
        <v>111</v>
      </c>
      <c r="C110" s="483"/>
      <c r="D110" s="483"/>
      <c r="E110" s="483"/>
      <c r="F110" s="483"/>
      <c r="G110" s="483"/>
      <c r="H110" s="484"/>
      <c r="I110" s="484"/>
      <c r="J110" s="484"/>
      <c r="K110" s="484"/>
      <c r="L110" s="485"/>
      <c r="M110" s="486"/>
      <c r="N110" s="874"/>
      <c r="O110" s="874"/>
      <c r="P110" s="39"/>
      <c r="Q110" s="437"/>
    </row>
    <row r="111" spans="1:17" ht="14.4" thickBot="1">
      <c r="A111" s="365"/>
      <c r="B111" s="472"/>
      <c r="C111" s="489"/>
      <c r="D111" s="465"/>
      <c r="E111" s="465"/>
      <c r="F111" s="465"/>
      <c r="G111" s="489"/>
      <c r="H111" s="491"/>
      <c r="I111" s="491"/>
      <c r="J111" s="491"/>
      <c r="K111" s="491"/>
      <c r="L111" s="491"/>
      <c r="M111" s="492"/>
      <c r="N111" s="875"/>
      <c r="O111" s="875"/>
      <c r="P111" s="39"/>
      <c r="Q111" s="437"/>
    </row>
    <row r="112" spans="1:17" ht="14.4" thickTop="1">
      <c r="A112" s="407"/>
      <c r="B112" s="475">
        <f>B40</f>
        <v>111</v>
      </c>
      <c r="C112" s="30"/>
      <c r="D112" s="30"/>
      <c r="E112" s="30"/>
      <c r="F112" s="30"/>
      <c r="G112" s="515"/>
      <c r="H112" s="515"/>
      <c r="I112" s="515"/>
      <c r="J112" s="515"/>
      <c r="K112" s="30"/>
      <c r="L112" s="455"/>
      <c r="M112" s="518"/>
      <c r="N112" s="874"/>
      <c r="O112" s="874"/>
      <c r="P112" s="39"/>
      <c r="Q112" s="437"/>
    </row>
    <row r="113" spans="1:17" ht="14.4" thickBot="1">
      <c r="A113" s="373"/>
      <c r="B113" s="498"/>
      <c r="C113" s="499"/>
      <c r="D113" s="499"/>
      <c r="E113" s="499"/>
      <c r="F113" s="499"/>
      <c r="G113" s="519"/>
      <c r="H113" s="519"/>
      <c r="I113" s="519"/>
      <c r="J113" s="519"/>
      <c r="K113" s="519"/>
      <c r="L113" s="519"/>
      <c r="M113" s="520"/>
      <c r="N113" s="875"/>
      <c r="O113" s="875"/>
      <c r="P113" s="39"/>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E5" sqref="E5:J5"/>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3336</v>
      </c>
      <c r="C1" s="1136" t="s">
        <v>1662</v>
      </c>
      <c r="D1" s="1137" t="s">
        <v>3336</v>
      </c>
      <c r="E1" s="3125" t="s">
        <v>3568</v>
      </c>
      <c r="F1" s="1730" t="s">
        <v>3569</v>
      </c>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IF(E1="项目模式",IF(C2="——",ROUND(C37*D3/10000,0),ROUND(C37*D3/10000,0)-D2),IF(E1="单套模式",IF(C2="——",ROUND(C37*D3/10000,4),ROUND(C37*D3/10000,4)-D2)))</f>
        <v>5545</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29036</v>
      </c>
      <c r="C3" s="342" t="s">
        <v>1768</v>
      </c>
      <c r="D3" s="341">
        <f>SUMIF('数据-汇总表'!$C19:$C33,D1,'数据-汇总表'!$E19:$E33)</f>
        <v>1909.58</v>
      </c>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c r="A5" s="346"/>
      <c r="B5" s="347"/>
      <c r="C5" s="3423" t="s">
        <v>1673</v>
      </c>
      <c r="D5" s="3424"/>
      <c r="E5" s="3498" t="s">
        <v>3622</v>
      </c>
      <c r="F5" s="3426"/>
      <c r="G5" s="3499" t="s">
        <v>3621</v>
      </c>
      <c r="H5" s="3424"/>
      <c r="I5" s="3423" t="str">
        <f>'比较法-住宅'!I5:J5</f>
        <v>华樾国际领尚</v>
      </c>
      <c r="J5" s="3424"/>
      <c r="K5" s="535"/>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f>C7</f>
        <v>45029</v>
      </c>
      <c r="F7" s="355">
        <f>SUMIF(46:46,YEAR(E7)&amp;"-"&amp;MONTH(E7),47:47)</f>
        <v>100</v>
      </c>
      <c r="G7" s="1815">
        <f>C7</f>
        <v>45029</v>
      </c>
      <c r="H7" s="353">
        <f>SUMIF(46:46,YEAR(G7)&amp;"-"&amp;MONTH(G7),47:47)</f>
        <v>100</v>
      </c>
      <c r="I7" s="354">
        <f>C7</f>
        <v>45029</v>
      </c>
      <c r="J7" s="353">
        <f>SUMIF(46:46,YEAR(I7)&amp;"-"&amp;MONTH(I7),47:47)</f>
        <v>100</v>
      </c>
      <c r="K7" s="37"/>
      <c r="L7" s="2481"/>
      <c r="M7" s="2432"/>
      <c r="N7" s="2432"/>
      <c r="O7" s="2432"/>
      <c r="P7" s="3434" t="s">
        <v>1680</v>
      </c>
      <c r="Q7" s="3435"/>
      <c r="R7" s="661" t="s">
        <v>14</v>
      </c>
      <c r="S7" s="662">
        <f t="shared" ref="S7:S14" si="0">F7</f>
        <v>100</v>
      </c>
      <c r="T7" s="661" t="s">
        <v>14</v>
      </c>
      <c r="U7" s="662">
        <f t="shared" ref="U7:U14" si="1">H7</f>
        <v>100</v>
      </c>
      <c r="V7" s="661" t="s">
        <v>14</v>
      </c>
      <c r="W7" s="662">
        <f t="shared" ref="W7:W14" si="2">J7</f>
        <v>100</v>
      </c>
      <c r="X7" s="663"/>
      <c r="Y7" s="3434" t="s">
        <v>1680</v>
      </c>
      <c r="Z7" s="3436"/>
      <c r="AA7" s="49">
        <f>D7/F7</f>
        <v>1</v>
      </c>
      <c r="AB7" s="49">
        <f>D7/H7</f>
        <v>1</v>
      </c>
      <c r="AC7" s="49">
        <f>D7/J7</f>
        <v>1</v>
      </c>
    </row>
    <row r="8" spans="1:29" s="100" customFormat="1" ht="15" thickBot="1">
      <c r="A8" s="350" t="s">
        <v>1681</v>
      </c>
      <c r="B8" s="351"/>
      <c r="C8" s="356" t="s">
        <v>3386</v>
      </c>
      <c r="D8" s="353">
        <v>100</v>
      </c>
      <c r="E8" s="356" t="s">
        <v>3386</v>
      </c>
      <c r="F8" s="355">
        <f>SUMIF(49:49,E8,50:50)-SUMIF(49:49,C8,50:50)+100</f>
        <v>100</v>
      </c>
      <c r="G8" s="356" t="s">
        <v>3386</v>
      </c>
      <c r="H8" s="353">
        <f>SUMIF(49:49,G8,50:50)-SUMIF(49:49,C8,50:50)+100</f>
        <v>100</v>
      </c>
      <c r="I8" s="356" t="s">
        <v>3386</v>
      </c>
      <c r="J8" s="353">
        <f>SUMIF(49:49,I8,50:50)-SUMIF(49:49,C8,50:50)+100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34" si="3">D8/F8</f>
        <v>1</v>
      </c>
      <c r="AB8" s="49">
        <f t="shared" ref="AB8:AB34" si="4">D8/H8</f>
        <v>1</v>
      </c>
      <c r="AC8" s="49">
        <f t="shared" ref="AC8:AC34" si="5">D8/J8</f>
        <v>1</v>
      </c>
    </row>
    <row r="9" spans="1:29" s="100" customFormat="1" ht="14.4">
      <c r="A9" s="357" t="s">
        <v>1684</v>
      </c>
      <c r="B9" s="59" t="s">
        <v>1685</v>
      </c>
      <c r="C9" s="3190" t="s">
        <v>3614</v>
      </c>
      <c r="D9" s="58">
        <v>100</v>
      </c>
      <c r="E9" s="360" t="s">
        <v>3336</v>
      </c>
      <c r="F9" s="59">
        <f>SUMIF(51:51,E9,52:52)-SUMIF(51:51,C9,52:52)+100</f>
        <v>100</v>
      </c>
      <c r="G9" s="360" t="s">
        <v>3336</v>
      </c>
      <c r="H9" s="58">
        <f>SUMIF(51:51,G9,52:52)-SUMIF(51:51,C9,52:52)+100</f>
        <v>100</v>
      </c>
      <c r="I9" s="360" t="s">
        <v>3336</v>
      </c>
      <c r="J9" s="58">
        <f>SUMIF(51:51,I9,52:52)-SUMIF(51:51,C9,52:52)+100</f>
        <v>100</v>
      </c>
      <c r="K9" s="37"/>
      <c r="L9" s="2481"/>
      <c r="M9" s="2432"/>
      <c r="N9" s="2432"/>
      <c r="O9" s="2533"/>
      <c r="P9" s="3437" t="s">
        <v>1686</v>
      </c>
      <c r="Q9" s="528" t="str">
        <f t="shared" ref="Q9:Q14" si="6">B9</f>
        <v>用途</v>
      </c>
      <c r="R9" s="661" t="s">
        <v>14</v>
      </c>
      <c r="S9" s="662">
        <f t="shared" si="0"/>
        <v>100</v>
      </c>
      <c r="T9" s="661" t="s">
        <v>14</v>
      </c>
      <c r="U9" s="662">
        <f t="shared" si="1"/>
        <v>100</v>
      </c>
      <c r="V9" s="661" t="s">
        <v>14</v>
      </c>
      <c r="W9" s="662">
        <f t="shared" si="2"/>
        <v>100</v>
      </c>
      <c r="X9" s="663"/>
      <c r="Y9" s="3379" t="s">
        <v>1687</v>
      </c>
      <c r="Z9" s="49" t="str">
        <f t="shared" ref="Z9:Z14" si="7">Q9</f>
        <v>用途</v>
      </c>
      <c r="AA9" s="49">
        <f t="shared" si="3"/>
        <v>1</v>
      </c>
      <c r="AB9" s="49">
        <f t="shared" si="4"/>
        <v>1</v>
      </c>
      <c r="AC9" s="49">
        <f t="shared" si="5"/>
        <v>1</v>
      </c>
    </row>
    <row r="10" spans="1:29" s="364" customFormat="1" ht="28.8">
      <c r="A10" s="361"/>
      <c r="B10" s="362" t="s">
        <v>1688</v>
      </c>
      <c r="C10" s="3126" t="s">
        <v>3613</v>
      </c>
      <c r="D10" s="117">
        <v>100</v>
      </c>
      <c r="E10" s="3126" t="s">
        <v>3613</v>
      </c>
      <c r="F10" s="362">
        <f>SUMIF(53:53,E10,54:54)-SUMIF(53:53,C10,54:54)+100</f>
        <v>100</v>
      </c>
      <c r="G10" s="3126" t="s">
        <v>3613</v>
      </c>
      <c r="H10" s="117">
        <f>SUMIF(53:53,G10,54:54)-SUMIF(53:53,C10,54:54)+100</f>
        <v>100</v>
      </c>
      <c r="I10" s="3126" t="s">
        <v>3613</v>
      </c>
      <c r="J10" s="117">
        <f>SUMIF(53:53,I10,54:54)-SUMIF(53:53,C10,54:54)+100</f>
        <v>100</v>
      </c>
      <c r="K10" s="37"/>
      <c r="L10" s="2482"/>
      <c r="M10" s="2483"/>
      <c r="N10" s="2483"/>
      <c r="O10" s="2534"/>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37"/>
      <c r="Q11" s="528">
        <f t="shared" si="6"/>
        <v>111</v>
      </c>
      <c r="R11" s="661" t="s">
        <v>14</v>
      </c>
      <c r="S11" s="662">
        <f t="shared" si="0"/>
        <v>100</v>
      </c>
      <c r="T11" s="661" t="s">
        <v>14</v>
      </c>
      <c r="U11" s="662">
        <f t="shared" si="1"/>
        <v>100</v>
      </c>
      <c r="V11" s="661" t="s">
        <v>14</v>
      </c>
      <c r="W11" s="662">
        <f t="shared" si="2"/>
        <v>100</v>
      </c>
      <c r="X11" s="663"/>
      <c r="Y11" s="3379"/>
      <c r="Z11" s="49">
        <f t="shared" si="7"/>
        <v>111</v>
      </c>
      <c r="AA11" s="49">
        <f t="shared" si="3"/>
        <v>1</v>
      </c>
      <c r="AB11" s="49">
        <f t="shared" si="4"/>
        <v>1</v>
      </c>
      <c r="AC11" s="49">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2"/>
      <c r="N12" s="2432"/>
      <c r="O12" s="2533"/>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6" thickBot="1">
      <c r="A13" s="365"/>
      <c r="B13" s="445">
        <v>111</v>
      </c>
      <c r="C13" s="371"/>
      <c r="D13" s="372">
        <v>100</v>
      </c>
      <c r="E13" s="405"/>
      <c r="F13" s="362">
        <f>SUMIF(59:59,E13,60:60)-SUMIF(59:59,C13,60:60)+100</f>
        <v>100</v>
      </c>
      <c r="G13" s="1816"/>
      <c r="H13" s="375">
        <f>SUMIF(59:59,G13,60:60)-SUMIF(59:59,C13,60:60)+100</f>
        <v>100</v>
      </c>
      <c r="I13" s="405"/>
      <c r="J13" s="372">
        <f>SUMIF(59:59,I13,60:60)-SUMIF(59:59,C13,60:60)+100</f>
        <v>100</v>
      </c>
      <c r="K13" s="537"/>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
      <c r="A14" s="377" t="s">
        <v>1690</v>
      </c>
      <c r="B14" s="57" t="s">
        <v>1833</v>
      </c>
      <c r="C14" s="1812"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v>2</v>
      </c>
      <c r="L14" s="2485"/>
      <c r="M14" s="2480"/>
      <c r="N14" s="2480"/>
      <c r="O14" s="2535"/>
      <c r="P14" s="3438" t="s">
        <v>1691</v>
      </c>
      <c r="Q14" s="1258" t="str">
        <f t="shared" si="6"/>
        <v>交通便捷度</v>
      </c>
      <c r="R14" s="664" t="s">
        <v>14</v>
      </c>
      <c r="S14" s="665">
        <f t="shared" si="0"/>
        <v>100</v>
      </c>
      <c r="T14" s="664" t="s">
        <v>14</v>
      </c>
      <c r="U14" s="665">
        <f t="shared" si="1"/>
        <v>100</v>
      </c>
      <c r="V14" s="664" t="s">
        <v>14</v>
      </c>
      <c r="W14" s="665">
        <f t="shared" si="2"/>
        <v>100</v>
      </c>
      <c r="X14" s="1260"/>
      <c r="Y14" s="3438" t="s">
        <v>1691</v>
      </c>
      <c r="Z14" s="1259" t="str">
        <f t="shared" si="7"/>
        <v>交通便捷度</v>
      </c>
      <c r="AA14" s="1259">
        <f t="shared" si="3"/>
        <v>1</v>
      </c>
      <c r="AB14" s="1259">
        <f t="shared" si="4"/>
        <v>1</v>
      </c>
      <c r="AC14" s="1259">
        <f t="shared" si="5"/>
        <v>1</v>
      </c>
    </row>
    <row r="15" spans="1:29" ht="15">
      <c r="A15" s="365"/>
      <c r="B15" s="383"/>
      <c r="C15" s="384" t="s">
        <v>3387</v>
      </c>
      <c r="D15" s="385"/>
      <c r="E15" s="384" t="s">
        <v>3387</v>
      </c>
      <c r="F15" s="386"/>
      <c r="G15" s="384" t="s">
        <v>3387</v>
      </c>
      <c r="H15" s="387"/>
      <c r="I15" s="384" t="s">
        <v>3387</v>
      </c>
      <c r="J15" s="385"/>
      <c r="K15" s="539"/>
      <c r="L15" s="2485"/>
      <c r="M15" s="2480"/>
      <c r="N15" s="2480"/>
      <c r="O15" s="2535"/>
      <c r="P15" s="3439"/>
      <c r="Q15" s="1258"/>
      <c r="R15" s="664"/>
      <c r="S15" s="665"/>
      <c r="T15" s="664"/>
      <c r="U15" s="665"/>
      <c r="V15" s="664"/>
      <c r="W15" s="665"/>
      <c r="X15" s="1260"/>
      <c r="Y15" s="3439"/>
      <c r="Z15" s="1259"/>
      <c r="AA15" s="1259">
        <v>1</v>
      </c>
      <c r="AB15" s="1259">
        <v>1</v>
      </c>
      <c r="AC15" s="1259">
        <v>1</v>
      </c>
    </row>
    <row r="16" spans="1:29" ht="15">
      <c r="A16" s="365"/>
      <c r="B16" s="388" t="s">
        <v>1812</v>
      </c>
      <c r="C16" s="1748" t="str">
        <f>IF(B1="工业",估价对象房地状况!G5,估价对象房地状况!C7)</f>
        <v>较差</v>
      </c>
      <c r="D16" s="392">
        <v>100</v>
      </c>
      <c r="E16" s="394"/>
      <c r="F16" s="395">
        <f>SUMIF(63:63,E17,64:64)-SUMIF(63:63,C17,64:64)+100</f>
        <v>102</v>
      </c>
      <c r="G16" s="396"/>
      <c r="H16" s="392">
        <f>SUMIF(63:63,G17,64:64)-SUMIF(63:63,C17,64:64)+100</f>
        <v>100</v>
      </c>
      <c r="I16" s="394"/>
      <c r="J16" s="392">
        <f>SUMIF(63:63,I17,64:64)-SUMIF(63:63,C17,64:64)+100</f>
        <v>100</v>
      </c>
      <c r="K16" s="538">
        <v>2</v>
      </c>
      <c r="L16" s="2485"/>
      <c r="M16" s="2480"/>
      <c r="N16" s="2480"/>
      <c r="O16" s="2535"/>
      <c r="P16" s="3439"/>
      <c r="Q16" s="1258" t="str">
        <f>B16</f>
        <v>公共配套设施</v>
      </c>
      <c r="R16" s="664" t="s">
        <v>14</v>
      </c>
      <c r="S16" s="665">
        <f>F16</f>
        <v>102</v>
      </c>
      <c r="T16" s="664" t="s">
        <v>14</v>
      </c>
      <c r="U16" s="665">
        <f>H16</f>
        <v>100</v>
      </c>
      <c r="V16" s="664" t="s">
        <v>14</v>
      </c>
      <c r="W16" s="665">
        <f>J16</f>
        <v>100</v>
      </c>
      <c r="X16" s="1260"/>
      <c r="Y16" s="3439"/>
      <c r="Z16" s="1259" t="str">
        <f>Q16</f>
        <v>公共配套设施</v>
      </c>
      <c r="AA16" s="1259">
        <f t="shared" si="3"/>
        <v>0.98039215686274506</v>
      </c>
      <c r="AB16" s="1259">
        <f t="shared" si="4"/>
        <v>1</v>
      </c>
      <c r="AC16" s="1259">
        <f t="shared" si="5"/>
        <v>1</v>
      </c>
    </row>
    <row r="17" spans="1:29" ht="15">
      <c r="A17" s="365"/>
      <c r="B17" s="393"/>
      <c r="C17" s="1749" t="s">
        <v>3546</v>
      </c>
      <c r="D17" s="385"/>
      <c r="E17" s="384" t="s">
        <v>3387</v>
      </c>
      <c r="F17" s="386"/>
      <c r="G17" s="384" t="s">
        <v>3546</v>
      </c>
      <c r="H17" s="385"/>
      <c r="I17" s="384" t="s">
        <v>3546</v>
      </c>
      <c r="J17" s="385"/>
      <c r="K17" s="539"/>
      <c r="L17" s="2485"/>
      <c r="M17" s="2480"/>
      <c r="N17" s="2480"/>
      <c r="O17" s="2535"/>
      <c r="P17" s="3439"/>
      <c r="Q17" s="1258"/>
      <c r="R17" s="664"/>
      <c r="S17" s="665"/>
      <c r="T17" s="664"/>
      <c r="U17" s="665"/>
      <c r="V17" s="664"/>
      <c r="W17" s="665"/>
      <c r="X17" s="1260"/>
      <c r="Y17" s="3439"/>
      <c r="Z17" s="1259"/>
      <c r="AA17" s="1259">
        <v>1</v>
      </c>
      <c r="AB17" s="1259">
        <v>1</v>
      </c>
      <c r="AC17" s="1259">
        <v>1</v>
      </c>
    </row>
    <row r="18" spans="1:29" ht="15">
      <c r="A18" s="365"/>
      <c r="B18" s="584" t="s">
        <v>1813</v>
      </c>
      <c r="C18" s="1748"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v>2</v>
      </c>
      <c r="L18" s="2485"/>
      <c r="M18" s="2480"/>
      <c r="N18" s="2480"/>
      <c r="O18" s="2535"/>
      <c r="P18" s="3439"/>
      <c r="Q18" s="1258" t="str">
        <f>B18</f>
        <v>基础设施水平</v>
      </c>
      <c r="R18" s="664" t="s">
        <v>14</v>
      </c>
      <c r="S18" s="665">
        <f>F18</f>
        <v>100</v>
      </c>
      <c r="T18" s="664" t="s">
        <v>14</v>
      </c>
      <c r="U18" s="665">
        <f>H18</f>
        <v>100</v>
      </c>
      <c r="V18" s="664" t="s">
        <v>14</v>
      </c>
      <c r="W18" s="665">
        <f>J18</f>
        <v>100</v>
      </c>
      <c r="X18" s="1260"/>
      <c r="Y18" s="3439"/>
      <c r="Z18" s="1259" t="str">
        <f>Q18</f>
        <v>基础设施水平</v>
      </c>
      <c r="AA18" s="1259">
        <f t="shared" ref="AA18" si="8">D18/F18</f>
        <v>1</v>
      </c>
      <c r="AB18" s="1259">
        <f t="shared" ref="AB18" si="9">D18/H18</f>
        <v>1</v>
      </c>
      <c r="AC18" s="1259">
        <f t="shared" ref="AC18" si="10">D18/J18</f>
        <v>1</v>
      </c>
    </row>
    <row r="19" spans="1:29" ht="15">
      <c r="A19" s="365"/>
      <c r="B19" s="584"/>
      <c r="C19" s="1749" t="s">
        <v>3389</v>
      </c>
      <c r="D19" s="387"/>
      <c r="E19" s="384" t="s">
        <v>3389</v>
      </c>
      <c r="F19" s="390"/>
      <c r="G19" s="384" t="s">
        <v>3389</v>
      </c>
      <c r="H19" s="385"/>
      <c r="I19" s="384" t="s">
        <v>3389</v>
      </c>
      <c r="J19" s="385"/>
      <c r="K19" s="1059"/>
      <c r="L19" s="2485"/>
      <c r="M19" s="2480"/>
      <c r="N19" s="2480"/>
      <c r="O19" s="2535"/>
      <c r="P19" s="3439"/>
      <c r="Q19" s="1258"/>
      <c r="R19" s="664"/>
      <c r="S19" s="665"/>
      <c r="T19" s="664"/>
      <c r="U19" s="665"/>
      <c r="V19" s="664"/>
      <c r="W19" s="665"/>
      <c r="X19" s="1260"/>
      <c r="Y19" s="3439"/>
      <c r="Z19" s="1259"/>
      <c r="AA19" s="1259">
        <v>1</v>
      </c>
      <c r="AB19" s="1259">
        <v>1</v>
      </c>
      <c r="AC19" s="1259">
        <v>1</v>
      </c>
    </row>
    <row r="20" spans="1:29" ht="15">
      <c r="A20" s="365"/>
      <c r="B20" s="388" t="s">
        <v>1834</v>
      </c>
      <c r="C20" s="1748" t="str">
        <f>IF(B1="工业",估价对象房地状况!G7,估价对象房地状况!C9)</f>
        <v>一般</v>
      </c>
      <c r="D20" s="392">
        <v>100</v>
      </c>
      <c r="E20" s="394"/>
      <c r="F20" s="395">
        <f>SUMIF(67:67,E21,68:68)-SUMIF(67:67,C21,68:68)+100</f>
        <v>102</v>
      </c>
      <c r="G20" s="396"/>
      <c r="H20" s="387">
        <f>SUMIF(67:67,G21,68:68)-SUMIF(67:67,C21,68:68)+100</f>
        <v>100</v>
      </c>
      <c r="I20" s="389"/>
      <c r="J20" s="387">
        <f>SUMIF(67:67,I21,68:68)-SUMIF(67:67,C21,68:68)+100</f>
        <v>100</v>
      </c>
      <c r="K20" s="538">
        <v>2</v>
      </c>
      <c r="L20" s="2485"/>
      <c r="M20" s="2480"/>
      <c r="N20" s="2480"/>
      <c r="O20" s="2535"/>
      <c r="P20" s="3439"/>
      <c r="Q20" s="1258" t="str">
        <f>B20</f>
        <v>自然及人文环境</v>
      </c>
      <c r="R20" s="664" t="s">
        <v>14</v>
      </c>
      <c r="S20" s="665">
        <f>F20</f>
        <v>102</v>
      </c>
      <c r="T20" s="664" t="s">
        <v>14</v>
      </c>
      <c r="U20" s="665">
        <f>H20</f>
        <v>100</v>
      </c>
      <c r="V20" s="664" t="s">
        <v>14</v>
      </c>
      <c r="W20" s="665">
        <f>J20</f>
        <v>100</v>
      </c>
      <c r="X20" s="1260"/>
      <c r="Y20" s="3439"/>
      <c r="Z20" s="1259" t="str">
        <f>Q20</f>
        <v>自然及人文环境</v>
      </c>
      <c r="AA20" s="1259">
        <f t="shared" si="3"/>
        <v>0.98039215686274506</v>
      </c>
      <c r="AB20" s="1259">
        <f t="shared" si="4"/>
        <v>1</v>
      </c>
      <c r="AC20" s="1259">
        <f t="shared" si="5"/>
        <v>1</v>
      </c>
    </row>
    <row r="21" spans="1:29" ht="15">
      <c r="A21" s="365"/>
      <c r="B21" s="393"/>
      <c r="C21" s="384" t="s">
        <v>3387</v>
      </c>
      <c r="D21" s="385"/>
      <c r="E21" s="384" t="s">
        <v>3545</v>
      </c>
      <c r="F21" s="386"/>
      <c r="G21" s="384" t="s">
        <v>3387</v>
      </c>
      <c r="H21" s="385"/>
      <c r="I21" s="384" t="s">
        <v>3387</v>
      </c>
      <c r="J21" s="385"/>
      <c r="K21" s="539"/>
      <c r="L21" s="2485"/>
      <c r="M21" s="2480"/>
      <c r="N21" s="2480"/>
      <c r="O21" s="2535"/>
      <c r="P21" s="3439"/>
      <c r="Q21" s="1258"/>
      <c r="R21" s="664"/>
      <c r="S21" s="665"/>
      <c r="T21" s="664"/>
      <c r="U21" s="665"/>
      <c r="V21" s="664"/>
      <c r="W21" s="665"/>
      <c r="X21" s="1260"/>
      <c r="Y21" s="3439"/>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39"/>
      <c r="Q22" s="1258" t="str">
        <f>B22</f>
        <v>楼层</v>
      </c>
      <c r="R22" s="664" t="s">
        <v>14</v>
      </c>
      <c r="S22" s="665">
        <f>F22</f>
        <v>100</v>
      </c>
      <c r="T22" s="664" t="s">
        <v>14</v>
      </c>
      <c r="U22" s="665">
        <f>H22</f>
        <v>100</v>
      </c>
      <c r="V22" s="664" t="s">
        <v>14</v>
      </c>
      <c r="W22" s="665">
        <f>J22</f>
        <v>100</v>
      </c>
      <c r="X22" s="1260"/>
      <c r="Y22" s="3439"/>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39"/>
      <c r="Q23" s="1258">
        <f>B23</f>
        <v>111</v>
      </c>
      <c r="R23" s="664" t="s">
        <v>14</v>
      </c>
      <c r="S23" s="665">
        <f>F23</f>
        <v>100</v>
      </c>
      <c r="T23" s="664" t="s">
        <v>14</v>
      </c>
      <c r="U23" s="665">
        <f>H23</f>
        <v>100</v>
      </c>
      <c r="V23" s="664" t="s">
        <v>14</v>
      </c>
      <c r="W23" s="665">
        <f>J23</f>
        <v>100</v>
      </c>
      <c r="X23" s="1260"/>
      <c r="Y23" s="3439"/>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39"/>
      <c r="Q24" s="1258">
        <f t="shared" ref="Q24:Q34" si="11">B24</f>
        <v>111</v>
      </c>
      <c r="R24" s="664" t="s">
        <v>14</v>
      </c>
      <c r="S24" s="665">
        <f>F24</f>
        <v>100</v>
      </c>
      <c r="T24" s="664" t="s">
        <v>14</v>
      </c>
      <c r="U24" s="665">
        <f>H24</f>
        <v>100</v>
      </c>
      <c r="V24" s="664" t="s">
        <v>14</v>
      </c>
      <c r="W24" s="665">
        <f>J24</f>
        <v>100</v>
      </c>
      <c r="X24" s="1260"/>
      <c r="Y24" s="3439"/>
      <c r="Z24" s="1259">
        <f>Q24</f>
        <v>111</v>
      </c>
      <c r="AA24" s="1259">
        <f t="shared" si="3"/>
        <v>1</v>
      </c>
      <c r="AB24" s="1259">
        <f t="shared" si="4"/>
        <v>1</v>
      </c>
      <c r="AC24" s="1259">
        <f t="shared" si="5"/>
        <v>1</v>
      </c>
    </row>
    <row r="25" spans="1:29" s="100" customFormat="1" ht="15.6" thickBot="1">
      <c r="A25" s="368"/>
      <c r="B25" s="445">
        <v>111</v>
      </c>
      <c r="C25" s="1817"/>
      <c r="D25" s="555">
        <v>100</v>
      </c>
      <c r="E25" s="1817"/>
      <c r="F25" s="584">
        <f>SUMIF(75:75,E25,76:76)-SUMIF(75:75,C25,76:76)+100</f>
        <v>100</v>
      </c>
      <c r="G25" s="1817"/>
      <c r="H25" s="555">
        <f>SUMIF(75:75,G25,76:76)-SUMIF(75:75,C25,76:76)+100</f>
        <v>100</v>
      </c>
      <c r="I25" s="1817"/>
      <c r="J25" s="555">
        <f>SUMIF(75:75,I25,76:76)-SUMIF(75:75,C25,76:76)+100</f>
        <v>100</v>
      </c>
      <c r="K25" s="537"/>
      <c r="L25" s="2481"/>
      <c r="M25" s="2432"/>
      <c r="N25" s="2432"/>
      <c r="O25" s="2533"/>
      <c r="P25" s="3439"/>
      <c r="Q25" s="528">
        <f t="shared" si="11"/>
        <v>111</v>
      </c>
      <c r="R25" s="661" t="s">
        <v>14</v>
      </c>
      <c r="S25" s="662">
        <f>F25</f>
        <v>100</v>
      </c>
      <c r="T25" s="661" t="s">
        <v>14</v>
      </c>
      <c r="U25" s="662">
        <f>H25</f>
        <v>100</v>
      </c>
      <c r="V25" s="661" t="s">
        <v>14</v>
      </c>
      <c r="W25" s="662">
        <f>J25</f>
        <v>100</v>
      </c>
      <c r="X25" s="663"/>
      <c r="Y25" s="3439"/>
      <c r="Z25" s="49">
        <f>Q25</f>
        <v>111</v>
      </c>
      <c r="AA25" s="1259">
        <f>D25/F25</f>
        <v>1</v>
      </c>
      <c r="AB25" s="1259">
        <f>D25/H25</f>
        <v>1</v>
      </c>
      <c r="AC25" s="1259">
        <f>D25/J25</f>
        <v>1</v>
      </c>
    </row>
    <row r="26" spans="1:29" ht="30">
      <c r="A26" s="402" t="s">
        <v>1694</v>
      </c>
      <c r="B26" s="59" t="s">
        <v>1838</v>
      </c>
      <c r="C26" s="1758" t="s">
        <v>3584</v>
      </c>
      <c r="D26" s="403">
        <v>100</v>
      </c>
      <c r="E26" s="1758" t="s">
        <v>3584</v>
      </c>
      <c r="F26" s="585">
        <f>SUMIF(77:77,E26,78:78)-SUMIF(77:77,C26,78:78)+100</f>
        <v>100</v>
      </c>
      <c r="G26" s="1758" t="s">
        <v>3584</v>
      </c>
      <c r="H26" s="403">
        <f>SUMIF(77:77,G26,78:78)-SUMIF(77:77,C26,78:78)+100</f>
        <v>100</v>
      </c>
      <c r="I26" s="1758" t="s">
        <v>3584</v>
      </c>
      <c r="J26" s="403">
        <f>SUMIF(77:77,I26,78:78)-SUMIF(77:77,C26,78:78)+100</f>
        <v>100</v>
      </c>
      <c r="K26" s="536">
        <v>2</v>
      </c>
      <c r="L26" s="2485"/>
      <c r="M26" s="2480"/>
      <c r="N26" s="2480"/>
      <c r="O26" s="2535"/>
      <c r="P26" s="3440"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41" t="s">
        <v>1696</v>
      </c>
      <c r="Z26" s="1259" t="str">
        <f t="shared" ref="Z26:Z34" si="15">Q26</f>
        <v>公共部分装修</v>
      </c>
      <c r="AA26" s="1259">
        <f t="shared" si="3"/>
        <v>1</v>
      </c>
      <c r="AB26" s="1259">
        <f t="shared" si="4"/>
        <v>1</v>
      </c>
      <c r="AC26" s="1259">
        <f t="shared" si="5"/>
        <v>1</v>
      </c>
    </row>
    <row r="27" spans="1:29" s="406" customFormat="1" ht="15">
      <c r="A27" s="404"/>
      <c r="B27" s="362" t="s">
        <v>1839</v>
      </c>
      <c r="C27" s="409">
        <v>1</v>
      </c>
      <c r="D27" s="117">
        <v>100</v>
      </c>
      <c r="E27" s="409">
        <v>1</v>
      </c>
      <c r="F27" s="398">
        <f>LOOKUP(E27,80:80,81:81)-LOOKUP(C27,80:80,81:81)+100</f>
        <v>100</v>
      </c>
      <c r="G27" s="409">
        <v>1</v>
      </c>
      <c r="H27" s="372">
        <f>LOOKUP(G27,80:80,81:81)-LOOKUP(C27,80:80,81:81)+100</f>
        <v>100</v>
      </c>
      <c r="I27" s="409">
        <v>1</v>
      </c>
      <c r="J27" s="372">
        <f>LOOKUP(I27,80:80,81:81)-LOOKUP(C27,80:80,81:81)+100</f>
        <v>100</v>
      </c>
      <c r="K27" s="536">
        <v>2</v>
      </c>
      <c r="L27" s="2484"/>
      <c r="M27" s="2486"/>
      <c r="N27" s="2486"/>
      <c r="O27" s="2536"/>
      <c r="P27" s="3441"/>
      <c r="Q27" s="529" t="str">
        <f t="shared" si="11"/>
        <v>成新率</v>
      </c>
      <c r="R27" s="666" t="s">
        <v>14</v>
      </c>
      <c r="S27" s="667">
        <f t="shared" si="12"/>
        <v>100</v>
      </c>
      <c r="T27" s="666" t="s">
        <v>14</v>
      </c>
      <c r="U27" s="667">
        <f t="shared" si="13"/>
        <v>100</v>
      </c>
      <c r="V27" s="666" t="s">
        <v>14</v>
      </c>
      <c r="W27" s="667">
        <f t="shared" si="14"/>
        <v>100</v>
      </c>
      <c r="X27" s="668"/>
      <c r="Y27" s="3441"/>
      <c r="Z27" s="669" t="str">
        <f t="shared" si="15"/>
        <v>成新率</v>
      </c>
      <c r="AA27" s="1259">
        <f t="shared" si="3"/>
        <v>1</v>
      </c>
      <c r="AB27" s="1259">
        <f t="shared" si="4"/>
        <v>1</v>
      </c>
      <c r="AC27" s="1259">
        <f t="shared" si="5"/>
        <v>1</v>
      </c>
    </row>
    <row r="28" spans="1:29" ht="15">
      <c r="A28" s="407"/>
      <c r="B28" s="362" t="s">
        <v>1840</v>
      </c>
      <c r="C28" s="397" t="s">
        <v>3618</v>
      </c>
      <c r="D28" s="372">
        <v>100</v>
      </c>
      <c r="E28" s="397" t="s">
        <v>3618</v>
      </c>
      <c r="F28" s="398">
        <f>SUMIF(82:82,E28,83:83)-SUMIF(82:82,C28,83:83)+100</f>
        <v>100</v>
      </c>
      <c r="G28" s="397" t="s">
        <v>3618</v>
      </c>
      <c r="H28" s="372">
        <f>SUMIF(82:82,G28,83:83)-SUMIF(82:82,C28,83:83)+100</f>
        <v>100</v>
      </c>
      <c r="I28" s="397" t="s">
        <v>3618</v>
      </c>
      <c r="J28" s="372">
        <f>SUMIF(82:82,I28,83:83)-SUMIF(82:82,C28,83:83)+100</f>
        <v>100</v>
      </c>
      <c r="K28" s="536">
        <v>2</v>
      </c>
      <c r="L28" s="2485"/>
      <c r="M28" s="2480"/>
      <c r="N28" s="2480"/>
      <c r="O28" s="2535"/>
      <c r="P28" s="3441"/>
      <c r="Q28" s="1258" t="str">
        <f t="shared" si="11"/>
        <v>物业等级</v>
      </c>
      <c r="R28" s="664" t="s">
        <v>14</v>
      </c>
      <c r="S28" s="665">
        <f t="shared" si="12"/>
        <v>100</v>
      </c>
      <c r="T28" s="664" t="s">
        <v>14</v>
      </c>
      <c r="U28" s="665">
        <f t="shared" si="13"/>
        <v>100</v>
      </c>
      <c r="V28" s="664" t="s">
        <v>14</v>
      </c>
      <c r="W28" s="665">
        <f t="shared" si="14"/>
        <v>100</v>
      </c>
      <c r="X28" s="1260"/>
      <c r="Y28" s="3441"/>
      <c r="Z28" s="1259" t="str">
        <f t="shared" si="15"/>
        <v>物业等级</v>
      </c>
      <c r="AA28" s="1259">
        <f t="shared" si="3"/>
        <v>1</v>
      </c>
      <c r="AB28" s="1259">
        <f t="shared" si="4"/>
        <v>1</v>
      </c>
      <c r="AC28" s="1259">
        <f t="shared" si="5"/>
        <v>1</v>
      </c>
    </row>
    <row r="29" spans="1:29" ht="15">
      <c r="A29" s="407"/>
      <c r="B29" s="362" t="s">
        <v>1860</v>
      </c>
      <c r="C29" s="576" t="s">
        <v>3851</v>
      </c>
      <c r="D29" s="372">
        <v>100</v>
      </c>
      <c r="E29" s="576" t="s">
        <v>3851</v>
      </c>
      <c r="F29" s="398">
        <f>SUMIF(84:84,E29,85:85)-SUMIF(84:84,C29,85:85)+100</f>
        <v>100</v>
      </c>
      <c r="G29" s="576" t="s">
        <v>3851</v>
      </c>
      <c r="H29" s="372">
        <f>SUMIF(84:84,G29,85:85)-SUMIF(84:84,C29,85:85)+100</f>
        <v>100</v>
      </c>
      <c r="I29" s="576" t="s">
        <v>3851</v>
      </c>
      <c r="J29" s="372">
        <f>SUMIF(84:84,I29,85:85)-SUMIF(84:84,C29,85:85)+100</f>
        <v>100</v>
      </c>
      <c r="K29" s="536">
        <v>2</v>
      </c>
      <c r="L29" s="2485"/>
      <c r="M29" s="2480"/>
      <c r="N29" s="2480"/>
      <c r="O29" s="2535"/>
      <c r="P29" s="3441"/>
      <c r="Q29" s="1258" t="str">
        <f t="shared" si="11"/>
        <v>有无电梯</v>
      </c>
      <c r="R29" s="664" t="s">
        <v>14</v>
      </c>
      <c r="S29" s="665">
        <f t="shared" si="12"/>
        <v>100</v>
      </c>
      <c r="T29" s="664" t="s">
        <v>14</v>
      </c>
      <c r="U29" s="665">
        <f t="shared" si="13"/>
        <v>100</v>
      </c>
      <c r="V29" s="664" t="s">
        <v>14</v>
      </c>
      <c r="W29" s="665">
        <f t="shared" si="14"/>
        <v>100</v>
      </c>
      <c r="X29" s="1260"/>
      <c r="Y29" s="3441"/>
      <c r="Z29" s="1259" t="str">
        <f t="shared" si="15"/>
        <v>有无电梯</v>
      </c>
      <c r="AA29" s="1259">
        <f t="shared" si="3"/>
        <v>1</v>
      </c>
      <c r="AB29" s="1259">
        <f t="shared" si="4"/>
        <v>1</v>
      </c>
      <c r="AC29" s="1259">
        <f t="shared" si="5"/>
        <v>1</v>
      </c>
    </row>
    <row r="30" spans="1:29" ht="15">
      <c r="A30" s="407"/>
      <c r="B30" s="362" t="s">
        <v>1861</v>
      </c>
      <c r="C30" s="405"/>
      <c r="D30" s="372">
        <v>100</v>
      </c>
      <c r="E30" s="405"/>
      <c r="F30" s="398">
        <f>LOOKUP(E30,87:87,88:88)-LOOKUP(C30,87:87,88:88)+100</f>
        <v>100</v>
      </c>
      <c r="G30" s="405"/>
      <c r="H30" s="372">
        <f>LOOKUP(G30,87:87,88:88)-LOOKUP(C30,87:87,88:88)+100</f>
        <v>100</v>
      </c>
      <c r="I30" s="405"/>
      <c r="J30" s="372">
        <f>LOOKUP(I30,87:87,88:88)-LOOKUP(C30,87:87,88:88)+100</f>
        <v>100</v>
      </c>
      <c r="K30" s="537"/>
      <c r="L30" s="2485"/>
      <c r="M30" s="2480"/>
      <c r="N30" s="2480"/>
      <c r="O30" s="2535"/>
      <c r="P30" s="3441"/>
      <c r="Q30" s="1258" t="str">
        <f t="shared" si="11"/>
        <v>建筑面积</v>
      </c>
      <c r="R30" s="664" t="s">
        <v>14</v>
      </c>
      <c r="S30" s="665">
        <f t="shared" si="12"/>
        <v>100</v>
      </c>
      <c r="T30" s="664" t="s">
        <v>14</v>
      </c>
      <c r="U30" s="665">
        <f t="shared" si="13"/>
        <v>100</v>
      </c>
      <c r="V30" s="664" t="s">
        <v>14</v>
      </c>
      <c r="W30" s="665">
        <f t="shared" si="14"/>
        <v>100</v>
      </c>
      <c r="X30" s="1260"/>
      <c r="Y30" s="3441"/>
      <c r="Z30" s="1259" t="str">
        <f t="shared" si="15"/>
        <v>建筑面积</v>
      </c>
      <c r="AA30" s="1259">
        <f t="shared" si="3"/>
        <v>1</v>
      </c>
      <c r="AB30" s="1259">
        <f t="shared" si="4"/>
        <v>1</v>
      </c>
      <c r="AC30" s="1259">
        <f t="shared" si="5"/>
        <v>1</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v>2</v>
      </c>
      <c r="L31" s="2481"/>
      <c r="M31" s="2432"/>
      <c r="N31" s="2432"/>
      <c r="O31" s="2533"/>
      <c r="P31" s="3441"/>
      <c r="Q31" s="528" t="str">
        <f t="shared" si="11"/>
        <v>是否封闭</v>
      </c>
      <c r="R31" s="661" t="s">
        <v>14</v>
      </c>
      <c r="S31" s="662">
        <f t="shared" si="12"/>
        <v>100</v>
      </c>
      <c r="T31" s="661" t="s">
        <v>14</v>
      </c>
      <c r="U31" s="662">
        <f t="shared" si="13"/>
        <v>100</v>
      </c>
      <c r="V31" s="661" t="s">
        <v>14</v>
      </c>
      <c r="W31" s="662">
        <f t="shared" si="14"/>
        <v>100</v>
      </c>
      <c r="X31" s="663"/>
      <c r="Y31" s="3441"/>
      <c r="Z31" s="49" t="str">
        <f t="shared" si="15"/>
        <v>是否封闭</v>
      </c>
      <c r="AA31" s="49">
        <f t="shared" si="3"/>
        <v>1</v>
      </c>
      <c r="AB31" s="49">
        <f t="shared" si="4"/>
        <v>1</v>
      </c>
      <c r="AC31" s="49">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5"/>
      <c r="M32" s="2480"/>
      <c r="N32" s="2480"/>
      <c r="O32" s="2535"/>
      <c r="P32" s="3441" t="s">
        <v>1696</v>
      </c>
      <c r="Q32" s="1258">
        <f t="shared" si="11"/>
        <v>111</v>
      </c>
      <c r="R32" s="664" t="s">
        <v>14</v>
      </c>
      <c r="S32" s="665">
        <f t="shared" si="12"/>
        <v>100</v>
      </c>
      <c r="T32" s="664" t="s">
        <v>14</v>
      </c>
      <c r="U32" s="665">
        <f t="shared" si="13"/>
        <v>100</v>
      </c>
      <c r="V32" s="664" t="s">
        <v>14</v>
      </c>
      <c r="W32" s="665">
        <f t="shared" si="14"/>
        <v>100</v>
      </c>
      <c r="X32" s="1260"/>
      <c r="Y32" s="3441"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41"/>
      <c r="Q33" s="1258">
        <f t="shared" si="11"/>
        <v>111</v>
      </c>
      <c r="R33" s="664" t="s">
        <v>14</v>
      </c>
      <c r="S33" s="665">
        <f t="shared" si="12"/>
        <v>100</v>
      </c>
      <c r="T33" s="664" t="s">
        <v>14</v>
      </c>
      <c r="U33" s="665">
        <f t="shared" si="13"/>
        <v>100</v>
      </c>
      <c r="V33" s="664" t="s">
        <v>14</v>
      </c>
      <c r="W33" s="665">
        <f t="shared" si="14"/>
        <v>100</v>
      </c>
      <c r="X33" s="1260"/>
      <c r="Y33" s="3441"/>
      <c r="Z33" s="1259">
        <f t="shared" si="15"/>
        <v>111</v>
      </c>
      <c r="AA33" s="1259">
        <f t="shared" si="3"/>
        <v>1</v>
      </c>
      <c r="AB33" s="1259">
        <f t="shared" si="4"/>
        <v>1</v>
      </c>
      <c r="AC33" s="1259">
        <f t="shared" si="5"/>
        <v>1</v>
      </c>
    </row>
    <row r="34" spans="1:30" ht="15.6" thickBot="1">
      <c r="A34" s="413"/>
      <c r="B34" s="1743">
        <v>111</v>
      </c>
      <c r="C34" s="374"/>
      <c r="D34" s="375">
        <v>100</v>
      </c>
      <c r="E34" s="1816"/>
      <c r="F34" s="376">
        <f>SUMIF(95:95,E34,96:96)-SUMIF(95:95,C34,96:96)+100</f>
        <v>100</v>
      </c>
      <c r="G34" s="1816"/>
      <c r="H34" s="375">
        <f>SUMIF(95:95,G34,96:96)-SUMIF(95:95,C34,96:96)+100</f>
        <v>100</v>
      </c>
      <c r="I34" s="1816"/>
      <c r="J34" s="375">
        <f>SUMIF(95:95,I34,96:96)-SUMIF(95:95,C34,96:96)+100</f>
        <v>100</v>
      </c>
      <c r="K34" s="537"/>
      <c r="L34" s="2485"/>
      <c r="M34" s="2480"/>
      <c r="N34" s="2480"/>
      <c r="O34" s="2535"/>
      <c r="P34" s="3441"/>
      <c r="Q34" s="1258">
        <f t="shared" si="11"/>
        <v>111</v>
      </c>
      <c r="R34" s="664" t="s">
        <v>14</v>
      </c>
      <c r="S34" s="665">
        <f t="shared" si="12"/>
        <v>100</v>
      </c>
      <c r="T34" s="664" t="s">
        <v>14</v>
      </c>
      <c r="U34" s="665">
        <f t="shared" si="13"/>
        <v>100</v>
      </c>
      <c r="V34" s="664" t="s">
        <v>14</v>
      </c>
      <c r="W34" s="665">
        <f t="shared" si="14"/>
        <v>100</v>
      </c>
      <c r="X34" s="1260"/>
      <c r="Y34" s="3441"/>
      <c r="Z34" s="1259">
        <f t="shared" si="15"/>
        <v>111</v>
      </c>
      <c r="AA34" s="1259">
        <f t="shared" si="3"/>
        <v>1</v>
      </c>
      <c r="AB34" s="1259">
        <f t="shared" si="4"/>
        <v>1</v>
      </c>
      <c r="AC34" s="1259">
        <f t="shared" si="5"/>
        <v>1</v>
      </c>
    </row>
    <row r="35" spans="1:30" ht="14.4">
      <c r="A35" s="414" t="s">
        <v>1708</v>
      </c>
      <c r="B35" s="415"/>
      <c r="C35" s="1076" t="s">
        <v>0</v>
      </c>
      <c r="D35" s="416"/>
      <c r="E35" s="417">
        <v>31042</v>
      </c>
      <c r="F35" s="418"/>
      <c r="G35" s="419">
        <v>28411</v>
      </c>
      <c r="H35" s="420"/>
      <c r="I35" s="417">
        <v>28861</v>
      </c>
      <c r="J35" s="420"/>
      <c r="K35" s="671"/>
      <c r="L35" s="2487"/>
      <c r="M35" s="2480"/>
      <c r="N35" s="2480"/>
      <c r="O35" s="2480"/>
      <c r="P35" s="3437" t="str">
        <f>A35</f>
        <v>成交单价（元/平方米）</v>
      </c>
      <c r="Q35" s="3437"/>
      <c r="R35" s="3433">
        <f>E35</f>
        <v>31042</v>
      </c>
      <c r="S35" s="3433"/>
      <c r="T35" s="3433">
        <f>G35</f>
        <v>28411</v>
      </c>
      <c r="U35" s="3433"/>
      <c r="V35" s="3433">
        <f>I35</f>
        <v>28861</v>
      </c>
      <c r="W35" s="3433"/>
      <c r="X35" s="383"/>
      <c r="Y35" s="670"/>
      <c r="Z35" s="383"/>
      <c r="AA35" s="383"/>
      <c r="AB35" s="383"/>
      <c r="AC35" s="383"/>
    </row>
    <row r="36" spans="1:30" ht="15" thickBot="1">
      <c r="A36" s="421" t="s">
        <v>1793</v>
      </c>
      <c r="B36" s="422"/>
      <c r="C36" s="1077">
        <f>R37</f>
        <v>29036</v>
      </c>
      <c r="D36" s="2134" t="s">
        <v>2138</v>
      </c>
      <c r="E36" s="1078">
        <f>R36</f>
        <v>29837</v>
      </c>
      <c r="F36" s="2135"/>
      <c r="G36" s="1077">
        <f>T36</f>
        <v>28411</v>
      </c>
      <c r="H36" s="2135"/>
      <c r="I36" s="1078">
        <f>V36</f>
        <v>28861</v>
      </c>
      <c r="J36" s="2135"/>
      <c r="K36" s="2137">
        <f>F36+H36+J36</f>
        <v>0</v>
      </c>
      <c r="L36" s="2487"/>
      <c r="M36" s="2480"/>
      <c r="N36" s="2480"/>
      <c r="O36" s="2480"/>
      <c r="P36" s="3437" t="str">
        <f>A36</f>
        <v>比较价值（元/平方米）</v>
      </c>
      <c r="Q36" s="3437"/>
      <c r="R36" s="3433">
        <f>IF(F1="售价",ROUND(PRODUCT(R35,AA7:AA34),0),ROUND(PRODUCT(R35,AA7:AA34),1))</f>
        <v>29837</v>
      </c>
      <c r="S36" s="3433"/>
      <c r="T36" s="3433">
        <f>IF(F1="售价",ROUND(PRODUCT(T35,AB7:AB34),0),ROUND(PRODUCT(T35,AB7:AB34),1))</f>
        <v>28411</v>
      </c>
      <c r="U36" s="3433"/>
      <c r="V36" s="3433">
        <f>IF(F1="售价",ROUND(PRODUCT(V35,AC7:AC34),0),ROUND(PRODUCT(V35,AC7:AC34),1))</f>
        <v>28861</v>
      </c>
      <c r="W36" s="3433"/>
      <c r="X36" s="383"/>
      <c r="Y36" s="383"/>
      <c r="Z36" s="383"/>
      <c r="AA36" s="383"/>
      <c r="AB36" s="383"/>
      <c r="AC36" s="383"/>
    </row>
    <row r="37" spans="1:30" ht="15" thickBot="1">
      <c r="A37" s="425" t="s">
        <v>1794</v>
      </c>
      <c r="B37" s="426"/>
      <c r="C37" s="349">
        <f>R37</f>
        <v>29036</v>
      </c>
      <c r="D37" s="349"/>
      <c r="E37" s="349"/>
      <c r="F37" s="349"/>
      <c r="G37" s="349"/>
      <c r="H37" s="349"/>
      <c r="I37" s="349"/>
      <c r="J37" s="349"/>
      <c r="K37" s="672"/>
      <c r="L37" s="2487"/>
      <c r="M37" s="2480"/>
      <c r="N37" s="2480"/>
      <c r="O37" s="2480"/>
      <c r="P37" s="3445" t="str">
        <f>A37</f>
        <v>估价对象XX用房的比较价值（楼面单价，元/平方米）</v>
      </c>
      <c r="Q37" s="3446"/>
      <c r="R37" s="3500">
        <f>IF(F1="售价",ROUND(IF(D36="简单平均",AVERAGE(R36:W36),R36*F36+T36*H36+V36*J36),0),ROUND(IF(D36="简单平均",AVERAGE(R36:V36),R36*F36+T36*H36+V36*J36),1))</f>
        <v>29036</v>
      </c>
      <c r="S37" s="3500"/>
      <c r="T37" s="3500"/>
      <c r="U37" s="3500"/>
      <c r="V37" s="3500"/>
      <c r="W37" s="3500"/>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4.0386097798035925E-2</v>
      </c>
      <c r="F40" s="433" t="str">
        <f>IF(OR(E40&gt;=0.3,E40&lt;=-0.3),"超过30%","")</f>
        <v/>
      </c>
      <c r="G40" s="432">
        <f>IF(G35&lt;G36,G36/G35-1,G35/G36-1)</f>
        <v>0</v>
      </c>
      <c r="H40" s="433" t="str">
        <f>IF(OR(G40&gt;=0.3,G40&lt;=-0.3),"超过30%","")</f>
        <v/>
      </c>
      <c r="I40" s="432">
        <f>IF(I35&lt;I36,I36/I35-1,I35/I36-1)</f>
        <v>0</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5.0191827109218323E-2</v>
      </c>
      <c r="F41" s="433" t="str">
        <f>IF(OR(E41&gt;=0.2,E41&lt;=-0.2),"超过20%","")</f>
        <v/>
      </c>
      <c r="G41" s="432">
        <f>IF(G36&lt;I36,I36/G36-1,G36/I36-1)</f>
        <v>1.5838935623526007E-2</v>
      </c>
      <c r="H41" s="433" t="str">
        <f>IF(OR(G41&gt;=0.2,G41&lt;=-0.2),"超过20%","")</f>
        <v/>
      </c>
      <c r="I41" s="432">
        <f>IF(I36&lt;E36,E36/I36-1,I36/E36-1)</f>
        <v>3.3817262049132157E-2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9.2604976945549256E-2</v>
      </c>
      <c r="F42" s="433" t="str">
        <f>IF(OR(E42&gt;=0.3,E42&lt;=-0.3),"超过30%","")</f>
        <v/>
      </c>
      <c r="G42" s="432">
        <f>IF(G35&lt;I35,I35/G35-1,G35/I35-1)</f>
        <v>1.5838935623526007E-2</v>
      </c>
      <c r="H42" s="433" t="str">
        <f>IF(OR(G42&gt;=0.3,G42&lt;=-0.3),"超过30%","")</f>
        <v/>
      </c>
      <c r="I42" s="432">
        <f>IF(I35&lt;E35,E35/I35-1,I35/E35-1)</f>
        <v>7.5569107099546118E-2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4.4">
      <c r="A46" s="438" t="s">
        <v>1679</v>
      </c>
      <c r="B46" s="439"/>
      <c r="C46" s="1098" t="str">
        <f>YEAR(C7)&amp;"-"&amp;MONTH(C7)</f>
        <v>2023-4</v>
      </c>
      <c r="D46" s="1099">
        <f>EDATE(C46,-1)</f>
        <v>44986</v>
      </c>
      <c r="E46" s="1099">
        <f t="shared" ref="E46:O46" si="16">EDATE(D46,-1)</f>
        <v>44958</v>
      </c>
      <c r="F46" s="1099">
        <f t="shared" si="16"/>
        <v>44927</v>
      </c>
      <c r="G46" s="1099">
        <f t="shared" si="16"/>
        <v>44896</v>
      </c>
      <c r="H46" s="1099">
        <f t="shared" si="16"/>
        <v>44866</v>
      </c>
      <c r="I46" s="1099">
        <f t="shared" si="16"/>
        <v>44835</v>
      </c>
      <c r="J46" s="1099">
        <f t="shared" si="16"/>
        <v>44805</v>
      </c>
      <c r="K46" s="1099">
        <f t="shared" si="16"/>
        <v>44774</v>
      </c>
      <c r="L46" s="1099">
        <f t="shared" si="16"/>
        <v>44743</v>
      </c>
      <c r="M46" s="1099">
        <f t="shared" si="16"/>
        <v>44713</v>
      </c>
      <c r="N46" s="1099">
        <f t="shared" si="16"/>
        <v>44682</v>
      </c>
      <c r="O46" s="1099">
        <f t="shared" si="16"/>
        <v>44652</v>
      </c>
      <c r="P46" s="2503"/>
      <c r="Q46" s="2503"/>
      <c r="R46" s="2503"/>
      <c r="S46" s="2503"/>
      <c r="T46" s="2503"/>
      <c r="U46" s="2503"/>
      <c r="V46" s="2503"/>
      <c r="W46" s="2503"/>
      <c r="X46" s="2503"/>
      <c r="Y46" s="2503"/>
      <c r="Z46" s="2503"/>
      <c r="AA46" s="2503"/>
      <c r="AB46" s="2503"/>
      <c r="AC46" s="2503"/>
      <c r="AD46" s="2503"/>
    </row>
    <row r="47" spans="1:30" s="100" customFormat="1">
      <c r="A47" s="441"/>
      <c r="B47" s="442"/>
      <c r="C47" s="1097">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0" customFormat="1" ht="15" thickBot="1">
      <c r="A48" s="447" t="s">
        <v>1716</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0" customFormat="1" ht="14.4">
      <c r="A49" s="453" t="s">
        <v>1681</v>
      </c>
      <c r="B49" s="442"/>
      <c r="C49" s="454" t="s">
        <v>1776</v>
      </c>
      <c r="D49" s="30"/>
      <c r="E49" s="30"/>
      <c r="F49" s="30"/>
      <c r="G49" s="30"/>
      <c r="H49" s="30"/>
      <c r="I49" s="30"/>
      <c r="J49" s="30"/>
      <c r="K49" s="30"/>
      <c r="L49" s="455"/>
      <c r="M49" s="456"/>
      <c r="N49" s="2513"/>
      <c r="O49" s="2513"/>
      <c r="P49" s="2537"/>
      <c r="Q49" s="2501"/>
      <c r="R49" s="2432"/>
      <c r="S49" s="2432"/>
      <c r="T49" s="2432"/>
      <c r="U49" s="2432"/>
      <c r="V49" s="2432"/>
      <c r="W49" s="2432"/>
      <c r="X49" s="2432"/>
      <c r="Y49" s="2432"/>
      <c r="Z49" s="2432"/>
      <c r="AA49" s="2432"/>
      <c r="AB49" s="2432"/>
      <c r="AC49" s="2432"/>
      <c r="AD49" s="2432"/>
    </row>
    <row r="50" spans="1:30" s="100" customFormat="1" ht="14.4"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ht="14.4">
      <c r="A51" s="377" t="s">
        <v>1719</v>
      </c>
      <c r="B51" s="458" t="s">
        <v>1685</v>
      </c>
      <c r="C51" s="459" t="str">
        <f>C9</f>
        <v>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4.4"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9.4"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4.4"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4.4"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4.4"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4.4"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4.4"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4.4"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4.4"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4.4"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9.4"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4.4"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 thickTop="1">
      <c r="A65" s="365"/>
      <c r="B65" s="475" t="s">
        <v>1813</v>
      </c>
      <c r="C65" s="579" t="s">
        <v>1799</v>
      </c>
      <c r="D65" s="579" t="s">
        <v>1800</v>
      </c>
      <c r="E65" s="579" t="s">
        <v>1801</v>
      </c>
      <c r="F65" s="579" t="s">
        <v>1802</v>
      </c>
      <c r="G65" s="579" t="s">
        <v>1803</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4.4" thickBot="1">
      <c r="A66" s="365"/>
      <c r="B66" s="475"/>
      <c r="C66" s="473">
        <v>100</v>
      </c>
      <c r="D66" s="473">
        <f>C66-$K18</f>
        <v>98</v>
      </c>
      <c r="E66" s="473">
        <f>D66-$K18</f>
        <v>96</v>
      </c>
      <c r="F66" s="473">
        <f>E66-$K18</f>
        <v>94</v>
      </c>
      <c r="G66" s="473">
        <f>F66-$K18</f>
        <v>92</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4.4" thickBot="1">
      <c r="A68" s="365"/>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 thickTop="1">
      <c r="A69" s="365"/>
      <c r="B69" s="467" t="s">
        <v>1852</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4.4"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0" customFormat="1" ht="14.4" thickTop="1">
      <c r="A71" s="368"/>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0" customFormat="1" ht="14.4" thickBot="1">
      <c r="A72" s="368"/>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0" customFormat="1" ht="14.4" thickTop="1">
      <c r="A73" s="368"/>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0" customFormat="1" ht="14.4" thickBot="1">
      <c r="A74" s="368"/>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6" customFormat="1" ht="14.4"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4.4"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4" t="s">
        <v>3617</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4.4"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4.4"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4" t="s">
        <v>3619</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4.4"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3164" t="s">
        <v>3615</v>
      </c>
      <c r="D84" s="3164" t="s">
        <v>3616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4.4" thickBot="1">
      <c r="A85" s="365"/>
      <c r="B85" s="472"/>
      <c r="C85" s="510">
        <v>100</v>
      </c>
      <c r="D85" s="473">
        <f t="shared" ref="D85:M85" si="20">C85+$K29</f>
        <v>102</v>
      </c>
      <c r="E85" s="473">
        <f t="shared" si="20"/>
        <v>104</v>
      </c>
      <c r="F85" s="473">
        <f t="shared" si="20"/>
        <v>106</v>
      </c>
      <c r="G85" s="473">
        <f t="shared" si="20"/>
        <v>108</v>
      </c>
      <c r="H85" s="473">
        <f t="shared" si="20"/>
        <v>110</v>
      </c>
      <c r="I85" s="473">
        <f t="shared" si="20"/>
        <v>112</v>
      </c>
      <c r="J85" s="473">
        <f t="shared" si="20"/>
        <v>114</v>
      </c>
      <c r="K85" s="473">
        <f t="shared" si="20"/>
        <v>116</v>
      </c>
      <c r="L85" s="473">
        <f t="shared" si="20"/>
        <v>118</v>
      </c>
      <c r="M85" s="473">
        <f t="shared" si="20"/>
        <v>120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0(含)-50</v>
      </c>
      <c r="D86" s="507" t="str">
        <f t="shared" si="21"/>
        <v>50(含)-100</v>
      </c>
      <c r="E86" s="507" t="str">
        <f t="shared" si="21"/>
        <v>100(含)-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50</v>
      </c>
      <c r="E87" s="6">
        <v>100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4.4" thickBot="1">
      <c r="A88" s="365"/>
      <c r="B88" s="472"/>
      <c r="C88" s="489"/>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4.4"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4.4" thickTop="1">
      <c r="A91" s="407"/>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4.4" thickBot="1">
      <c r="A92" s="365"/>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4.4"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4.4"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4.4"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4.4"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workbookViewId="0">
      <selection activeCell="L33" sqref="L33"/>
    </sheetView>
  </sheetViews>
  <sheetFormatPr defaultRowHeight="14.4"/>
  <sheetData>
    <row r="1" spans="1:1">
      <c r="A1" s="1400" t="s">
        <v>3623</v>
      </c>
    </row>
    <row r="16" spans="1:1">
      <c r="A16" t="s">
        <v>3620</v>
      </c>
    </row>
    <row r="28" spans="1:1">
      <c r="A28" s="1400" t="s">
        <v>3531</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M22" sqref="M22"/>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48"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3373</v>
      </c>
      <c r="C1" s="1136" t="s">
        <v>1662</v>
      </c>
      <c r="D1" s="1137" t="s">
        <v>3384</v>
      </c>
      <c r="E1" s="3125" t="s">
        <v>3568</v>
      </c>
      <c r="F1" s="1730" t="s">
        <v>3569</v>
      </c>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IF(B37="元/平方米",ROUND(C39*D3/10000,0),ROUND(F3*C39/10000,0)),IF(B37="元/平方米",ROUND(C39*D3/10000,0),ROUND(F3*C39/10000,0))-D2),IF(E1="单套模式",IF(C2="——",IF(B37="元/平方米",ROUND(C39*D3/10000,0),ROUND(F3*C39/10000,0)),IF(B37="元/平方米",ROUND(C39*D3/10000,0),ROUND(F3*C39/10000,0))-D2)))</f>
        <v>14390</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1081"/>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12606</v>
      </c>
      <c r="C3" s="342" t="s">
        <v>1768</v>
      </c>
      <c r="D3" s="341">
        <f>SUMIF('数据-汇总表'!$C19:$C33,D1,'数据-汇总表'!$E19:$E33)</f>
        <v>11415.02</v>
      </c>
      <c r="E3" s="342" t="s">
        <v>1832</v>
      </c>
      <c r="F3" s="341">
        <f>SUMIF('数据-取费表'!A5:A15,D1,'数据-取费表'!AH5:AH15)</f>
        <v>396</v>
      </c>
      <c r="G3" s="850"/>
      <c r="H3" s="850"/>
      <c r="I3" s="850"/>
      <c r="J3" s="850"/>
      <c r="K3" s="852"/>
      <c r="L3" s="2496"/>
      <c r="M3" s="2497">
        <f>IF(C2="——",IF(B37="元/平方米",ROUND(C39*D3/10000,0),ROUND(F3*C39/10000,0)),IF(B37="元/平方米",ROUND(C39*D3/10000,0),ROUND(F3*C39/10000,0))-D2)</f>
        <v>14390</v>
      </c>
      <c r="N3" s="2497"/>
      <c r="O3" s="2497"/>
      <c r="P3" s="1081"/>
      <c r="Q3" s="339"/>
      <c r="R3" s="339"/>
      <c r="S3" s="339"/>
      <c r="T3" s="339"/>
      <c r="U3" s="339"/>
      <c r="V3" s="339"/>
      <c r="W3" s="339"/>
      <c r="X3" s="339"/>
      <c r="Y3" s="339"/>
      <c r="Z3" s="339"/>
      <c r="AA3" s="339"/>
      <c r="AB3" s="673"/>
      <c r="AC3" s="660"/>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c r="A5" s="346"/>
      <c r="B5" s="347"/>
      <c r="C5" s="3423" t="s">
        <v>1673</v>
      </c>
      <c r="D5" s="3424"/>
      <c r="E5" s="3425" t="str">
        <f>'比较法-住宅'!E5:F5</f>
        <v>绿城·晓风印月</v>
      </c>
      <c r="F5" s="3426"/>
      <c r="G5" s="3475" t="str">
        <f>'比较法-住宅'!G5:H5</f>
        <v>和光悦府</v>
      </c>
      <c r="H5" s="3424"/>
      <c r="I5" s="3423" t="str">
        <f>'比较法-住宅'!I5:J5</f>
        <v>华樾国际领尚</v>
      </c>
      <c r="J5" s="3424"/>
      <c r="K5" s="535"/>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f>C7</f>
        <v>45029</v>
      </c>
      <c r="F7" s="355">
        <f>SUMIF(48:48,YEAR(E7)&amp;"-"&amp;MONTH(E7),49:49)</f>
        <v>100</v>
      </c>
      <c r="G7" s="354">
        <f>C7</f>
        <v>45029</v>
      </c>
      <c r="H7" s="353">
        <f>SUMIF(48:48,YEAR(G7)&amp;"-"&amp;MONTH(G7),49:49)</f>
        <v>100</v>
      </c>
      <c r="I7" s="354">
        <f>C7</f>
        <v>45029</v>
      </c>
      <c r="J7" s="353">
        <f>SUMIF(48:48,YEAR(I7)&amp;"-"&amp;MONTH(I7),49:49)</f>
        <v>100</v>
      </c>
      <c r="K7" s="37"/>
      <c r="L7" s="2481"/>
      <c r="M7" s="2432"/>
      <c r="N7" s="2432"/>
      <c r="O7" s="2432"/>
      <c r="P7" s="3434" t="s">
        <v>1680</v>
      </c>
      <c r="Q7" s="3435"/>
      <c r="R7" s="661" t="s">
        <v>14</v>
      </c>
      <c r="S7" s="662">
        <f t="shared" ref="S7:S14" si="0">F7</f>
        <v>100</v>
      </c>
      <c r="T7" s="661" t="s">
        <v>14</v>
      </c>
      <c r="U7" s="662">
        <f t="shared" ref="U7:U14" si="1">H7</f>
        <v>100</v>
      </c>
      <c r="V7" s="661" t="s">
        <v>14</v>
      </c>
      <c r="W7" s="662">
        <f t="shared" ref="W7:W14" si="2">J7</f>
        <v>100</v>
      </c>
      <c r="X7" s="663"/>
      <c r="Y7" s="3434" t="s">
        <v>1680</v>
      </c>
      <c r="Z7" s="3436"/>
      <c r="AA7" s="49">
        <f>D7/F7</f>
        <v>1</v>
      </c>
      <c r="AB7" s="49">
        <f>D7/H7</f>
        <v>1</v>
      </c>
      <c r="AC7" s="49">
        <f>D7/J7</f>
        <v>1</v>
      </c>
    </row>
    <row r="8" spans="1:29" s="100" customFormat="1" ht="15" thickBot="1">
      <c r="A8" s="350" t="s">
        <v>1681</v>
      </c>
      <c r="B8" s="351"/>
      <c r="C8" s="356" t="s">
        <v>3386</v>
      </c>
      <c r="D8" s="353">
        <v>100</v>
      </c>
      <c r="E8" s="356" t="s">
        <v>3386</v>
      </c>
      <c r="F8" s="355">
        <f>SUMIF(51:51,E8,52:52)-SUMIF(51:51,C8,52:52)+100</f>
        <v>100</v>
      </c>
      <c r="G8" s="356" t="s">
        <v>3386</v>
      </c>
      <c r="H8" s="353">
        <f>SUMIF(51:51,G8,52:52)-SUMIF(51:51,C8,52:52)+100</f>
        <v>100</v>
      </c>
      <c r="I8" s="356" t="s">
        <v>3386</v>
      </c>
      <c r="J8" s="353">
        <f>SUMIF(51:51,I8,52:52)-SUMIF(51:51,C8,52:52)+100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36" si="3">D8/F8</f>
        <v>1</v>
      </c>
      <c r="AB8" s="49">
        <f t="shared" ref="AB8:AB36" si="4">D8/H8</f>
        <v>1</v>
      </c>
      <c r="AC8" s="49">
        <f t="shared" ref="AC8:AC36" si="5">D8/J8</f>
        <v>1</v>
      </c>
    </row>
    <row r="9" spans="1:29" s="100" customFormat="1" ht="14.4">
      <c r="A9" s="56" t="s">
        <v>1684</v>
      </c>
      <c r="B9" s="562" t="s">
        <v>1685</v>
      </c>
      <c r="C9" s="3190" t="s">
        <v>3601</v>
      </c>
      <c r="D9" s="58">
        <v>100</v>
      </c>
      <c r="E9" s="360" t="s">
        <v>3335</v>
      </c>
      <c r="F9" s="58">
        <f>SUMIF(53:53,E9,54:54)-SUMIF(53:53,C9,54:54)+100</f>
        <v>100</v>
      </c>
      <c r="G9" s="360" t="s">
        <v>3335</v>
      </c>
      <c r="H9" s="58">
        <f>SUMIF(53:53,G9,54:54)-SUMIF(53:53,C9,54:54)+100</f>
        <v>100</v>
      </c>
      <c r="I9" s="360" t="s">
        <v>3335</v>
      </c>
      <c r="J9" s="58">
        <f>SUMIF(53:53,I9,54:54)-SUMIF(53:53,C9,54:54)+100</f>
        <v>100</v>
      </c>
      <c r="K9" s="37"/>
      <c r="L9" s="2481"/>
      <c r="M9" s="2432"/>
      <c r="N9" s="2432"/>
      <c r="O9" s="2432"/>
      <c r="P9" s="3437" t="s">
        <v>1686</v>
      </c>
      <c r="Q9" s="528" t="str">
        <f t="shared" ref="Q9:Q14" si="6">B9</f>
        <v>用途</v>
      </c>
      <c r="R9" s="661" t="s">
        <v>14</v>
      </c>
      <c r="S9" s="662">
        <f t="shared" si="0"/>
        <v>100</v>
      </c>
      <c r="T9" s="661" t="s">
        <v>14</v>
      </c>
      <c r="U9" s="662">
        <f t="shared" si="1"/>
        <v>100</v>
      </c>
      <c r="V9" s="661" t="s">
        <v>14</v>
      </c>
      <c r="W9" s="662">
        <f t="shared" si="2"/>
        <v>100</v>
      </c>
      <c r="X9" s="663"/>
      <c r="Y9" s="3379" t="s">
        <v>1687</v>
      </c>
      <c r="Z9" s="49" t="str">
        <f t="shared" ref="Z9:Z14" si="7">Q9</f>
        <v>用途</v>
      </c>
      <c r="AA9" s="49">
        <f t="shared" si="3"/>
        <v>1</v>
      </c>
      <c r="AB9" s="49">
        <f t="shared" si="4"/>
        <v>1</v>
      </c>
      <c r="AC9" s="49">
        <f t="shared" si="5"/>
        <v>1</v>
      </c>
    </row>
    <row r="10" spans="1:29" s="364" customFormat="1" ht="28.8">
      <c r="A10" s="563"/>
      <c r="B10" s="564" t="s">
        <v>1688</v>
      </c>
      <c r="C10" s="3126" t="s">
        <v>3613</v>
      </c>
      <c r="D10" s="117">
        <v>100</v>
      </c>
      <c r="E10" s="3126" t="s">
        <v>3613</v>
      </c>
      <c r="F10" s="117">
        <f>SUMIF(55:55,E10,56:56)-SUMIF(55:55,C10,56:56)+100</f>
        <v>100</v>
      </c>
      <c r="G10" s="3127" t="s">
        <v>3613</v>
      </c>
      <c r="H10" s="117">
        <f>SUMIF(55:55,G10,56:56)-SUMIF(55:55,C10,56:56)+100</f>
        <v>100</v>
      </c>
      <c r="I10" s="3126" t="s">
        <v>3613</v>
      </c>
      <c r="J10" s="117">
        <f>SUMIF(55:55,I10,56:56)-SUMIF(55:55,C10,56:56)+100</f>
        <v>100</v>
      </c>
      <c r="K10" s="37"/>
      <c r="L10" s="2482"/>
      <c r="M10" s="2483"/>
      <c r="N10" s="2483"/>
      <c r="O10" s="2483"/>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37"/>
      <c r="Q11" s="528">
        <f t="shared" si="6"/>
        <v>111</v>
      </c>
      <c r="R11" s="661" t="s">
        <v>14</v>
      </c>
      <c r="S11" s="662">
        <f t="shared" si="0"/>
        <v>100</v>
      </c>
      <c r="T11" s="661" t="s">
        <v>14</v>
      </c>
      <c r="U11" s="662">
        <f t="shared" si="1"/>
        <v>100</v>
      </c>
      <c r="V11" s="661" t="s">
        <v>14</v>
      </c>
      <c r="W11" s="662">
        <f t="shared" si="2"/>
        <v>100</v>
      </c>
      <c r="X11" s="663"/>
      <c r="Y11" s="3379"/>
      <c r="Z11" s="49">
        <f t="shared" si="7"/>
        <v>111</v>
      </c>
      <c r="AA11" s="49">
        <f t="shared" si="3"/>
        <v>1</v>
      </c>
      <c r="AB11" s="49">
        <f t="shared" si="4"/>
        <v>1</v>
      </c>
      <c r="AC11" s="49">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2"/>
      <c r="N12" s="2432"/>
      <c r="O12" s="2432"/>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
      <c r="A14" s="343" t="s">
        <v>1690</v>
      </c>
      <c r="B14" s="552" t="s">
        <v>1833</v>
      </c>
      <c r="C14" s="1812"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v>3</v>
      </c>
      <c r="L14" s="2485"/>
      <c r="M14" s="2480"/>
      <c r="N14" s="2480"/>
      <c r="O14" s="2480"/>
      <c r="P14" s="3438" t="s">
        <v>1691</v>
      </c>
      <c r="Q14" s="1258" t="str">
        <f t="shared" si="6"/>
        <v>交通便捷度</v>
      </c>
      <c r="R14" s="664" t="s">
        <v>14</v>
      </c>
      <c r="S14" s="665">
        <f t="shared" si="0"/>
        <v>100</v>
      </c>
      <c r="T14" s="664" t="s">
        <v>14</v>
      </c>
      <c r="U14" s="665">
        <f t="shared" si="1"/>
        <v>100</v>
      </c>
      <c r="V14" s="664" t="s">
        <v>14</v>
      </c>
      <c r="W14" s="665">
        <f t="shared" si="2"/>
        <v>100</v>
      </c>
      <c r="X14" s="1260"/>
      <c r="Y14" s="3438" t="s">
        <v>1691</v>
      </c>
      <c r="Z14" s="1259" t="str">
        <f t="shared" si="7"/>
        <v>交通便捷度</v>
      </c>
      <c r="AA14" s="1259">
        <f t="shared" si="3"/>
        <v>1</v>
      </c>
      <c r="AB14" s="1259">
        <f t="shared" si="4"/>
        <v>1</v>
      </c>
      <c r="AC14" s="1259">
        <f t="shared" si="5"/>
        <v>1</v>
      </c>
    </row>
    <row r="15" spans="1:29" ht="15">
      <c r="A15" s="346"/>
      <c r="B15" s="569"/>
      <c r="C15" s="384" t="s">
        <v>3387</v>
      </c>
      <c r="D15" s="385"/>
      <c r="E15" s="384" t="s">
        <v>3387</v>
      </c>
      <c r="F15" s="386"/>
      <c r="G15" s="384" t="s">
        <v>3387</v>
      </c>
      <c r="H15" s="387"/>
      <c r="I15" s="384" t="s">
        <v>3387</v>
      </c>
      <c r="J15" s="385"/>
      <c r="K15" s="539"/>
      <c r="L15" s="2485"/>
      <c r="M15" s="2480"/>
      <c r="N15" s="2480"/>
      <c r="O15" s="2480"/>
      <c r="P15" s="3439"/>
      <c r="Q15" s="1258"/>
      <c r="R15" s="664"/>
      <c r="S15" s="665"/>
      <c r="T15" s="664"/>
      <c r="U15" s="665"/>
      <c r="V15" s="664"/>
      <c r="W15" s="665"/>
      <c r="X15" s="1260"/>
      <c r="Y15" s="3439"/>
      <c r="Z15" s="1259"/>
      <c r="AA15" s="1259">
        <v>1</v>
      </c>
      <c r="AB15" s="1259">
        <v>1</v>
      </c>
      <c r="AC15" s="1259">
        <v>1</v>
      </c>
    </row>
    <row r="16" spans="1:29" ht="15">
      <c r="A16" s="346"/>
      <c r="B16" s="554" t="s">
        <v>1812</v>
      </c>
      <c r="C16" s="1748" t="str">
        <f>IF(B1="工业",估价对象房地状况!G5,估价对象房地状况!C7)</f>
        <v>较差</v>
      </c>
      <c r="D16" s="392">
        <v>100</v>
      </c>
      <c r="E16" s="394"/>
      <c r="F16" s="395">
        <f>SUMIF(65:65,E17,66:66)-SUMIF(65:65,C17,66:66)+100</f>
        <v>102</v>
      </c>
      <c r="G16" s="396"/>
      <c r="H16" s="392">
        <f>SUMIF(65:65,G17,66:66)-SUMIF(65:65,C17,66:66)+100</f>
        <v>102</v>
      </c>
      <c r="I16" s="394"/>
      <c r="J16" s="392">
        <f>SUMIF(65:65,I17,66:66)-SUMIF(65:65,C17,66:66)+100</f>
        <v>100</v>
      </c>
      <c r="K16" s="538">
        <v>2</v>
      </c>
      <c r="L16" s="2485"/>
      <c r="M16" s="2480"/>
      <c r="N16" s="2480"/>
      <c r="O16" s="2480"/>
      <c r="P16" s="3439"/>
      <c r="Q16" s="1258" t="str">
        <f>B16</f>
        <v>公共配套设施</v>
      </c>
      <c r="R16" s="664" t="s">
        <v>14</v>
      </c>
      <c r="S16" s="665">
        <f>F16</f>
        <v>102</v>
      </c>
      <c r="T16" s="664" t="s">
        <v>14</v>
      </c>
      <c r="U16" s="665">
        <f>H16</f>
        <v>102</v>
      </c>
      <c r="V16" s="664" t="s">
        <v>14</v>
      </c>
      <c r="W16" s="665">
        <f>J16</f>
        <v>100</v>
      </c>
      <c r="X16" s="1260"/>
      <c r="Y16" s="3439"/>
      <c r="Z16" s="1259" t="str">
        <f>Q16</f>
        <v>公共配套设施</v>
      </c>
      <c r="AA16" s="1259">
        <f t="shared" si="3"/>
        <v>0.98039215686274506</v>
      </c>
      <c r="AB16" s="1259">
        <f t="shared" si="4"/>
        <v>0.98039215686274506</v>
      </c>
      <c r="AC16" s="1259">
        <f t="shared" si="5"/>
        <v>1</v>
      </c>
    </row>
    <row r="17" spans="1:29" ht="15">
      <c r="A17" s="346"/>
      <c r="B17" s="399"/>
      <c r="C17" s="1749" t="s">
        <v>3546</v>
      </c>
      <c r="D17" s="385"/>
      <c r="E17" s="384" t="s">
        <v>3387</v>
      </c>
      <c r="F17" s="386"/>
      <c r="G17" s="384" t="s">
        <v>3387</v>
      </c>
      <c r="H17" s="385"/>
      <c r="I17" s="384" t="s">
        <v>3546</v>
      </c>
      <c r="J17" s="385"/>
      <c r="K17" s="539"/>
      <c r="L17" s="2485"/>
      <c r="M17" s="2480"/>
      <c r="N17" s="2480"/>
      <c r="O17" s="2480"/>
      <c r="P17" s="3439"/>
      <c r="Q17" s="1258"/>
      <c r="R17" s="664"/>
      <c r="S17" s="665"/>
      <c r="T17" s="664"/>
      <c r="U17" s="665"/>
      <c r="V17" s="664"/>
      <c r="W17" s="665"/>
      <c r="X17" s="1260"/>
      <c r="Y17" s="3439"/>
      <c r="Z17" s="1259"/>
      <c r="AA17" s="1259">
        <v>1</v>
      </c>
      <c r="AB17" s="1259">
        <v>1</v>
      </c>
      <c r="AC17" s="1259">
        <v>1</v>
      </c>
    </row>
    <row r="18" spans="1:29" ht="15">
      <c r="A18" s="346"/>
      <c r="B18" s="555" t="s">
        <v>1813</v>
      </c>
      <c r="C18" s="1748"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v>2</v>
      </c>
      <c r="L18" s="2485"/>
      <c r="M18" s="2480"/>
      <c r="N18" s="2480"/>
      <c r="O18" s="2480"/>
      <c r="P18" s="3439"/>
      <c r="Q18" s="1258" t="str">
        <f>B18</f>
        <v>基础设施水平</v>
      </c>
      <c r="R18" s="664" t="s">
        <v>14</v>
      </c>
      <c r="S18" s="665">
        <f>F18</f>
        <v>100</v>
      </c>
      <c r="T18" s="664" t="s">
        <v>14</v>
      </c>
      <c r="U18" s="665">
        <f>H18</f>
        <v>100</v>
      </c>
      <c r="V18" s="664" t="s">
        <v>14</v>
      </c>
      <c r="W18" s="665">
        <f>J18</f>
        <v>100</v>
      </c>
      <c r="X18" s="1260"/>
      <c r="Y18" s="3439"/>
      <c r="Z18" s="1259" t="str">
        <f>Q18</f>
        <v>基础设施水平</v>
      </c>
      <c r="AA18" s="1259">
        <f t="shared" ref="AA18" si="8">D18/F18</f>
        <v>1</v>
      </c>
      <c r="AB18" s="1259">
        <f t="shared" ref="AB18" si="9">D18/H18</f>
        <v>1</v>
      </c>
      <c r="AC18" s="1259">
        <f t="shared" ref="AC18" si="10">D18/J18</f>
        <v>1</v>
      </c>
    </row>
    <row r="19" spans="1:29" ht="15">
      <c r="A19" s="346"/>
      <c r="B19" s="555"/>
      <c r="C19" s="1749" t="s">
        <v>3389</v>
      </c>
      <c r="D19" s="387"/>
      <c r="E19" s="1749" t="s">
        <v>3389</v>
      </c>
      <c r="F19" s="390"/>
      <c r="G19" s="1749" t="s">
        <v>3389</v>
      </c>
      <c r="H19" s="385"/>
      <c r="I19" s="384" t="s">
        <v>3389</v>
      </c>
      <c r="J19" s="385"/>
      <c r="K19" s="1059"/>
      <c r="L19" s="2485"/>
      <c r="M19" s="2480"/>
      <c r="N19" s="2480"/>
      <c r="O19" s="2480"/>
      <c r="P19" s="3439"/>
      <c r="Q19" s="1258"/>
      <c r="R19" s="664"/>
      <c r="S19" s="665"/>
      <c r="T19" s="664"/>
      <c r="U19" s="665"/>
      <c r="V19" s="664"/>
      <c r="W19" s="665"/>
      <c r="X19" s="1260"/>
      <c r="Y19" s="3439"/>
      <c r="Z19" s="1259"/>
      <c r="AA19" s="1259">
        <v>1</v>
      </c>
      <c r="AB19" s="1259">
        <v>1</v>
      </c>
      <c r="AC19" s="1259">
        <v>1</v>
      </c>
    </row>
    <row r="20" spans="1:29" ht="15">
      <c r="A20" s="346"/>
      <c r="B20" s="554" t="s">
        <v>1834</v>
      </c>
      <c r="C20" s="1748" t="str">
        <f>IF(B1="工业",估价对象房地状况!G7,估价对象房地状况!C9)</f>
        <v>一般</v>
      </c>
      <c r="D20" s="392">
        <v>100</v>
      </c>
      <c r="E20" s="394"/>
      <c r="F20" s="395">
        <f>SUMIF(69:69,E21,70:70)-SUMIF(69:69,C21,70:70)+100</f>
        <v>102</v>
      </c>
      <c r="G20" s="396"/>
      <c r="H20" s="387">
        <f>SUMIF(69:69,G21,70:70)-SUMIF(69:69,C21,70:70)+100</f>
        <v>102</v>
      </c>
      <c r="I20" s="389"/>
      <c r="J20" s="387">
        <f>SUMIF(69:69,I21,70:70)-SUMIF(69:69,C21,70:70)+100</f>
        <v>100</v>
      </c>
      <c r="K20" s="538">
        <v>2</v>
      </c>
      <c r="L20" s="2485"/>
      <c r="M20" s="2480"/>
      <c r="N20" s="2480"/>
      <c r="O20" s="2480"/>
      <c r="P20" s="3439"/>
      <c r="Q20" s="1258" t="str">
        <f>B20</f>
        <v>自然及人文环境</v>
      </c>
      <c r="R20" s="664" t="s">
        <v>14</v>
      </c>
      <c r="S20" s="665">
        <f>F20</f>
        <v>102</v>
      </c>
      <c r="T20" s="664" t="s">
        <v>14</v>
      </c>
      <c r="U20" s="665">
        <f>H20</f>
        <v>102</v>
      </c>
      <c r="V20" s="664" t="s">
        <v>14</v>
      </c>
      <c r="W20" s="665">
        <f>J20</f>
        <v>100</v>
      </c>
      <c r="X20" s="1260"/>
      <c r="Y20" s="3439"/>
      <c r="Z20" s="1259" t="str">
        <f>Q20</f>
        <v>自然及人文环境</v>
      </c>
      <c r="AA20" s="1259">
        <f t="shared" si="3"/>
        <v>0.98039215686274506</v>
      </c>
      <c r="AB20" s="1259">
        <f t="shared" si="4"/>
        <v>0.98039215686274506</v>
      </c>
      <c r="AC20" s="1259">
        <f t="shared" si="5"/>
        <v>1</v>
      </c>
    </row>
    <row r="21" spans="1:29" ht="15">
      <c r="A21" s="346"/>
      <c r="B21" s="399"/>
      <c r="C21" s="384" t="s">
        <v>3387</v>
      </c>
      <c r="D21" s="385"/>
      <c r="E21" s="384" t="s">
        <v>3545</v>
      </c>
      <c r="F21" s="386"/>
      <c r="G21" s="384" t="s">
        <v>3545</v>
      </c>
      <c r="H21" s="385"/>
      <c r="I21" s="384" t="s">
        <v>3387</v>
      </c>
      <c r="J21" s="385"/>
      <c r="K21" s="539"/>
      <c r="L21" s="2485"/>
      <c r="M21" s="2480"/>
      <c r="N21" s="2480"/>
      <c r="O21" s="2480"/>
      <c r="P21" s="3439"/>
      <c r="Q21" s="1258"/>
      <c r="R21" s="664"/>
      <c r="S21" s="665"/>
      <c r="T21" s="664"/>
      <c r="U21" s="665"/>
      <c r="V21" s="664"/>
      <c r="W21" s="665"/>
      <c r="X21" s="1260"/>
      <c r="Y21" s="3439"/>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v>2</v>
      </c>
      <c r="L22" s="2485"/>
      <c r="M22" s="2480"/>
      <c r="N22" s="2480"/>
      <c r="O22" s="2480"/>
      <c r="P22" s="3439"/>
      <c r="Q22" s="1258" t="str">
        <f>B22</f>
        <v>楼层</v>
      </c>
      <c r="R22" s="664" t="s">
        <v>14</v>
      </c>
      <c r="S22" s="665">
        <f>F22</f>
        <v>100</v>
      </c>
      <c r="T22" s="664" t="s">
        <v>14</v>
      </c>
      <c r="U22" s="665">
        <f>H22</f>
        <v>100</v>
      </c>
      <c r="V22" s="664" t="s">
        <v>14</v>
      </c>
      <c r="W22" s="665">
        <f>J22</f>
        <v>100</v>
      </c>
      <c r="X22" s="1260"/>
      <c r="Y22" s="3439"/>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39"/>
      <c r="Q23" s="1258">
        <f>B23</f>
        <v>111</v>
      </c>
      <c r="R23" s="664" t="s">
        <v>14</v>
      </c>
      <c r="S23" s="665">
        <f>F23</f>
        <v>100</v>
      </c>
      <c r="T23" s="664" t="s">
        <v>14</v>
      </c>
      <c r="U23" s="665">
        <f>H23</f>
        <v>100</v>
      </c>
      <c r="V23" s="664" t="s">
        <v>14</v>
      </c>
      <c r="W23" s="665">
        <f>J23</f>
        <v>100</v>
      </c>
      <c r="X23" s="1260"/>
      <c r="Y23" s="3439"/>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39"/>
      <c r="Q24" s="1258">
        <f t="shared" ref="Q24:Q36" si="11">B24</f>
        <v>111</v>
      </c>
      <c r="R24" s="664" t="s">
        <v>14</v>
      </c>
      <c r="S24" s="665">
        <f>F24</f>
        <v>100</v>
      </c>
      <c r="T24" s="664" t="s">
        <v>14</v>
      </c>
      <c r="U24" s="665">
        <f>H24</f>
        <v>100</v>
      </c>
      <c r="V24" s="664" t="s">
        <v>14</v>
      </c>
      <c r="W24" s="665">
        <f>J24</f>
        <v>100</v>
      </c>
      <c r="X24" s="1260"/>
      <c r="Y24" s="3439"/>
      <c r="Z24" s="1259">
        <f>Q24</f>
        <v>111</v>
      </c>
      <c r="AA24" s="1259">
        <f t="shared" si="3"/>
        <v>1</v>
      </c>
      <c r="AB24" s="1259">
        <f t="shared" si="4"/>
        <v>1</v>
      </c>
      <c r="AC24" s="1259">
        <f t="shared" si="5"/>
        <v>1</v>
      </c>
    </row>
    <row r="25" spans="1:29" s="100"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439"/>
      <c r="Q25" s="528">
        <f t="shared" si="11"/>
        <v>111</v>
      </c>
      <c r="R25" s="661" t="s">
        <v>14</v>
      </c>
      <c r="S25" s="662">
        <f>F25</f>
        <v>100</v>
      </c>
      <c r="T25" s="661" t="s">
        <v>14</v>
      </c>
      <c r="U25" s="662">
        <f>H25</f>
        <v>100</v>
      </c>
      <c r="V25" s="661" t="s">
        <v>14</v>
      </c>
      <c r="W25" s="662">
        <f>J25</f>
        <v>100</v>
      </c>
      <c r="X25" s="663"/>
      <c r="Y25" s="3439"/>
      <c r="Z25" s="49">
        <f>Q25</f>
        <v>111</v>
      </c>
      <c r="AA25" s="1259">
        <f>D25/F25</f>
        <v>1</v>
      </c>
      <c r="AB25" s="1259">
        <f>D25/H25</f>
        <v>1</v>
      </c>
      <c r="AC25" s="1259">
        <f>D25/J25</f>
        <v>1</v>
      </c>
    </row>
    <row r="26" spans="1:29" ht="30">
      <c r="A26" s="572" t="s">
        <v>1694</v>
      </c>
      <c r="B26" s="58" t="s">
        <v>1836</v>
      </c>
      <c r="C26" s="1813" t="str">
        <f>B1</f>
        <v>住宅</v>
      </c>
      <c r="D26" s="385">
        <v>100</v>
      </c>
      <c r="E26" s="384" t="s">
        <v>3373</v>
      </c>
      <c r="F26" s="386">
        <f>SUMIF(79:79,E26,80:80)-SUMIF(79:79,C26,80:80)+100</f>
        <v>100</v>
      </c>
      <c r="G26" s="384" t="s">
        <v>3373</v>
      </c>
      <c r="H26" s="385">
        <f>SUMIF(79:79,G26,80:80)-SUMIF(79:79,C26,80:80)+100</f>
        <v>100</v>
      </c>
      <c r="I26" s="384" t="s">
        <v>3373</v>
      </c>
      <c r="J26" s="385">
        <f>SUMIF(79:79,I26,80:80)-SUMIF(79:79,C26,80:80)+100</f>
        <v>100</v>
      </c>
      <c r="K26" s="536">
        <v>3</v>
      </c>
      <c r="L26" s="2485"/>
      <c r="M26" s="2480"/>
      <c r="N26" s="2480"/>
      <c r="O26" s="2480"/>
      <c r="P26" s="3440" t="s">
        <v>1696</v>
      </c>
      <c r="Q26" s="1258" t="str">
        <f t="shared" si="11"/>
        <v>配套类型</v>
      </c>
      <c r="R26" s="664" t="s">
        <v>14</v>
      </c>
      <c r="S26" s="665">
        <f t="shared" ref="S26:S36" si="12">F26</f>
        <v>100</v>
      </c>
      <c r="T26" s="664" t="s">
        <v>14</v>
      </c>
      <c r="U26" s="665">
        <f t="shared" ref="U26:U36" si="13">H26</f>
        <v>100</v>
      </c>
      <c r="V26" s="664" t="s">
        <v>14</v>
      </c>
      <c r="W26" s="665">
        <f t="shared" ref="W26:W36" si="14">J26</f>
        <v>100</v>
      </c>
      <c r="X26" s="1260"/>
      <c r="Y26" s="3441" t="s">
        <v>1696</v>
      </c>
      <c r="Z26" s="1259" t="str">
        <f t="shared" ref="Z26:Z36" si="15">Q26</f>
        <v>配套类型</v>
      </c>
      <c r="AA26" s="1259">
        <f t="shared" si="3"/>
        <v>1</v>
      </c>
      <c r="AB26" s="1259">
        <f t="shared" si="4"/>
        <v>1</v>
      </c>
      <c r="AC26" s="1259">
        <f t="shared" si="5"/>
        <v>1</v>
      </c>
    </row>
    <row r="27" spans="1:29" s="406" customFormat="1" ht="15">
      <c r="A27" s="573"/>
      <c r="B27" s="117" t="s">
        <v>1837</v>
      </c>
      <c r="C27" s="574" t="s">
        <v>3607</v>
      </c>
      <c r="D27" s="117">
        <v>100</v>
      </c>
      <c r="E27" s="574" t="s">
        <v>3600</v>
      </c>
      <c r="F27" s="398">
        <f>SUMIF(81:81,E27,82:82)-SUMIF(81:81,C27,82:82)+100</f>
        <v>101</v>
      </c>
      <c r="G27" s="574" t="s">
        <v>3605</v>
      </c>
      <c r="H27" s="372">
        <f>SUMIF(81:81,G27,82:82)-SUMIF(81:81,C27,82:82)+100</f>
        <v>99</v>
      </c>
      <c r="I27" s="574" t="s">
        <v>3606</v>
      </c>
      <c r="J27" s="372">
        <f>SUMIF(81:81,I27,82:82)-SUMIF(81:81,C27,82:82)+100</f>
        <v>100.5</v>
      </c>
      <c r="K27" s="537"/>
      <c r="L27" s="2484"/>
      <c r="M27" s="2486"/>
      <c r="N27" s="2486"/>
      <c r="O27" s="2486"/>
      <c r="P27" s="3441"/>
      <c r="Q27" s="529" t="str">
        <f t="shared" si="11"/>
        <v>项目停车位配比</v>
      </c>
      <c r="R27" s="666" t="s">
        <v>14</v>
      </c>
      <c r="S27" s="667">
        <f t="shared" si="12"/>
        <v>101</v>
      </c>
      <c r="T27" s="666" t="s">
        <v>14</v>
      </c>
      <c r="U27" s="667">
        <f t="shared" si="13"/>
        <v>99</v>
      </c>
      <c r="V27" s="666" t="s">
        <v>14</v>
      </c>
      <c r="W27" s="667">
        <f t="shared" si="14"/>
        <v>100.5</v>
      </c>
      <c r="X27" s="668"/>
      <c r="Y27" s="3441"/>
      <c r="Z27" s="669" t="str">
        <f t="shared" si="15"/>
        <v>项目停车位配比</v>
      </c>
      <c r="AA27" s="1259">
        <f t="shared" si="3"/>
        <v>0.99009900990099009</v>
      </c>
      <c r="AB27" s="1259">
        <f t="shared" si="4"/>
        <v>1.0101010101010102</v>
      </c>
      <c r="AC27" s="1259">
        <f t="shared" si="5"/>
        <v>0.99502487562189057</v>
      </c>
    </row>
    <row r="28" spans="1:29" ht="15">
      <c r="A28" s="575"/>
      <c r="B28" s="117" t="s">
        <v>1838</v>
      </c>
      <c r="C28" s="397" t="s">
        <v>3584</v>
      </c>
      <c r="D28" s="372">
        <v>100</v>
      </c>
      <c r="E28" s="397" t="s">
        <v>3584</v>
      </c>
      <c r="F28" s="398">
        <f>SUMIF(83:83,E28,84:84)-SUMIF(83:83,C28,84:84)+100</f>
        <v>100</v>
      </c>
      <c r="G28" s="397" t="s">
        <v>3584</v>
      </c>
      <c r="H28" s="372">
        <f>SUMIF(83:83,G28,84:84)-SUMIF(83:83,C28,84:84)+100</f>
        <v>100</v>
      </c>
      <c r="I28" s="397" t="s">
        <v>3584</v>
      </c>
      <c r="J28" s="372">
        <f>SUMIF(83:83,I28,84:84)-SUMIF(83:83,C28,84:84)+100</f>
        <v>100</v>
      </c>
      <c r="K28" s="536">
        <v>2</v>
      </c>
      <c r="L28" s="2485"/>
      <c r="M28" s="2480"/>
      <c r="N28" s="2480"/>
      <c r="O28" s="2480"/>
      <c r="P28" s="3441"/>
      <c r="Q28" s="1258" t="str">
        <f t="shared" si="11"/>
        <v>公共部分装修</v>
      </c>
      <c r="R28" s="664" t="s">
        <v>14</v>
      </c>
      <c r="S28" s="665">
        <f t="shared" si="12"/>
        <v>100</v>
      </c>
      <c r="T28" s="664" t="s">
        <v>14</v>
      </c>
      <c r="U28" s="665">
        <f t="shared" si="13"/>
        <v>100</v>
      </c>
      <c r="V28" s="664" t="s">
        <v>14</v>
      </c>
      <c r="W28" s="665">
        <f t="shared" si="14"/>
        <v>100</v>
      </c>
      <c r="X28" s="1260"/>
      <c r="Y28" s="3441"/>
      <c r="Z28" s="1259" t="str">
        <f t="shared" si="15"/>
        <v>公共部分装修</v>
      </c>
      <c r="AA28" s="1259">
        <f t="shared" si="3"/>
        <v>1</v>
      </c>
      <c r="AB28" s="1259">
        <f t="shared" si="4"/>
        <v>1</v>
      </c>
      <c r="AC28" s="1259">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2</v>
      </c>
      <c r="L29" s="2485"/>
      <c r="M29" s="2480"/>
      <c r="N29" s="2480"/>
      <c r="O29" s="2480"/>
      <c r="P29" s="3441"/>
      <c r="Q29" s="1258" t="str">
        <f t="shared" si="11"/>
        <v>成新率</v>
      </c>
      <c r="R29" s="664" t="s">
        <v>14</v>
      </c>
      <c r="S29" s="665">
        <f t="shared" si="12"/>
        <v>100</v>
      </c>
      <c r="T29" s="664" t="s">
        <v>14</v>
      </c>
      <c r="U29" s="665">
        <f t="shared" si="13"/>
        <v>100</v>
      </c>
      <c r="V29" s="664" t="s">
        <v>14</v>
      </c>
      <c r="W29" s="665">
        <f t="shared" si="14"/>
        <v>100</v>
      </c>
      <c r="X29" s="1260"/>
      <c r="Y29" s="3441"/>
      <c r="Z29" s="1259" t="str">
        <f t="shared" si="15"/>
        <v>成新率</v>
      </c>
      <c r="AA29" s="1259">
        <f t="shared" si="3"/>
        <v>1</v>
      </c>
      <c r="AB29" s="1259">
        <f t="shared" si="4"/>
        <v>1</v>
      </c>
      <c r="AC29" s="1259">
        <f t="shared" si="5"/>
        <v>1</v>
      </c>
    </row>
    <row r="30" spans="1:29" ht="15">
      <c r="A30" s="575"/>
      <c r="B30" s="117" t="s">
        <v>1840</v>
      </c>
      <c r="C30" s="576" t="s">
        <v>3589</v>
      </c>
      <c r="D30" s="372">
        <v>100</v>
      </c>
      <c r="E30" s="576" t="s">
        <v>3589</v>
      </c>
      <c r="F30" s="398">
        <f>SUMIF(88:88,E30,89:89)-SUMIF(88:88,C30,89:89)+100</f>
        <v>100</v>
      </c>
      <c r="G30" s="576" t="s">
        <v>3589</v>
      </c>
      <c r="H30" s="372">
        <f>SUMIF(88:88,E30,89:89)-SUMIF(88:88,C30,89:89)+100</f>
        <v>100</v>
      </c>
      <c r="I30" s="576" t="s">
        <v>3589</v>
      </c>
      <c r="J30" s="372">
        <f>SUMIF(88:88,E30,89:89)-SUMIF(88:88,C30,89:89)+100</f>
        <v>100</v>
      </c>
      <c r="K30" s="536">
        <v>2</v>
      </c>
      <c r="L30" s="2485"/>
      <c r="M30" s="2480"/>
      <c r="N30" s="2480"/>
      <c r="O30" s="2480"/>
      <c r="P30" s="3441"/>
      <c r="Q30" s="1258" t="str">
        <f t="shared" si="11"/>
        <v>物业等级</v>
      </c>
      <c r="R30" s="664" t="s">
        <v>14</v>
      </c>
      <c r="S30" s="665">
        <f t="shared" si="12"/>
        <v>100</v>
      </c>
      <c r="T30" s="664" t="s">
        <v>14</v>
      </c>
      <c r="U30" s="665">
        <f t="shared" si="13"/>
        <v>100</v>
      </c>
      <c r="V30" s="664" t="s">
        <v>14</v>
      </c>
      <c r="W30" s="665">
        <f t="shared" si="14"/>
        <v>100</v>
      </c>
      <c r="X30" s="1260"/>
      <c r="Y30" s="3441"/>
      <c r="Z30" s="1259" t="str">
        <f t="shared" si="15"/>
        <v>物业等级</v>
      </c>
      <c r="AA30" s="1259">
        <f t="shared" si="3"/>
        <v>1</v>
      </c>
      <c r="AB30" s="1259">
        <f t="shared" si="4"/>
        <v>1</v>
      </c>
      <c r="AC30" s="1259">
        <f t="shared" si="5"/>
        <v>1</v>
      </c>
    </row>
    <row r="31" spans="1:29" s="100" customFormat="1" ht="15">
      <c r="A31" s="577"/>
      <c r="B31" s="117" t="s">
        <v>1841</v>
      </c>
      <c r="C31" s="405"/>
      <c r="D31" s="117">
        <v>100</v>
      </c>
      <c r="E31" s="405"/>
      <c r="F31" s="398">
        <f>LOOKUP(E31,91:91,92:92)-LOOKUP(C31,91:91,92:92)+100</f>
        <v>100</v>
      </c>
      <c r="G31" s="405"/>
      <c r="H31" s="372">
        <f>LOOKUP(G31,91:91,92:92)-LOOKUP(C31,91:91,92:92)+100</f>
        <v>100</v>
      </c>
      <c r="I31" s="405"/>
      <c r="J31" s="372">
        <f>LOOKUP(I31,91:91,92:92)-LOOKUP(C31,91:91,92:92)+100</f>
        <v>100</v>
      </c>
      <c r="K31" s="536"/>
      <c r="L31" s="2481"/>
      <c r="M31" s="2432"/>
      <c r="N31" s="2432"/>
      <c r="O31" s="2432"/>
      <c r="P31" s="3441"/>
      <c r="Q31" s="528" t="str">
        <f t="shared" si="11"/>
        <v>停车位面积</v>
      </c>
      <c r="R31" s="661" t="s">
        <v>14</v>
      </c>
      <c r="S31" s="662">
        <f t="shared" si="12"/>
        <v>100</v>
      </c>
      <c r="T31" s="661" t="s">
        <v>14</v>
      </c>
      <c r="U31" s="662">
        <f t="shared" si="13"/>
        <v>100</v>
      </c>
      <c r="V31" s="661" t="s">
        <v>14</v>
      </c>
      <c r="W31" s="662">
        <f t="shared" si="14"/>
        <v>100</v>
      </c>
      <c r="X31" s="663"/>
      <c r="Y31" s="3441"/>
      <c r="Z31" s="49" t="str">
        <f t="shared" si="15"/>
        <v>停车位面积</v>
      </c>
      <c r="AA31" s="49">
        <f t="shared" si="3"/>
        <v>1</v>
      </c>
      <c r="AB31" s="49">
        <f t="shared" si="4"/>
        <v>1</v>
      </c>
      <c r="AC31" s="49">
        <f t="shared" si="5"/>
        <v>1</v>
      </c>
    </row>
    <row r="32" spans="1:29" ht="15">
      <c r="A32" s="575"/>
      <c r="B32" s="117" t="s">
        <v>1842</v>
      </c>
      <c r="C32" s="397" t="s">
        <v>3602</v>
      </c>
      <c r="D32" s="372">
        <v>100</v>
      </c>
      <c r="E32" s="397" t="s">
        <v>3602</v>
      </c>
      <c r="F32" s="398">
        <f>SUMIF(93:93,E32,94:94)-SUMIF(93:93,C32,94:94)+100</f>
        <v>100</v>
      </c>
      <c r="G32" s="397" t="s">
        <v>3602</v>
      </c>
      <c r="H32" s="372">
        <f>SUMIF(93:93,G32,94:94)-SUMIF(93:93,C32,94:94)+100</f>
        <v>100</v>
      </c>
      <c r="I32" s="397" t="s">
        <v>3602</v>
      </c>
      <c r="J32" s="372">
        <f>SUMIF(93:93,I32,94:94)-SUMIF(93:93,C32,94:94)+100</f>
        <v>100</v>
      </c>
      <c r="K32" s="536">
        <v>2</v>
      </c>
      <c r="L32" s="2485"/>
      <c r="M32" s="2480"/>
      <c r="N32" s="2480"/>
      <c r="O32" s="2480"/>
      <c r="P32" s="3441" t="s">
        <v>1696</v>
      </c>
      <c r="Q32" s="1258" t="str">
        <f t="shared" si="11"/>
        <v>车位类型</v>
      </c>
      <c r="R32" s="664" t="s">
        <v>14</v>
      </c>
      <c r="S32" s="665">
        <f t="shared" si="12"/>
        <v>100</v>
      </c>
      <c r="T32" s="664" t="s">
        <v>14</v>
      </c>
      <c r="U32" s="665">
        <f t="shared" si="13"/>
        <v>100</v>
      </c>
      <c r="V32" s="664" t="s">
        <v>14</v>
      </c>
      <c r="W32" s="665">
        <f t="shared" si="14"/>
        <v>100</v>
      </c>
      <c r="X32" s="1260"/>
      <c r="Y32" s="3441"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41"/>
      <c r="Q33" s="1258" t="str">
        <f t="shared" si="11"/>
        <v>是否直接入户</v>
      </c>
      <c r="R33" s="664" t="s">
        <v>14</v>
      </c>
      <c r="S33" s="665">
        <f t="shared" si="12"/>
        <v>100</v>
      </c>
      <c r="T33" s="664" t="s">
        <v>14</v>
      </c>
      <c r="U33" s="665">
        <f t="shared" si="13"/>
        <v>100</v>
      </c>
      <c r="V33" s="664" t="s">
        <v>14</v>
      </c>
      <c r="W33" s="665">
        <f t="shared" si="14"/>
        <v>100</v>
      </c>
      <c r="X33" s="1260"/>
      <c r="Y33" s="3441"/>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41"/>
      <c r="Q34" s="1258">
        <f t="shared" si="11"/>
        <v>111</v>
      </c>
      <c r="R34" s="664" t="s">
        <v>14</v>
      </c>
      <c r="S34" s="665">
        <f t="shared" si="12"/>
        <v>100</v>
      </c>
      <c r="T34" s="664" t="s">
        <v>14</v>
      </c>
      <c r="U34" s="665">
        <f t="shared" si="13"/>
        <v>100</v>
      </c>
      <c r="V34" s="664" t="s">
        <v>14</v>
      </c>
      <c r="W34" s="665">
        <f t="shared" si="14"/>
        <v>100</v>
      </c>
      <c r="X34" s="1260"/>
      <c r="Y34" s="3441"/>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41"/>
      <c r="Q35" s="529">
        <f t="shared" si="11"/>
        <v>111</v>
      </c>
      <c r="R35" s="666" t="s">
        <v>14</v>
      </c>
      <c r="S35" s="667">
        <f t="shared" si="12"/>
        <v>100</v>
      </c>
      <c r="T35" s="666" t="s">
        <v>14</v>
      </c>
      <c r="U35" s="667">
        <f t="shared" si="13"/>
        <v>100</v>
      </c>
      <c r="V35" s="666" t="s">
        <v>14</v>
      </c>
      <c r="W35" s="667">
        <f t="shared" si="14"/>
        <v>100</v>
      </c>
      <c r="X35" s="668"/>
      <c r="Y35" s="3441"/>
      <c r="Z35" s="669">
        <f t="shared" si="15"/>
        <v>111</v>
      </c>
      <c r="AA35" s="1259">
        <f t="shared" si="3"/>
        <v>1</v>
      </c>
      <c r="AB35" s="1259">
        <f t="shared" si="4"/>
        <v>1</v>
      </c>
      <c r="AC35" s="1259">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41"/>
      <c r="Q36" s="1258">
        <f t="shared" si="11"/>
        <v>111</v>
      </c>
      <c r="R36" s="664" t="s">
        <v>14</v>
      </c>
      <c r="S36" s="665">
        <f t="shared" si="12"/>
        <v>100</v>
      </c>
      <c r="T36" s="664" t="s">
        <v>14</v>
      </c>
      <c r="U36" s="665">
        <f t="shared" si="13"/>
        <v>100</v>
      </c>
      <c r="V36" s="664" t="s">
        <v>14</v>
      </c>
      <c r="W36" s="665">
        <f t="shared" si="14"/>
        <v>100</v>
      </c>
      <c r="X36" s="1260"/>
      <c r="Y36" s="3441"/>
      <c r="Z36" s="1259">
        <f t="shared" si="15"/>
        <v>111</v>
      </c>
      <c r="AA36" s="1259">
        <f t="shared" si="3"/>
        <v>1</v>
      </c>
      <c r="AB36" s="1259">
        <f t="shared" si="4"/>
        <v>1</v>
      </c>
      <c r="AC36" s="1259">
        <f t="shared" si="5"/>
        <v>1</v>
      </c>
    </row>
    <row r="37" spans="1:29" ht="14.4">
      <c r="A37" s="414" t="s">
        <v>1844</v>
      </c>
      <c r="B37" s="1814" t="s">
        <v>3610</v>
      </c>
      <c r="C37" s="1076" t="s">
        <v>0</v>
      </c>
      <c r="D37" s="416"/>
      <c r="E37" s="417">
        <f>车库案例!M7</f>
        <v>385363</v>
      </c>
      <c r="F37" s="418"/>
      <c r="G37" s="419">
        <f>车库案例!M23</f>
        <v>402083</v>
      </c>
      <c r="H37" s="420"/>
      <c r="I37" s="417">
        <f>车库案例!M45</f>
        <v>334684</v>
      </c>
      <c r="J37" s="420"/>
      <c r="K37" s="543"/>
      <c r="L37" s="2487"/>
      <c r="M37" s="2480"/>
      <c r="N37" s="2480"/>
      <c r="O37" s="2480"/>
      <c r="P37" s="3437" t="str">
        <f>A37</f>
        <v>成交单价</v>
      </c>
      <c r="Q37" s="3437"/>
      <c r="R37" s="3433">
        <f>E37</f>
        <v>385363</v>
      </c>
      <c r="S37" s="3433"/>
      <c r="T37" s="3433">
        <f>G37</f>
        <v>402083</v>
      </c>
      <c r="U37" s="3433"/>
      <c r="V37" s="3433">
        <f>I37</f>
        <v>334684</v>
      </c>
      <c r="W37" s="3433"/>
      <c r="X37" s="383"/>
      <c r="Y37" s="670"/>
      <c r="Z37" s="383"/>
      <c r="AA37" s="383"/>
      <c r="AB37" s="383"/>
      <c r="AC37" s="383"/>
    </row>
    <row r="38" spans="1:29" ht="15" thickBot="1">
      <c r="A38" s="421" t="s">
        <v>1845</v>
      </c>
      <c r="B38" s="422" t="str">
        <f>B37</f>
        <v>元/车位</v>
      </c>
      <c r="C38" s="1077">
        <f>R39</f>
        <v>363375</v>
      </c>
      <c r="D38" s="2134" t="s">
        <v>2138</v>
      </c>
      <c r="E38" s="1078">
        <f>R38</f>
        <v>366732</v>
      </c>
      <c r="F38" s="2135"/>
      <c r="G38" s="1077">
        <f>T38</f>
        <v>390373</v>
      </c>
      <c r="H38" s="2135"/>
      <c r="I38" s="1078">
        <f>V38</f>
        <v>333019</v>
      </c>
      <c r="J38" s="2135"/>
      <c r="K38" s="2137">
        <f>F38+H38+J38</f>
        <v>0</v>
      </c>
      <c r="L38" s="2487"/>
      <c r="M38" s="2480"/>
      <c r="N38" s="2480"/>
      <c r="O38" s="2480"/>
      <c r="P38" s="3437" t="str">
        <f>A38</f>
        <v>比较价值（元/平方米）</v>
      </c>
      <c r="Q38" s="3437"/>
      <c r="R38" s="3433">
        <f>IF(F1="售价",ROUND(PRODUCT(R37,AA7:AA36),0),ROUND(PRODUCT(R37,AA7:AA36),1))</f>
        <v>366732</v>
      </c>
      <c r="S38" s="3433"/>
      <c r="T38" s="3433">
        <f>IF(F1="售价",ROUND(PRODUCT(T37,AB7:AB36),0),ROUND(PRODUCT(T37,AB7:AB36),1))</f>
        <v>390373</v>
      </c>
      <c r="U38" s="3433"/>
      <c r="V38" s="3433">
        <f>IF(F1="售价",ROUND(PRODUCT(V37,AC7:AC36),0),ROUND(PRODUCT(V37,AC7:AC36),1))</f>
        <v>333019</v>
      </c>
      <c r="W38" s="3433"/>
      <c r="X38" s="383"/>
      <c r="Y38" s="383"/>
      <c r="Z38" s="383"/>
      <c r="AA38" s="383"/>
      <c r="AB38" s="383"/>
      <c r="AC38" s="383"/>
    </row>
    <row r="39" spans="1:29" ht="15" thickBot="1">
      <c r="A39" s="425" t="s">
        <v>1846</v>
      </c>
      <c r="B39" s="426"/>
      <c r="C39" s="349">
        <f>R39</f>
        <v>363375</v>
      </c>
      <c r="D39" s="349"/>
      <c r="E39" s="349"/>
      <c r="F39" s="349"/>
      <c r="G39" s="349"/>
      <c r="H39" s="349"/>
      <c r="I39" s="349"/>
      <c r="J39" s="349"/>
      <c r="K39" s="544"/>
      <c r="L39" s="2487"/>
      <c r="M39" s="2480"/>
      <c r="N39" s="2480"/>
      <c r="O39" s="2480"/>
      <c r="P39" s="3445" t="str">
        <f>A39</f>
        <v>估价对象XX用房的比较价值（楼面单价，元/平方米）</v>
      </c>
      <c r="Q39" s="3446"/>
      <c r="R39" s="3500">
        <f>IF(F1="售价",ROUND(IF(D38="简单平均",AVERAGE(R38:W38),R38*F38+T38*H38+V38*J38),0),ROUND(IF(D38="简单平均",AVERAGE(R38:V38),R38*F38+T38*H38+V38*J38),1))</f>
        <v>363375</v>
      </c>
      <c r="S39" s="3500"/>
      <c r="T39" s="3500"/>
      <c r="U39" s="3500"/>
      <c r="V39" s="3500"/>
      <c r="W39" s="3500"/>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5.0802766052594261E-2</v>
      </c>
      <c r="F42" s="433" t="str">
        <f>IF(OR(E42&gt;=0.3,E42&lt;=-0.3),"超过30%","")</f>
        <v/>
      </c>
      <c r="G42" s="432">
        <f>IF(G37&lt;G38,G38/G37-1,G37/G38-1)</f>
        <v>2.9996951633437741E-2</v>
      </c>
      <c r="H42" s="433" t="str">
        <f>IF(OR(G42&gt;=0.3,G42&lt;=-0.3),"超过30%","")</f>
        <v/>
      </c>
      <c r="I42" s="432">
        <f>IF(I37&lt;I38,I38/I37-1,I37/I38-1)</f>
        <v>4.999714730991256E-3</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6.4463968238386515E-2</v>
      </c>
      <c r="F43" s="433" t="str">
        <f>IF(OR(E43&gt;=0.2,E43&lt;=-0.2),"超过20%","")</f>
        <v/>
      </c>
      <c r="G43" s="432">
        <f>IF(G38&lt;I38,I38/G38-1,G38/I38-1)</f>
        <v>0.17222440761638236</v>
      </c>
      <c r="H43" s="433" t="str">
        <f>IF(OR(G43&gt;=0.2,G43&lt;=-0.2),"超过20%","")</f>
        <v/>
      </c>
      <c r="I43" s="432">
        <f>IF(I38&lt;E38,E38/I38-1,I38/E38-1)</f>
        <v>0.10123446409964587</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4.338766306054298E-2</v>
      </c>
      <c r="F44" s="433" t="str">
        <f>IF(OR(E44&gt;=0.3,E44&lt;=-0.3),"超过30%","")</f>
        <v/>
      </c>
      <c r="G44" s="432">
        <f>IF(G37&lt;I37,I37/G37-1,G37/I37-1)</f>
        <v>0.20138100417109861</v>
      </c>
      <c r="H44" s="433" t="str">
        <f>IF(OR(G44&gt;=0.3,G44&lt;=-0.3),"超过30%","")</f>
        <v/>
      </c>
      <c r="I44" s="432">
        <f>IF(I37&lt;E37,E37/I37-1,I37/E37-1)</f>
        <v>0.15142343225251276</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2" t="s">
        <v>1850</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4.4">
      <c r="A48" s="438" t="s">
        <v>1851</v>
      </c>
      <c r="B48" s="439"/>
      <c r="C48" s="1098" t="str">
        <f>YEAR(C7)&amp;"-"&amp;MONTH(C7)</f>
        <v>2023-4</v>
      </c>
      <c r="D48" s="1099">
        <f>EDATE(C48,-1)</f>
        <v>44986</v>
      </c>
      <c r="E48" s="1099">
        <f t="shared" ref="E48:O48" si="16">EDATE(D48,-1)</f>
        <v>44958</v>
      </c>
      <c r="F48" s="1099">
        <f t="shared" si="16"/>
        <v>44927</v>
      </c>
      <c r="G48" s="1099">
        <f t="shared" si="16"/>
        <v>44896</v>
      </c>
      <c r="H48" s="1099">
        <f t="shared" si="16"/>
        <v>44866</v>
      </c>
      <c r="I48" s="1099">
        <f t="shared" si="16"/>
        <v>44835</v>
      </c>
      <c r="J48" s="1099">
        <f t="shared" si="16"/>
        <v>44805</v>
      </c>
      <c r="K48" s="1099">
        <f t="shared" si="16"/>
        <v>44774</v>
      </c>
      <c r="L48" s="1099">
        <f t="shared" si="16"/>
        <v>44743</v>
      </c>
      <c r="M48" s="1099">
        <f t="shared" si="16"/>
        <v>44713</v>
      </c>
      <c r="N48" s="1099">
        <f t="shared" si="16"/>
        <v>44682</v>
      </c>
      <c r="O48" s="1099">
        <f t="shared" si="16"/>
        <v>44652</v>
      </c>
      <c r="P48" s="2520"/>
      <c r="Q48" s="2503"/>
      <c r="R48" s="2503"/>
      <c r="S48" s="2503"/>
      <c r="T48" s="2503"/>
      <c r="U48" s="2503"/>
      <c r="V48" s="2503"/>
      <c r="W48" s="2503"/>
      <c r="X48" s="2503"/>
      <c r="Y48" s="2503"/>
      <c r="Z48" s="2503"/>
      <c r="AA48" s="2503"/>
      <c r="AB48" s="2503"/>
      <c r="AC48" s="2503"/>
    </row>
    <row r="49" spans="1:29" s="100" customFormat="1">
      <c r="A49" s="441"/>
      <c r="B49" s="442"/>
      <c r="C49" s="1092">
        <v>100</v>
      </c>
      <c r="D49" s="444"/>
      <c r="E49" s="444"/>
      <c r="F49" s="444"/>
      <c r="G49" s="444"/>
      <c r="H49" s="444"/>
      <c r="I49" s="444"/>
      <c r="J49" s="444"/>
      <c r="K49" s="444"/>
      <c r="L49" s="444"/>
      <c r="M49" s="445"/>
      <c r="N49" s="444"/>
      <c r="O49" s="445"/>
      <c r="P49" s="2521"/>
      <c r="Q49" s="2432"/>
      <c r="R49" s="2432"/>
      <c r="S49" s="2432"/>
      <c r="T49" s="2432"/>
      <c r="U49" s="2432"/>
      <c r="V49" s="2432"/>
      <c r="W49" s="2432"/>
      <c r="X49" s="2432"/>
      <c r="Y49" s="2432"/>
      <c r="Z49" s="2432"/>
      <c r="AA49" s="2432"/>
      <c r="AB49" s="2432"/>
      <c r="AC49" s="2432"/>
    </row>
    <row r="50" spans="1:29" s="100" customFormat="1" ht="15" thickBot="1">
      <c r="A50" s="447" t="s">
        <v>1716</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0" customFormat="1" ht="14.4">
      <c r="A51" s="453" t="s">
        <v>1681</v>
      </c>
      <c r="B51" s="442"/>
      <c r="C51" s="454" t="s">
        <v>1776</v>
      </c>
      <c r="D51" s="30"/>
      <c r="E51" s="30"/>
      <c r="F51" s="30"/>
      <c r="G51" s="30"/>
      <c r="H51" s="30"/>
      <c r="I51" s="30"/>
      <c r="J51" s="30"/>
      <c r="K51" s="30"/>
      <c r="L51" s="455"/>
      <c r="M51" s="456"/>
      <c r="N51" s="2513"/>
      <c r="O51" s="2513"/>
      <c r="P51" s="2522"/>
      <c r="Q51" s="2501"/>
      <c r="R51" s="2432"/>
      <c r="S51" s="2432"/>
      <c r="T51" s="2432"/>
      <c r="U51" s="2432"/>
      <c r="V51" s="2432"/>
      <c r="W51" s="2432"/>
      <c r="X51" s="2432"/>
      <c r="Y51" s="2432"/>
      <c r="Z51" s="2432"/>
      <c r="AA51" s="2432"/>
      <c r="AB51" s="2432"/>
      <c r="AC51" s="2432"/>
    </row>
    <row r="52" spans="1:29" s="100" customFormat="1" ht="14.4"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ht="14.4">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4.4"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9.4"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4.4"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4.4"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4.4"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4.4"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4.4"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4.4"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4.4"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4.4" thickBot="1">
      <c r="A64" s="365"/>
      <c r="B64" s="472"/>
      <c r="C64" s="473">
        <v>100</v>
      </c>
      <c r="D64" s="473">
        <f>C64-$K14</f>
        <v>97</v>
      </c>
      <c r="E64" s="473">
        <f>D64-$K14</f>
        <v>94</v>
      </c>
      <c r="F64" s="473">
        <f>E64-$K14</f>
        <v>91</v>
      </c>
      <c r="G64" s="473">
        <f>F64-$K14</f>
        <v>88</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4.4"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 thickTop="1">
      <c r="A67" s="365"/>
      <c r="B67" s="475" t="s">
        <v>1813</v>
      </c>
      <c r="C67" s="579" t="s">
        <v>1799</v>
      </c>
      <c r="D67" s="579" t="s">
        <v>1800</v>
      </c>
      <c r="E67" s="579" t="s">
        <v>1801</v>
      </c>
      <c r="F67" s="579" t="s">
        <v>1802</v>
      </c>
      <c r="G67" s="579" t="s">
        <v>1803</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4.4" thickBot="1">
      <c r="A68" s="365"/>
      <c r="B68" s="475"/>
      <c r="C68" s="473">
        <v>100</v>
      </c>
      <c r="D68" s="473">
        <f>C68-$K18</f>
        <v>98</v>
      </c>
      <c r="E68" s="473">
        <f>D68-$K18</f>
        <v>96</v>
      </c>
      <c r="F68" s="473">
        <f>E68-$K18</f>
        <v>94</v>
      </c>
      <c r="G68" s="473">
        <f>F68-$K18</f>
        <v>92</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4.4" thickBot="1">
      <c r="A70" s="365"/>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 thickTop="1">
      <c r="A71" s="365"/>
      <c r="B71" s="467" t="s">
        <v>1852</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4.4" thickBot="1">
      <c r="A72" s="365"/>
      <c r="B72" s="472"/>
      <c r="C72" s="473">
        <v>100</v>
      </c>
      <c r="D72" s="473">
        <f>C72-$K22</f>
        <v>98</v>
      </c>
      <c r="E72" s="473">
        <f>D72-$K22</f>
        <v>96</v>
      </c>
      <c r="F72" s="473">
        <f>E72-$K22</f>
        <v>94</v>
      </c>
      <c r="G72" s="473">
        <f>F72-$K22</f>
        <v>92</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0" customFormat="1" ht="14.4" thickTop="1">
      <c r="A73" s="368"/>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0" customFormat="1" ht="14.4" thickBot="1">
      <c r="A74" s="368"/>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0" customFormat="1" ht="14.4" thickTop="1">
      <c r="A75" s="368"/>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0" customFormat="1" ht="14.4" thickBot="1">
      <c r="A76" s="368"/>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6" customFormat="1" ht="14.4"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4.4"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9.4" thickTop="1">
      <c r="A79" s="377" t="s">
        <v>1694</v>
      </c>
      <c r="B79" s="458" t="s">
        <v>1853</v>
      </c>
      <c r="C79" s="459" t="str">
        <f>C26</f>
        <v>住宅</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4.4" thickBot="1">
      <c r="A80" s="365"/>
      <c r="B80" s="472"/>
      <c r="C80" s="473">
        <v>100</v>
      </c>
      <c r="D80" s="473">
        <f t="shared" ref="D80:M80" si="17">C80-$K26</f>
        <v>97</v>
      </c>
      <c r="E80" s="473">
        <f t="shared" si="17"/>
        <v>94</v>
      </c>
      <c r="F80" s="473">
        <f t="shared" si="17"/>
        <v>91</v>
      </c>
      <c r="G80" s="473">
        <f t="shared" si="17"/>
        <v>88</v>
      </c>
      <c r="H80" s="473">
        <f t="shared" si="17"/>
        <v>85</v>
      </c>
      <c r="I80" s="473">
        <f t="shared" si="17"/>
        <v>82</v>
      </c>
      <c r="J80" s="473">
        <f t="shared" si="17"/>
        <v>79</v>
      </c>
      <c r="K80" s="473">
        <f t="shared" si="17"/>
        <v>76</v>
      </c>
      <c r="L80" s="473">
        <f t="shared" si="17"/>
        <v>73</v>
      </c>
      <c r="M80" s="474">
        <f t="shared" si="17"/>
        <v>70</v>
      </c>
      <c r="N80" s="2515"/>
      <c r="O80" s="2515"/>
      <c r="P80" s="2523"/>
      <c r="Q80" s="2501"/>
      <c r="R80" s="2480"/>
      <c r="S80" s="2480"/>
      <c r="T80" s="2480"/>
      <c r="U80" s="2480"/>
      <c r="V80" s="2480"/>
      <c r="W80" s="2480"/>
      <c r="X80" s="2480"/>
      <c r="Y80" s="2480"/>
      <c r="Z80" s="2480"/>
      <c r="AA80" s="2480"/>
      <c r="AB80" s="2480"/>
      <c r="AC80" s="2480"/>
    </row>
    <row r="81" spans="1:29" ht="15" thickTop="1">
      <c r="A81" s="365"/>
      <c r="B81" s="467" t="s">
        <v>1854</v>
      </c>
      <c r="C81" s="580" t="s">
        <v>3600</v>
      </c>
      <c r="D81" s="580" t="s">
        <v>3606</v>
      </c>
      <c r="E81" s="580" t="s">
        <v>3607</v>
      </c>
      <c r="F81" s="580" t="s">
        <v>3609</v>
      </c>
      <c r="G81" s="580" t="s">
        <v>3605</v>
      </c>
      <c r="H81" s="580" t="s">
        <v>3608</v>
      </c>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4.4" thickBot="1">
      <c r="A82" s="482"/>
      <c r="B82" s="472"/>
      <c r="C82" s="489">
        <v>100</v>
      </c>
      <c r="D82" s="465">
        <v>99.5</v>
      </c>
      <c r="E82" s="465">
        <v>99</v>
      </c>
      <c r="F82" s="465">
        <v>98.5</v>
      </c>
      <c r="G82" s="465">
        <v>98</v>
      </c>
      <c r="H82" s="465">
        <v>97.5</v>
      </c>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4" t="s">
        <v>3617</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4.4" thickBot="1">
      <c r="A84" s="365"/>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4.4" thickBot="1">
      <c r="A87" s="365"/>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3160" t="s">
        <v>3604</v>
      </c>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4.4"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0(含)-30</v>
      </c>
      <c r="D90" s="507" t="str">
        <f t="shared" ref="D90:L90" si="21">D91&amp;"(含)"&amp;"-"&amp;E91</f>
        <v>30(含)-40</v>
      </c>
      <c r="E90" s="507" t="str">
        <f t="shared" si="21"/>
        <v>40(含)-50</v>
      </c>
      <c r="F90" s="507" t="str">
        <f t="shared" si="21"/>
        <v>50(含)-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30</v>
      </c>
      <c r="E91" s="6">
        <v>40</v>
      </c>
      <c r="F91" s="6">
        <v>50</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4.4" thickBot="1">
      <c r="A92" s="482"/>
      <c r="B92" s="472"/>
      <c r="C92" s="489"/>
      <c r="D92" s="465"/>
      <c r="E92" s="465"/>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4" t="s">
        <v>3603</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4.4"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460"/>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4.4"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4.4"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4.4"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4.4"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4.4"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4.4"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28" workbookViewId="0">
      <selection activeCell="M46" sqref="M46"/>
    </sheetView>
  </sheetViews>
  <sheetFormatPr defaultRowHeight="14.4"/>
  <sheetData>
    <row r="1" spans="1:13">
      <c r="A1" s="1400" t="s">
        <v>3525</v>
      </c>
    </row>
    <row r="7" spans="1:13">
      <c r="M7">
        <f>ROUND(2466.32/64*10000,0)</f>
        <v>385363</v>
      </c>
    </row>
    <row r="18" spans="1:13">
      <c r="A18" t="s">
        <v>3611</v>
      </c>
    </row>
    <row r="23" spans="1:13">
      <c r="M23">
        <f>ROUND(965/24*10000,0)</f>
        <v>402083</v>
      </c>
    </row>
    <row r="38" spans="1:13">
      <c r="A38" t="s">
        <v>3612</v>
      </c>
    </row>
    <row r="45" spans="1:13">
      <c r="M45">
        <f>ROUND(4652.11/139*10000,0)</f>
        <v>334684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8" thickBot="1">
      <c r="A4" s="1386"/>
      <c r="B4" s="3213" t="s">
        <v>917</v>
      </c>
      <c r="C4" s="3213"/>
      <c r="D4" s="3213"/>
      <c r="E4" s="1386"/>
    </row>
    <row r="5" spans="1:5" ht="16.2" thickTop="1">
      <c r="B5" s="3211" t="s">
        <v>909</v>
      </c>
      <c r="C5" s="1387" t="s">
        <v>910</v>
      </c>
      <c r="D5" s="792">
        <f ca="1">结果表!H101</f>
        <v>175495</v>
      </c>
    </row>
    <row r="6" spans="1:5" ht="15.6">
      <c r="B6" s="3211"/>
      <c r="C6" s="1387" t="s">
        <v>911</v>
      </c>
      <c r="D6" s="792" t="str">
        <f ca="1">NUMBERSTRING(INT(D5*10000),2)&amp;"元整"</f>
        <v>壹拾柒亿伍仟肆佰玖拾伍万元整</v>
      </c>
    </row>
    <row r="7" spans="1:5" ht="15.6">
      <c r="B7" s="3216"/>
      <c r="C7" s="1388" t="s">
        <v>912</v>
      </c>
      <c r="D7" s="793">
        <f ca="1">结果表!H102</f>
        <v>48990</v>
      </c>
    </row>
    <row r="8" spans="1:5" ht="15.6">
      <c r="B8" s="3217" t="str">
        <f>结果表!E103</f>
        <v>2.估价师知悉的法定优先受偿款</v>
      </c>
      <c r="C8" s="1389" t="s">
        <v>913</v>
      </c>
      <c r="D8" s="793">
        <f>结果表!H103</f>
        <v>0</v>
      </c>
    </row>
    <row r="9" spans="1:5" ht="15.6">
      <c r="B9" s="3219"/>
      <c r="C9" s="1387" t="s">
        <v>911</v>
      </c>
      <c r="D9" s="792" t="str">
        <f>NUMBERSTRING(INT(D8*10000),2)&amp;"元整"</f>
        <v>零元整</v>
      </c>
    </row>
    <row r="10" spans="1:5" ht="15.6">
      <c r="B10" s="1390" t="s">
        <v>916</v>
      </c>
      <c r="C10" s="1391" t="s">
        <v>914</v>
      </c>
      <c r="D10" s="794">
        <f>结果表!H104</f>
        <v>0</v>
      </c>
    </row>
    <row r="11" spans="1:5" ht="15.6">
      <c r="B11" s="1390" t="s">
        <v>918</v>
      </c>
      <c r="C11" s="1391" t="s">
        <v>919</v>
      </c>
      <c r="D11" s="794">
        <f>结果表!H105</f>
        <v>0</v>
      </c>
    </row>
    <row r="12" spans="1:5" ht="15.6">
      <c r="B12" s="1390" t="s">
        <v>920</v>
      </c>
      <c r="C12" s="1391" t="s">
        <v>919</v>
      </c>
      <c r="D12" s="794">
        <f>结果表!H106</f>
        <v>0</v>
      </c>
    </row>
    <row r="13" spans="1:5" ht="15.6">
      <c r="B13" s="3210" t="str">
        <f>结果表!E107</f>
        <v>3.房地产抵押价值</v>
      </c>
      <c r="C13" s="1392" t="s">
        <v>910</v>
      </c>
      <c r="D13" s="795">
        <f ca="1">结果表!H107</f>
        <v>175495</v>
      </c>
    </row>
    <row r="14" spans="1:5" ht="15.6">
      <c r="B14" s="3211"/>
      <c r="C14" s="1387" t="s">
        <v>911</v>
      </c>
      <c r="D14" s="792" t="str">
        <f ca="1">NUMBERSTRING(INT(D13*10000),2)&amp;"元整"</f>
        <v>壹拾柒亿伍仟肆佰玖拾伍万元整</v>
      </c>
    </row>
    <row r="15" spans="1:5" ht="15.6">
      <c r="B15" s="3216"/>
      <c r="C15" s="1388" t="s">
        <v>921</v>
      </c>
      <c r="D15" s="801">
        <f ca="1">结果表!H108</f>
        <v>48990</v>
      </c>
    </row>
    <row r="16" spans="1:5" ht="15.6">
      <c r="B16" s="3217" t="str">
        <f>结果表!E109</f>
        <v>——</v>
      </c>
      <c r="C16" s="1392" t="s">
        <v>922</v>
      </c>
      <c r="D16" s="1393" t="str">
        <f>结果表!H109</f>
        <v>——</v>
      </c>
    </row>
    <row r="17" spans="1:5" ht="15.6">
      <c r="B17" s="3218"/>
      <c r="C17" s="1387" t="s">
        <v>923</v>
      </c>
      <c r="D17" s="792" t="e">
        <f>NUMBERSTRING(INT(D16*10000),2)&amp;"元整"</f>
        <v>#VALUE!</v>
      </c>
    </row>
    <row r="18" spans="1:5" ht="15.6">
      <c r="B18" s="3219"/>
      <c r="C18" s="1388" t="s">
        <v>912</v>
      </c>
      <c r="D18" s="801" t="str">
        <f>结果表!H110</f>
        <v>——</v>
      </c>
    </row>
    <row r="19" spans="1:5" ht="15.6">
      <c r="B19" s="3210" t="str">
        <f>结果表!E111</f>
        <v>——</v>
      </c>
      <c r="C19" s="1392" t="s">
        <v>910</v>
      </c>
      <c r="D19" s="793" t="str">
        <f>结果表!H111</f>
        <v>——</v>
      </c>
    </row>
    <row r="20" spans="1:5" ht="15.6">
      <c r="B20" s="3211"/>
      <c r="C20" s="1387" t="s">
        <v>923</v>
      </c>
      <c r="D20" s="792" t="e">
        <f>NUMBERSTRING(INT(D19*10000),2)&amp;"元整"</f>
        <v>#VALUE!</v>
      </c>
    </row>
    <row r="21" spans="1:5" ht="16.2" thickBot="1">
      <c r="B21" s="3212"/>
      <c r="C21" s="1394" t="s">
        <v>921</v>
      </c>
      <c r="D21" s="802" t="str">
        <f>结果表!H112</f>
        <v>——</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 zoomScale="80" zoomScaleNormal="60" zoomScaleSheetLayoutView="80" workbookViewId="0">
      <selection activeCell="P49" sqref="P49"/>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#N/A</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#N/A</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f>C7</f>
        <v>45029</v>
      </c>
      <c r="F7" s="355">
        <f>SUMIF(69:69,YEAR(E7)&amp;"-"&amp;INT((MONTH(E7)+2)/3),70:70)</f>
        <v>100</v>
      </c>
      <c r="G7" s="1815">
        <f>C7</f>
        <v>45029</v>
      </c>
      <c r="H7" s="353">
        <f>SUMIF(69:69,YEAR(G7)&amp;"-"&amp;INT((MONTH(G7)+2)/3),70:70)</f>
        <v>100</v>
      </c>
      <c r="I7" s="1815">
        <f>C7</f>
        <v>45029</v>
      </c>
      <c r="J7" s="353">
        <f>SUMIF(69:69,YEAR(I7)&amp;"-"&amp;INT((MONTH(I7)+2)/3),70:70)</f>
        <v>100</v>
      </c>
      <c r="K7" s="37"/>
      <c r="L7" s="2481"/>
      <c r="M7" s="2432"/>
      <c r="N7" s="2432"/>
      <c r="O7" s="2432"/>
      <c r="P7" s="3434" t="s">
        <v>1680</v>
      </c>
      <c r="Q7" s="3435"/>
      <c r="R7" s="661" t="s">
        <v>14</v>
      </c>
      <c r="S7" s="662">
        <f t="shared" ref="S7:S15" si="0">F7</f>
        <v>100</v>
      </c>
      <c r="T7" s="661" t="s">
        <v>14</v>
      </c>
      <c r="U7" s="662">
        <f t="shared" ref="U7:U15" si="1">H7</f>
        <v>100</v>
      </c>
      <c r="V7" s="661" t="s">
        <v>14</v>
      </c>
      <c r="W7" s="662">
        <f t="shared" ref="W7:W15" si="2">J7</f>
        <v>100</v>
      </c>
      <c r="X7" s="663"/>
      <c r="Y7" s="3434" t="s">
        <v>1680</v>
      </c>
      <c r="Z7" s="3436"/>
      <c r="AA7" s="49">
        <f>D7/F7</f>
        <v>1</v>
      </c>
      <c r="AB7" s="49">
        <f>D7/H7</f>
        <v>1</v>
      </c>
      <c r="AC7" s="49">
        <f>D7/J7</f>
        <v>1</v>
      </c>
    </row>
    <row r="8" spans="1:29" s="100" customFormat="1" ht="1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5" si="3">D8/F8</f>
        <v>1</v>
      </c>
      <c r="AB8" s="49">
        <f t="shared" ref="AB8:AB45" si="4">D8/H8</f>
        <v>1</v>
      </c>
      <c r="AC8" s="49">
        <f t="shared" ref="AC8:AC45" si="5">D8/J8</f>
        <v>1</v>
      </c>
    </row>
    <row r="9" spans="1:29" s="100" customFormat="1" ht="14.4">
      <c r="A9" s="357" t="s">
        <v>1684</v>
      </c>
      <c r="B9" s="59" t="s">
        <v>1685</v>
      </c>
      <c r="C9" s="1818"/>
      <c r="D9" s="58">
        <v>100</v>
      </c>
      <c r="E9" s="1818"/>
      <c r="F9" s="58">
        <f>SUMIF(74:74,E9,75:75)-SUMIF(74:74,C9,75:75)+100</f>
        <v>100</v>
      </c>
      <c r="G9" s="1818"/>
      <c r="H9" s="58">
        <f>SUMIF(74:74,G9,75:75)-SUMIF(74:74,C9,75:75)+100</f>
        <v>100</v>
      </c>
      <c r="I9" s="1818"/>
      <c r="J9" s="58">
        <f>SUMIF(74:74,I9,75:75)-SUMIF(74:74,C9,75:75)+100</f>
        <v>100</v>
      </c>
      <c r="K9" s="37"/>
      <c r="L9" s="2481"/>
      <c r="M9" s="2432"/>
      <c r="N9" s="2432"/>
      <c r="O9" s="2533"/>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8.8">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4"/>
      <c r="M11" s="2480"/>
      <c r="N11" s="2480"/>
      <c r="O11" s="2535"/>
      <c r="P11" s="3437"/>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2"/>
      <c r="N12" s="2432"/>
      <c r="O12" s="2533"/>
      <c r="P12" s="3437"/>
      <c r="Q12" s="528" t="str">
        <f t="shared" si="6"/>
        <v>配建</v>
      </c>
      <c r="R12" s="661" t="s">
        <v>14</v>
      </c>
      <c r="S12" s="662">
        <f t="shared" si="0"/>
        <v>100</v>
      </c>
      <c r="T12" s="661" t="s">
        <v>14</v>
      </c>
      <c r="U12" s="662">
        <f t="shared" si="1"/>
        <v>100</v>
      </c>
      <c r="V12" s="661" t="s">
        <v>14</v>
      </c>
      <c r="W12" s="662">
        <f t="shared" si="2"/>
        <v>100</v>
      </c>
      <c r="X12" s="663"/>
      <c r="Y12" s="3379"/>
      <c r="Z12" s="49" t="str">
        <f t="shared" si="7"/>
        <v>配建</v>
      </c>
      <c r="AA12" s="49">
        <f>D12/F12</f>
        <v>1</v>
      </c>
      <c r="AB12" s="49">
        <f>D12/H12</f>
        <v>1</v>
      </c>
      <c r="AC12" s="49">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D13/F13</f>
        <v>1</v>
      </c>
      <c r="AB13" s="49">
        <f>D13/H13</f>
        <v>1</v>
      </c>
      <c r="AC13" s="49">
        <f>D13/J13</f>
        <v>1</v>
      </c>
    </row>
    <row r="14" spans="1:29" ht="15.6"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D14/F14</f>
        <v>1</v>
      </c>
      <c r="AB14" s="49">
        <f>D14/H14</f>
        <v>1</v>
      </c>
      <c r="AC14" s="49">
        <f>D14/J14</f>
        <v>1</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c r="L15" s="2485"/>
      <c r="M15" s="2480"/>
      <c r="N15" s="2480"/>
      <c r="O15" s="2535"/>
      <c r="P15" s="3438" t="s">
        <v>1691</v>
      </c>
      <c r="Q15" s="1258" t="str">
        <f t="shared" si="6"/>
        <v>居住社区成熟度</v>
      </c>
      <c r="R15" s="664" t="s">
        <v>14</v>
      </c>
      <c r="S15" s="665">
        <f t="shared" si="0"/>
        <v>100</v>
      </c>
      <c r="T15" s="664" t="s">
        <v>14</v>
      </c>
      <c r="U15" s="665">
        <f t="shared" si="1"/>
        <v>100</v>
      </c>
      <c r="V15" s="664" t="s">
        <v>14</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9"/>
      <c r="Q17" s="1258" t="str">
        <f>B17</f>
        <v>商业繁华度</v>
      </c>
      <c r="R17" s="664" t="s">
        <v>14</v>
      </c>
      <c r="S17" s="665">
        <f>F17</f>
        <v>100</v>
      </c>
      <c r="T17" s="664" t="s">
        <v>14</v>
      </c>
      <c r="U17" s="665">
        <f>H17</f>
        <v>100</v>
      </c>
      <c r="V17" s="664" t="s">
        <v>14</v>
      </c>
      <c r="W17" s="665">
        <f>J17</f>
        <v>100</v>
      </c>
      <c r="X17" s="1260"/>
      <c r="Y17" s="3439"/>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9"/>
      <c r="Q19" s="1258" t="str">
        <f>B19</f>
        <v>办公集聚程度</v>
      </c>
      <c r="R19" s="664" t="s">
        <v>14</v>
      </c>
      <c r="S19" s="665">
        <f>F19</f>
        <v>100</v>
      </c>
      <c r="T19" s="664" t="s">
        <v>14</v>
      </c>
      <c r="U19" s="665">
        <f>H19</f>
        <v>100</v>
      </c>
      <c r="V19" s="664" t="s">
        <v>14</v>
      </c>
      <c r="W19" s="665">
        <f>J19</f>
        <v>100</v>
      </c>
      <c r="X19" s="1260"/>
      <c r="Y19" s="3439"/>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39"/>
      <c r="Q20" s="1258"/>
      <c r="R20" s="664"/>
      <c r="S20" s="665"/>
      <c r="T20" s="664"/>
      <c r="U20" s="665"/>
      <c r="V20" s="664"/>
      <c r="W20" s="665"/>
      <c r="X20" s="1260"/>
      <c r="Y20" s="3439"/>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c r="L21" s="2485"/>
      <c r="M21" s="2480"/>
      <c r="N21" s="2480"/>
      <c r="O21" s="2535"/>
      <c r="P21" s="3439"/>
      <c r="Q21" s="1258" t="str">
        <f>B21</f>
        <v>交通便捷度</v>
      </c>
      <c r="R21" s="664" t="s">
        <v>14</v>
      </c>
      <c r="S21" s="665">
        <f>F21</f>
        <v>100</v>
      </c>
      <c r="T21" s="664" t="s">
        <v>14</v>
      </c>
      <c r="U21" s="665">
        <f>H21</f>
        <v>100</v>
      </c>
      <c r="V21" s="664" t="s">
        <v>14</v>
      </c>
      <c r="W21" s="665">
        <f>J21</f>
        <v>100</v>
      </c>
      <c r="X21" s="1260"/>
      <c r="Y21" s="3439"/>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ht="28.8">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5"/>
      <c r="M23" s="2480"/>
      <c r="N23" s="2480"/>
      <c r="O23" s="2535"/>
      <c r="P23" s="3439"/>
      <c r="Q23" s="1258" t="str">
        <f t="shared" ref="Q23:Q37" si="8">B23</f>
        <v>区域土地利用方向</v>
      </c>
      <c r="R23" s="664" t="s">
        <v>14</v>
      </c>
      <c r="S23" s="665">
        <f>F23</f>
        <v>100</v>
      </c>
      <c r="T23" s="664" t="s">
        <v>14</v>
      </c>
      <c r="U23" s="665">
        <f>H23</f>
        <v>100</v>
      </c>
      <c r="V23" s="664" t="s">
        <v>14</v>
      </c>
      <c r="W23" s="665">
        <f>J23</f>
        <v>100</v>
      </c>
      <c r="X23" s="1260"/>
      <c r="Y23" s="3439"/>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3"/>
      <c r="L24" s="2485"/>
      <c r="M24" s="2480"/>
      <c r="N24" s="2480"/>
      <c r="O24" s="2535"/>
      <c r="P24" s="3439"/>
      <c r="Q24" s="1258"/>
      <c r="R24" s="664"/>
      <c r="S24" s="665"/>
      <c r="T24" s="664"/>
      <c r="U24" s="665"/>
      <c r="V24" s="664"/>
      <c r="W24" s="665"/>
      <c r="X24" s="1260"/>
      <c r="Y24" s="3439"/>
      <c r="Z24" s="1259"/>
      <c r="AA24" s="1259"/>
      <c r="AB24" s="1259"/>
      <c r="AC24" s="1259"/>
    </row>
    <row r="25" spans="1:29" ht="28.8">
      <c r="A25" s="346"/>
      <c r="B25" s="584" t="s">
        <v>1872</v>
      </c>
      <c r="C25" s="1799"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85"/>
      <c r="M25" s="2480"/>
      <c r="N25" s="2480"/>
      <c r="O25" s="2535"/>
      <c r="P25" s="3439"/>
      <c r="Q25" s="1258" t="str">
        <f t="shared" si="8"/>
        <v>自然及人文环境状况</v>
      </c>
      <c r="R25" s="664" t="s">
        <v>14</v>
      </c>
      <c r="S25" s="665">
        <f>F25</f>
        <v>100</v>
      </c>
      <c r="T25" s="664" t="s">
        <v>14</v>
      </c>
      <c r="U25" s="665">
        <f>H25</f>
        <v>100</v>
      </c>
      <c r="V25" s="664" t="s">
        <v>14</v>
      </c>
      <c r="W25" s="665">
        <f>J25</f>
        <v>100</v>
      </c>
      <c r="X25" s="1260"/>
      <c r="Y25" s="3439"/>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5"/>
      <c r="M26" s="2480"/>
      <c r="N26" s="2480"/>
      <c r="O26" s="2535"/>
      <c r="P26" s="3439"/>
      <c r="Q26" s="1258"/>
      <c r="R26" s="664"/>
      <c r="S26" s="665"/>
      <c r="T26" s="664"/>
      <c r="U26" s="665"/>
      <c r="V26" s="664"/>
      <c r="W26" s="665"/>
      <c r="X26" s="1260"/>
      <c r="Y26" s="3439"/>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100</v>
      </c>
      <c r="G27" s="389"/>
      <c r="H27" s="387">
        <f>SUMIF(99:99,G28,100:100)-SUMIF(99:99,C28,100:100)+100</f>
        <v>100</v>
      </c>
      <c r="I27" s="391"/>
      <c r="J27" s="387">
        <f>SUMIF(99:99,I28,100:100)-SUMIF(99:99,C28,100:100)+100</f>
        <v>100</v>
      </c>
      <c r="K27" s="591"/>
      <c r="L27" s="2481"/>
      <c r="M27" s="2432"/>
      <c r="N27" s="2432"/>
      <c r="O27" s="2533"/>
      <c r="P27" s="3439"/>
      <c r="Q27" s="528" t="str">
        <f t="shared" si="8"/>
        <v>公共配套设施</v>
      </c>
      <c r="R27" s="661" t="s">
        <v>14</v>
      </c>
      <c r="S27" s="662">
        <f>F27</f>
        <v>100</v>
      </c>
      <c r="T27" s="661" t="s">
        <v>14</v>
      </c>
      <c r="U27" s="662">
        <f>H27</f>
        <v>100</v>
      </c>
      <c r="V27" s="661" t="s">
        <v>14</v>
      </c>
      <c r="W27" s="662">
        <f>J27</f>
        <v>100</v>
      </c>
      <c r="X27" s="663"/>
      <c r="Y27" s="3439"/>
      <c r="Z27" s="49" t="str">
        <f>Q27</f>
        <v>公共配套设施</v>
      </c>
      <c r="AA27" s="1259">
        <f>D27/F27</f>
        <v>1</v>
      </c>
      <c r="AB27" s="1259">
        <f>D27/H27</f>
        <v>1</v>
      </c>
      <c r="AC27" s="1259">
        <f>D27/J27</f>
        <v>1</v>
      </c>
    </row>
    <row r="28" spans="1:29" s="100" customFormat="1" ht="15">
      <c r="A28" s="441"/>
      <c r="B28" s="393"/>
      <c r="C28" s="1819"/>
      <c r="D28" s="385"/>
      <c r="E28" s="1752"/>
      <c r="F28" s="385"/>
      <c r="G28" s="1752"/>
      <c r="H28" s="385"/>
      <c r="I28" s="384"/>
      <c r="J28" s="385"/>
      <c r="K28" s="590"/>
      <c r="L28" s="2481"/>
      <c r="M28" s="2432"/>
      <c r="N28" s="2432"/>
      <c r="O28" s="2533"/>
      <c r="P28" s="3439"/>
      <c r="Q28" s="528"/>
      <c r="R28" s="661"/>
      <c r="S28" s="662"/>
      <c r="T28" s="661"/>
      <c r="U28" s="662"/>
      <c r="V28" s="661"/>
      <c r="W28" s="662"/>
      <c r="X28" s="663"/>
      <c r="Y28" s="3439"/>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1"/>
      <c r="M29" s="2432"/>
      <c r="N29" s="2432"/>
      <c r="O29" s="2533"/>
      <c r="P29" s="3439"/>
      <c r="Q29" s="528" t="str">
        <f t="shared" ref="Q29" si="9">B29</f>
        <v>基础设施水平</v>
      </c>
      <c r="R29" s="661" t="s">
        <v>14</v>
      </c>
      <c r="S29" s="662">
        <f>F29</f>
        <v>100</v>
      </c>
      <c r="T29" s="661" t="s">
        <v>14</v>
      </c>
      <c r="U29" s="662">
        <f>H29</f>
        <v>100</v>
      </c>
      <c r="V29" s="661" t="s">
        <v>14</v>
      </c>
      <c r="W29" s="662">
        <f>J29</f>
        <v>100</v>
      </c>
      <c r="X29" s="663"/>
      <c r="Y29" s="3439"/>
      <c r="Z29" s="49" t="str">
        <f>Q29</f>
        <v>基础设施水平</v>
      </c>
      <c r="AA29" s="1259">
        <f>D29/F29</f>
        <v>1</v>
      </c>
      <c r="AB29" s="1259">
        <f>D29/H29</f>
        <v>1</v>
      </c>
      <c r="AC29" s="1259">
        <f>D29/J29</f>
        <v>1</v>
      </c>
    </row>
    <row r="30" spans="1:29" s="100" customFormat="1" ht="15">
      <c r="A30" s="441"/>
      <c r="B30" s="393"/>
      <c r="C30" s="1819"/>
      <c r="D30" s="385"/>
      <c r="E30" s="1820"/>
      <c r="F30" s="385"/>
      <c r="G30" s="1820"/>
      <c r="H30" s="385"/>
      <c r="I30" s="1820"/>
      <c r="J30" s="385"/>
      <c r="K30" s="590"/>
      <c r="L30" s="2481"/>
      <c r="M30" s="2432"/>
      <c r="N30" s="2432"/>
      <c r="O30" s="2533"/>
      <c r="P30" s="3439"/>
      <c r="Q30" s="528"/>
      <c r="R30" s="661"/>
      <c r="S30" s="662"/>
      <c r="T30" s="661"/>
      <c r="U30" s="662"/>
      <c r="V30" s="661"/>
      <c r="W30" s="662"/>
      <c r="X30" s="663"/>
      <c r="Y30" s="3439"/>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9"/>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39"/>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9"/>
      <c r="Q32" s="1258" t="str">
        <f t="shared" si="8"/>
        <v>毗邻道路的类型与等级</v>
      </c>
      <c r="R32" s="664" t="s">
        <v>14</v>
      </c>
      <c r="S32" s="665">
        <f t="shared" si="10"/>
        <v>100</v>
      </c>
      <c r="T32" s="664" t="s">
        <v>14</v>
      </c>
      <c r="U32" s="665">
        <f t="shared" si="11"/>
        <v>100</v>
      </c>
      <c r="V32" s="664" t="s">
        <v>14</v>
      </c>
      <c r="W32" s="665">
        <f t="shared" si="12"/>
        <v>100</v>
      </c>
      <c r="X32" s="1260"/>
      <c r="Y32" s="3439"/>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39"/>
      <c r="Q33" s="1258"/>
      <c r="R33" s="664"/>
      <c r="S33" s="665"/>
      <c r="T33" s="664"/>
      <c r="U33" s="665"/>
      <c r="V33" s="664"/>
      <c r="W33" s="665"/>
      <c r="X33" s="1260"/>
      <c r="Y33" s="3439"/>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39"/>
      <c r="Q34" s="1258" t="str">
        <f t="shared" si="8"/>
        <v>土地级别</v>
      </c>
      <c r="R34" s="664" t="s">
        <v>14</v>
      </c>
      <c r="S34" s="665">
        <f t="shared" si="10"/>
        <v>100</v>
      </c>
      <c r="T34" s="664" t="s">
        <v>14</v>
      </c>
      <c r="U34" s="665">
        <f t="shared" si="11"/>
        <v>100</v>
      </c>
      <c r="V34" s="664" t="s">
        <v>14</v>
      </c>
      <c r="W34" s="665">
        <f t="shared" si="12"/>
        <v>100</v>
      </c>
      <c r="X34" s="1260"/>
      <c r="Y34" s="3439"/>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9"/>
      <c r="Q35" s="1258">
        <f t="shared" si="8"/>
        <v>111</v>
      </c>
      <c r="R35" s="664" t="s">
        <v>14</v>
      </c>
      <c r="S35" s="665">
        <f t="shared" si="10"/>
        <v>100</v>
      </c>
      <c r="T35" s="664" t="s">
        <v>14</v>
      </c>
      <c r="U35" s="665">
        <f t="shared" si="11"/>
        <v>100</v>
      </c>
      <c r="V35" s="664" t="s">
        <v>14</v>
      </c>
      <c r="W35" s="665">
        <f t="shared" si="12"/>
        <v>100</v>
      </c>
      <c r="X35" s="1260"/>
      <c r="Y35" s="3439"/>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40" t="s">
        <v>1696</v>
      </c>
      <c r="Q36" s="1258">
        <f t="shared" si="8"/>
        <v>111</v>
      </c>
      <c r="R36" s="664" t="s">
        <v>14</v>
      </c>
      <c r="S36" s="665">
        <f t="shared" si="10"/>
        <v>100</v>
      </c>
      <c r="T36" s="664" t="s">
        <v>14</v>
      </c>
      <c r="U36" s="665">
        <f t="shared" si="11"/>
        <v>100</v>
      </c>
      <c r="V36" s="664" t="s">
        <v>14</v>
      </c>
      <c r="W36" s="665">
        <f t="shared" si="12"/>
        <v>100</v>
      </c>
      <c r="X36" s="1260"/>
      <c r="Y36" s="3441" t="s">
        <v>1696</v>
      </c>
      <c r="Z36" s="1259">
        <f t="shared" si="13"/>
        <v>111</v>
      </c>
      <c r="AA36" s="1259">
        <f t="shared" si="3"/>
        <v>1</v>
      </c>
      <c r="AB36" s="1259">
        <f t="shared" si="4"/>
        <v>1</v>
      </c>
      <c r="AC36" s="1259">
        <f t="shared" si="5"/>
        <v>1</v>
      </c>
    </row>
    <row r="37" spans="1:29" s="406" customFormat="1" ht="15.6"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41"/>
      <c r="Q37" s="1258">
        <f t="shared" si="8"/>
        <v>111</v>
      </c>
      <c r="R37" s="666" t="s">
        <v>14</v>
      </c>
      <c r="S37" s="667">
        <f t="shared" si="10"/>
        <v>100</v>
      </c>
      <c r="T37" s="666" t="s">
        <v>14</v>
      </c>
      <c r="U37" s="667">
        <f t="shared" si="11"/>
        <v>100</v>
      </c>
      <c r="V37" s="666" t="s">
        <v>14</v>
      </c>
      <c r="W37" s="667">
        <f t="shared" si="12"/>
        <v>100</v>
      </c>
      <c r="X37" s="668"/>
      <c r="Y37" s="3441"/>
      <c r="Z37" s="669">
        <f t="shared" si="13"/>
        <v>111</v>
      </c>
      <c r="AA37" s="1259">
        <f t="shared" si="3"/>
        <v>1</v>
      </c>
      <c r="AB37" s="1259">
        <f t="shared" si="4"/>
        <v>1</v>
      </c>
      <c r="AC37" s="1259">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5"/>
      <c r="M38" s="2480"/>
      <c r="N38" s="2480"/>
      <c r="O38" s="2535"/>
      <c r="P38" s="3441"/>
      <c r="Q38" s="1258" t="str">
        <f>B38</f>
        <v>宗地面积</v>
      </c>
      <c r="R38" s="664" t="s">
        <v>14</v>
      </c>
      <c r="S38" s="665" t="e">
        <f t="shared" si="10"/>
        <v>#N/A</v>
      </c>
      <c r="T38" s="664" t="s">
        <v>14</v>
      </c>
      <c r="U38" s="665" t="e">
        <f t="shared" si="11"/>
        <v>#N/A</v>
      </c>
      <c r="V38" s="664" t="s">
        <v>14</v>
      </c>
      <c r="W38" s="665" t="e">
        <f t="shared" si="12"/>
        <v>#N/A</v>
      </c>
      <c r="X38" s="1260"/>
      <c r="Y38" s="3441"/>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5"/>
      <c r="M39" s="2480"/>
      <c r="N39" s="2480"/>
      <c r="O39" s="2535"/>
      <c r="P39" s="3441"/>
      <c r="Q39" s="1258" t="str">
        <f t="shared" ref="Q39:Q45" si="14">B39</f>
        <v>宗地形状</v>
      </c>
      <c r="R39" s="664" t="s">
        <v>14</v>
      </c>
      <c r="S39" s="665">
        <f t="shared" si="10"/>
        <v>100</v>
      </c>
      <c r="T39" s="664" t="s">
        <v>14</v>
      </c>
      <c r="U39" s="665">
        <f t="shared" si="11"/>
        <v>100</v>
      </c>
      <c r="V39" s="664" t="s">
        <v>14</v>
      </c>
      <c r="W39" s="665">
        <f t="shared" si="12"/>
        <v>100</v>
      </c>
      <c r="X39" s="1260"/>
      <c r="Y39" s="3441"/>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41"/>
      <c r="Q40" s="1258" t="str">
        <f t="shared" si="14"/>
        <v>临街宽度及深度</v>
      </c>
      <c r="R40" s="664" t="s">
        <v>14</v>
      </c>
      <c r="S40" s="665">
        <f t="shared" si="10"/>
        <v>100</v>
      </c>
      <c r="T40" s="664" t="s">
        <v>14</v>
      </c>
      <c r="U40" s="665">
        <f t="shared" si="11"/>
        <v>100</v>
      </c>
      <c r="V40" s="664" t="s">
        <v>14</v>
      </c>
      <c r="W40" s="665">
        <f t="shared" si="12"/>
        <v>100</v>
      </c>
      <c r="X40" s="1260"/>
      <c r="Y40" s="3441"/>
      <c r="Z40" s="1259" t="str">
        <f t="shared" si="13"/>
        <v>临街宽度及深度</v>
      </c>
      <c r="AA40" s="1259">
        <f t="shared" si="3"/>
        <v>1</v>
      </c>
      <c r="AB40" s="1259">
        <f t="shared" si="4"/>
        <v>1</v>
      </c>
      <c r="AC40" s="1259">
        <f t="shared" si="5"/>
        <v>1</v>
      </c>
    </row>
    <row r="41" spans="1:29" s="100" customFormat="1" ht="15">
      <c r="A41" s="408"/>
      <c r="B41" s="362" t="s">
        <v>1877</v>
      </c>
      <c r="C41" s="1821"/>
      <c r="D41" s="117">
        <v>100</v>
      </c>
      <c r="E41" s="1821"/>
      <c r="F41" s="372">
        <f>SUMIF(122:122,E41,123:123)-SUMIF(122:122,C41,123:123)+100</f>
        <v>100</v>
      </c>
      <c r="G41" s="1821"/>
      <c r="H41" s="372">
        <f>SUMIF(122:122,G41,123:123)-SUMIF(122:122,C41,123:123)+100</f>
        <v>100</v>
      </c>
      <c r="I41" s="1821"/>
      <c r="J41" s="372">
        <f>SUMIF(122:122,I41,123:123)-SUMIF(122:122,C41,123:123)+100</f>
        <v>100</v>
      </c>
      <c r="K41" s="536"/>
      <c r="L41" s="2481"/>
      <c r="M41" s="2432"/>
      <c r="N41" s="2432"/>
      <c r="O41" s="2533"/>
      <c r="P41" s="3441"/>
      <c r="Q41" s="1258" t="str">
        <f t="shared" si="14"/>
        <v>宗地开发程度</v>
      </c>
      <c r="R41" s="661" t="s">
        <v>14</v>
      </c>
      <c r="S41" s="662">
        <f t="shared" si="10"/>
        <v>100</v>
      </c>
      <c r="T41" s="661" t="s">
        <v>14</v>
      </c>
      <c r="U41" s="662">
        <f t="shared" si="11"/>
        <v>100</v>
      </c>
      <c r="V41" s="661" t="s">
        <v>14</v>
      </c>
      <c r="W41" s="662">
        <f t="shared" si="12"/>
        <v>100</v>
      </c>
      <c r="X41" s="663"/>
      <c r="Y41" s="3441"/>
      <c r="Z41" s="49" t="str">
        <f t="shared" si="13"/>
        <v>宗地开发程度</v>
      </c>
      <c r="AA41" s="49">
        <f t="shared" si="3"/>
        <v>1</v>
      </c>
      <c r="AB41" s="49">
        <f t="shared" si="4"/>
        <v>1</v>
      </c>
      <c r="AC41" s="49">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41" t="s">
        <v>1696</v>
      </c>
      <c r="Q42" s="1258" t="str">
        <f t="shared" si="14"/>
        <v>工程地质条件</v>
      </c>
      <c r="R42" s="664" t="s">
        <v>14</v>
      </c>
      <c r="S42" s="665">
        <f t="shared" si="10"/>
        <v>100</v>
      </c>
      <c r="T42" s="664" t="s">
        <v>14</v>
      </c>
      <c r="U42" s="665">
        <f t="shared" si="11"/>
        <v>100</v>
      </c>
      <c r="V42" s="664" t="s">
        <v>14</v>
      </c>
      <c r="W42" s="665">
        <f t="shared" si="12"/>
        <v>100</v>
      </c>
      <c r="X42" s="1260"/>
      <c r="Y42" s="3441"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41"/>
      <c r="Q43" s="1258">
        <f t="shared" si="14"/>
        <v>111</v>
      </c>
      <c r="R43" s="664" t="s">
        <v>14</v>
      </c>
      <c r="S43" s="665">
        <f t="shared" si="10"/>
        <v>100</v>
      </c>
      <c r="T43" s="664" t="s">
        <v>14</v>
      </c>
      <c r="U43" s="665">
        <f t="shared" si="11"/>
        <v>100</v>
      </c>
      <c r="V43" s="664" t="s">
        <v>14</v>
      </c>
      <c r="W43" s="665">
        <f t="shared" si="12"/>
        <v>100</v>
      </c>
      <c r="X43" s="1260"/>
      <c r="Y43" s="3441"/>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41"/>
      <c r="Q44" s="1258">
        <f t="shared" si="14"/>
        <v>111</v>
      </c>
      <c r="R44" s="664" t="s">
        <v>14</v>
      </c>
      <c r="S44" s="665">
        <f t="shared" si="10"/>
        <v>100</v>
      </c>
      <c r="T44" s="664" t="s">
        <v>14</v>
      </c>
      <c r="U44" s="665">
        <f t="shared" si="11"/>
        <v>100</v>
      </c>
      <c r="V44" s="664" t="s">
        <v>14</v>
      </c>
      <c r="W44" s="665">
        <f t="shared" si="12"/>
        <v>100</v>
      </c>
      <c r="X44" s="1260"/>
      <c r="Y44" s="3441"/>
      <c r="Z44" s="1259">
        <f t="shared" si="13"/>
        <v>111</v>
      </c>
      <c r="AA44" s="1259">
        <f t="shared" si="3"/>
        <v>1</v>
      </c>
      <c r="AB44" s="1259">
        <f t="shared" si="4"/>
        <v>1</v>
      </c>
      <c r="AC44" s="1259">
        <f t="shared" si="5"/>
        <v>1</v>
      </c>
    </row>
    <row r="45" spans="1:29" s="406" customFormat="1" ht="15.6"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41"/>
      <c r="Q45" s="1258">
        <f t="shared" si="14"/>
        <v>111</v>
      </c>
      <c r="R45" s="666" t="s">
        <v>14</v>
      </c>
      <c r="S45" s="667">
        <f t="shared" si="10"/>
        <v>100</v>
      </c>
      <c r="T45" s="666" t="s">
        <v>14</v>
      </c>
      <c r="U45" s="667">
        <f t="shared" si="11"/>
        <v>100</v>
      </c>
      <c r="V45" s="666" t="s">
        <v>14</v>
      </c>
      <c r="W45" s="667">
        <f t="shared" si="12"/>
        <v>100</v>
      </c>
      <c r="X45" s="668"/>
      <c r="Y45" s="3441"/>
      <c r="Z45" s="669">
        <f t="shared" si="13"/>
        <v>111</v>
      </c>
      <c r="AA45" s="1259">
        <f t="shared" si="3"/>
        <v>1</v>
      </c>
      <c r="AB45" s="1259">
        <f t="shared" si="4"/>
        <v>1</v>
      </c>
      <c r="AC45" s="1259">
        <f t="shared" si="5"/>
        <v>1</v>
      </c>
    </row>
    <row r="46" spans="1:29" ht="14.4">
      <c r="A46" s="414" t="s">
        <v>1844</v>
      </c>
      <c r="B46" s="1823" t="s">
        <v>1879</v>
      </c>
      <c r="C46" s="600" t="s">
        <v>0</v>
      </c>
      <c r="D46" s="416"/>
      <c r="E46" s="417"/>
      <c r="F46" s="418"/>
      <c r="G46" s="419"/>
      <c r="H46" s="420"/>
      <c r="I46" s="417"/>
      <c r="J46" s="420"/>
      <c r="K46" s="671"/>
      <c r="L46" s="2487"/>
      <c r="M46" s="2480"/>
      <c r="N46" s="2480"/>
      <c r="O46" s="2480"/>
      <c r="P46" s="3437" t="str">
        <f>A46</f>
        <v>成交单价</v>
      </c>
      <c r="Q46" s="3437"/>
      <c r="R46" s="3433">
        <f>E46</f>
        <v>0</v>
      </c>
      <c r="S46" s="3433"/>
      <c r="T46" s="3433">
        <f>G46</f>
        <v>0</v>
      </c>
      <c r="U46" s="3433"/>
      <c r="V46" s="3433">
        <f>I46</f>
        <v>0</v>
      </c>
      <c r="W46" s="3433"/>
      <c r="X46" s="383"/>
      <c r="Y46" s="670"/>
      <c r="Z46" s="383"/>
      <c r="AA46" s="383"/>
      <c r="AB46" s="383"/>
      <c r="AC46" s="383"/>
    </row>
    <row r="47" spans="1:29" ht="15" thickBot="1">
      <c r="A47" s="421" t="s">
        <v>1793</v>
      </c>
      <c r="B47" s="601"/>
      <c r="C47" s="424" t="e">
        <f>R48</f>
        <v>#N/A</v>
      </c>
      <c r="D47" s="2134" t="s">
        <v>2138</v>
      </c>
      <c r="E47" s="424" t="e">
        <f>R47</f>
        <v>#N/A</v>
      </c>
      <c r="F47" s="2135"/>
      <c r="G47" s="423" t="e">
        <f>T47</f>
        <v>#N/A</v>
      </c>
      <c r="H47" s="2135"/>
      <c r="I47" s="424" t="e">
        <f>V47</f>
        <v>#N/A</v>
      </c>
      <c r="J47" s="2135"/>
      <c r="K47" s="2137">
        <f>F47+H47+J47</f>
        <v>0</v>
      </c>
      <c r="L47" s="2487"/>
      <c r="M47" s="2480"/>
      <c r="N47" s="2480"/>
      <c r="O47" s="2480"/>
      <c r="P47" s="3437" t="str">
        <f>A47</f>
        <v>比较价值（元/平方米）</v>
      </c>
      <c r="Q47" s="3437"/>
      <c r="R47" s="3444" t="e">
        <f>ROUND(PRODUCT(R46,AA7:AA45),0)</f>
        <v>#N/A</v>
      </c>
      <c r="S47" s="3444"/>
      <c r="T47" s="3444" t="e">
        <f>ROUND(PRODUCT(T46,AB7:AB45),0)</f>
        <v>#N/A</v>
      </c>
      <c r="U47" s="3444"/>
      <c r="V47" s="3444" t="e">
        <f>ROUND(PRODUCT(V46,AC7:AC45),0)</f>
        <v>#N/A</v>
      </c>
      <c r="W47" s="3444"/>
      <c r="X47" s="383"/>
      <c r="Y47" s="383"/>
      <c r="Z47" s="383"/>
      <c r="AA47" s="383"/>
      <c r="AB47" s="383"/>
      <c r="AC47" s="383"/>
    </row>
    <row r="48" spans="1:29" ht="15" thickBot="1">
      <c r="A48" s="425" t="s">
        <v>1880</v>
      </c>
      <c r="B48" s="426"/>
      <c r="C48" s="427" t="e">
        <f>R48</f>
        <v>#N/A</v>
      </c>
      <c r="D48" s="427"/>
      <c r="E48" s="427"/>
      <c r="F48" s="427"/>
      <c r="G48" s="427"/>
      <c r="H48" s="427"/>
      <c r="I48" s="427"/>
      <c r="J48" s="427"/>
      <c r="K48" s="672"/>
      <c r="L48" s="2487"/>
      <c r="M48" s="2480"/>
      <c r="N48" s="2480"/>
      <c r="O48" s="2480"/>
      <c r="P48" s="3445" t="str">
        <f>A48</f>
        <v>估价对象XX用房的比较价值（楼面单价，元/平方米）</v>
      </c>
      <c r="Q48" s="3446"/>
      <c r="R48" s="3447" t="e">
        <f>ROUND(IF(D47="简单平均",AVERAGE(R47:W47),R47*F47+T47*H47+V47*J47),0)</f>
        <v>#N/A</v>
      </c>
      <c r="S48" s="3447"/>
      <c r="T48" s="3447"/>
      <c r="U48" s="3447"/>
      <c r="V48" s="3447"/>
      <c r="W48" s="3447"/>
      <c r="X48" s="383"/>
      <c r="Y48" s="383"/>
      <c r="Z48" s="383"/>
      <c r="AA48" s="383"/>
      <c r="AB48" s="383"/>
      <c r="AC48" s="383"/>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t="e">
        <f>IF(E46&lt;E47,E47/E46-1,E46/E47-1)</f>
        <v>#N/A</v>
      </c>
      <c r="F51" s="433" t="e">
        <f>IF(OR(E51&gt;=0.3,E51&lt;=-0.3),"超过30%","")</f>
        <v>#N/A</v>
      </c>
      <c r="G51" s="432" t="e">
        <f>IF(G46&lt;G47,G47/G46-1,G46/G47-1)</f>
        <v>#N/A</v>
      </c>
      <c r="H51" s="433" t="e">
        <f>IF(OR(G51&gt;=0.3,G51&lt;=-0.3),"超过30%","")</f>
        <v>#N/A</v>
      </c>
      <c r="I51" s="432" t="e">
        <f>IF(I46&lt;I47,I47/I46-1,I46/I47-1)</f>
        <v>#N/A</v>
      </c>
      <c r="J51" s="433" t="e">
        <f>IF(OR(I51&gt;=0.3,I51&lt;=-0.3),"超过30%","")</f>
        <v>#N/A</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t="e">
        <f>IF(E47&lt;G47,G47/E47-1,E47/G47-1)</f>
        <v>#N/A</v>
      </c>
      <c r="F52" s="433" t="e">
        <f>IF(OR(E52&gt;=0.2,E52&lt;=-0.2),"超过20%","")</f>
        <v>#N/A</v>
      </c>
      <c r="G52" s="432" t="e">
        <f>IF(G47&lt;I47,I47/G47-1,G47/I47-1)</f>
        <v>#N/A</v>
      </c>
      <c r="H52" s="433" t="e">
        <f>IF(OR(G52&gt;=0.2,G52&lt;=-0.2),"超过20%","")</f>
        <v>#N/A</v>
      </c>
      <c r="I52" s="432" t="e">
        <f>IF(I47&lt;E47,E47/I47-1,I47/E47-1)</f>
        <v>#N/A</v>
      </c>
      <c r="J52" s="433" t="e">
        <f>IF(OR(I52&gt;=0.2,I52&lt;=-0.2),"超过20%","")</f>
        <v>#N/A</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4.4"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9" t="s">
        <v>1887</v>
      </c>
      <c r="H55" s="3442"/>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t="e">
        <f>C48</f>
        <v>#N/A</v>
      </c>
      <c r="C56" s="608">
        <v>1</v>
      </c>
      <c r="D56" s="885">
        <v>1</v>
      </c>
      <c r="E56" s="608">
        <f>'数据-汇总表'!E8+'数据-汇总表'!E9</f>
        <v>22498.01</v>
      </c>
      <c r="F56" s="828" t="e">
        <f t="shared" ref="F56:F64" si="15">ROUND(B56*E56/10000,0)</f>
        <v>#N/A</v>
      </c>
      <c r="G56" s="3443"/>
      <c r="H56" s="3437"/>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t="e">
        <f>ROUND($C$48*C57*D57,0)</f>
        <v>#N/A</v>
      </c>
      <c r="C57" s="161">
        <f t="shared" ref="C57:C64" si="16">IF($C$55="北京市系数",I57,J57)</f>
        <v>0</v>
      </c>
      <c r="D57" s="886">
        <v>0.25</v>
      </c>
      <c r="E57" s="612"/>
      <c r="F57" s="828" t="e">
        <f t="shared" si="15"/>
        <v>#N/A</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t="e">
        <f t="shared" ref="B58:B64" si="17">ROUND($C$48*C58*D58,0)</f>
        <v>#N/A</v>
      </c>
      <c r="C58" s="161">
        <f t="shared" si="16"/>
        <v>0</v>
      </c>
      <c r="D58" s="886">
        <v>0.25</v>
      </c>
      <c r="E58" s="612"/>
      <c r="F58" s="828" t="e">
        <f t="shared" si="15"/>
        <v>#N/A</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t="e">
        <f t="shared" si="17"/>
        <v>#N/A</v>
      </c>
      <c r="C59" s="161">
        <f t="shared" si="16"/>
        <v>0</v>
      </c>
      <c r="D59" s="886">
        <v>0.25</v>
      </c>
      <c r="E59" s="612"/>
      <c r="F59" s="828" t="e">
        <f t="shared" si="15"/>
        <v>#N/A</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t="e">
        <f t="shared" si="17"/>
        <v>#N/A</v>
      </c>
      <c r="C60" s="161">
        <f t="shared" si="16"/>
        <v>0</v>
      </c>
      <c r="D60" s="886">
        <v>0.25</v>
      </c>
      <c r="E60" s="207">
        <f>'数据-汇总表'!E11</f>
        <v>0</v>
      </c>
      <c r="F60" s="828" t="e">
        <f t="shared" si="15"/>
        <v>#N/A</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t="e">
        <f t="shared" si="17"/>
        <v>#N/A</v>
      </c>
      <c r="C61" s="161">
        <f t="shared" si="16"/>
        <v>0</v>
      </c>
      <c r="D61" s="886">
        <v>0.25</v>
      </c>
      <c r="E61" s="207">
        <f>'数据-汇总表'!E12</f>
        <v>1909.58</v>
      </c>
      <c r="F61" s="828" t="e">
        <f t="shared" si="15"/>
        <v>#N/A</v>
      </c>
      <c r="G61" s="834" t="s">
        <v>1898</v>
      </c>
      <c r="H61" s="829">
        <f>IF(G61="商业",项目基本情况!B37,IF(G61="办公",项目基本情况!C37,IF(G61="住宅",项目基本情况!D37,项目基本情况!E37)))</f>
        <v>0</v>
      </c>
      <c r="I61" s="833">
        <f>SUMIF(修正!A57:A68,H61,修正!F57:F68)</f>
        <v>0</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t="e">
        <f t="shared" si="17"/>
        <v>#N/A</v>
      </c>
      <c r="C62" s="161">
        <f t="shared" si="16"/>
        <v>0.15</v>
      </c>
      <c r="D62" s="886">
        <v>0.25</v>
      </c>
      <c r="E62" s="207">
        <f>'数据-汇总表'!E13</f>
        <v>11415.02</v>
      </c>
      <c r="F62" s="828" t="e">
        <f t="shared" si="15"/>
        <v>#N/A</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t="e">
        <f t="shared" si="17"/>
        <v>#N/A</v>
      </c>
      <c r="C63" s="161">
        <f t="shared" si="16"/>
        <v>0</v>
      </c>
      <c r="D63" s="886">
        <v>0.25</v>
      </c>
      <c r="E63" s="207">
        <f>'数据-汇总表'!E14</f>
        <v>0</v>
      </c>
      <c r="F63" s="828" t="e">
        <f t="shared" si="15"/>
        <v>#N/A</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4.4" thickBot="1">
      <c r="A64" s="611" t="s">
        <v>1902</v>
      </c>
      <c r="B64" s="208" t="e">
        <f t="shared" si="17"/>
        <v>#N/A</v>
      </c>
      <c r="C64" s="161">
        <f t="shared" si="16"/>
        <v>0</v>
      </c>
      <c r="D64" s="886">
        <v>0.25</v>
      </c>
      <c r="E64" s="207">
        <f>'数据-汇总表'!E15</f>
        <v>0</v>
      </c>
      <c r="F64" s="828" t="e">
        <f t="shared" si="15"/>
        <v>#N/A</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thickBot="1">
      <c r="A65" s="613" t="s">
        <v>1903</v>
      </c>
      <c r="B65" s="614" t="s">
        <v>22</v>
      </c>
      <c r="C65" s="614" t="s">
        <v>23</v>
      </c>
      <c r="D65" s="614" t="s">
        <v>392</v>
      </c>
      <c r="E65" s="614">
        <f>IF(B46="楼面地价",SUM(E56:E64),'数据-汇总表'!D3)</f>
        <v>35822.61</v>
      </c>
      <c r="F65" s="615" t="e">
        <f>IF(B46="楼面地价",SUM(F56:F64),ROUND(C48*E65/10000,0))</f>
        <v>#N/A</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2.2" thickBot="1">
      <c r="A68" s="655" t="s">
        <v>1798</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4.4">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501"/>
      <c r="Q70" s="2432"/>
      <c r="R70" s="2432"/>
      <c r="S70" s="2432"/>
      <c r="T70" s="2432"/>
      <c r="U70" s="2432"/>
      <c r="V70" s="2432"/>
      <c r="W70" s="2432"/>
      <c r="X70" s="2432"/>
      <c r="Y70" s="2432"/>
      <c r="Z70" s="2432"/>
      <c r="AA70" s="2432"/>
      <c r="AB70" s="2432"/>
      <c r="AC70" s="2432"/>
    </row>
    <row r="71" spans="1:29" s="100" customFormat="1" ht="15" thickBot="1">
      <c r="A71" s="447" t="s">
        <v>1716</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4.4">
      <c r="A72" s="453" t="s">
        <v>1681</v>
      </c>
      <c r="B72" s="442"/>
      <c r="C72" s="454" t="s">
        <v>1776</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4.4"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ht="14.4">
      <c r="A74" s="377" t="s">
        <v>1719</v>
      </c>
      <c r="B74" s="458" t="s">
        <v>1685</v>
      </c>
      <c r="C74" s="460"/>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4.4" thickBot="1">
      <c r="A75" s="365"/>
      <c r="B75" s="464"/>
      <c r="C75" s="465"/>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9.4"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4.4"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c r="A79" s="365"/>
      <c r="B79" s="477"/>
      <c r="C79" s="478"/>
      <c r="D79" s="478"/>
      <c r="E79" s="478"/>
      <c r="F79" s="478"/>
      <c r="G79" s="478"/>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5"/>
      <c r="O80" s="2515"/>
      <c r="P80" s="2513"/>
      <c r="Q80" s="2501"/>
      <c r="R80" s="2480"/>
      <c r="S80" s="2480"/>
      <c r="T80" s="2480"/>
      <c r="U80" s="2480"/>
      <c r="V80" s="2480"/>
      <c r="W80" s="2480"/>
      <c r="X80" s="2480"/>
      <c r="Y80" s="2480"/>
      <c r="Z80" s="2480"/>
      <c r="AA80" s="2480"/>
      <c r="AB80" s="2480"/>
      <c r="AC80" s="2480"/>
    </row>
    <row r="81" spans="1:29" s="406" customFormat="1" ht="14.4"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4.4"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4.4" thickTop="1">
      <c r="A83" s="482"/>
      <c r="B83" s="467">
        <f>B13</f>
        <v>111</v>
      </c>
      <c r="C83" s="483"/>
      <c r="D83" s="483"/>
      <c r="E83" s="483"/>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4.4" thickBot="1">
      <c r="A84" s="482"/>
      <c r="B84" s="472"/>
      <c r="C84" s="489"/>
      <c r="D84" s="489"/>
      <c r="E84" s="489"/>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4.4" thickTop="1">
      <c r="A85" s="482"/>
      <c r="B85" s="475">
        <f>B14</f>
        <v>111</v>
      </c>
      <c r="C85" s="30"/>
      <c r="D85" s="30"/>
      <c r="E85" s="30"/>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4.4"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ht="14.4">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29.4"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4.4" thickBot="1">
      <c r="A96" s="368"/>
      <c r="B96" s="472"/>
      <c r="C96" s="510">
        <v>100</v>
      </c>
      <c r="D96" s="473">
        <f>C96-$K23</f>
        <v>100</v>
      </c>
      <c r="E96" s="473">
        <f>D96-$K23</f>
        <v>100</v>
      </c>
      <c r="F96" s="473">
        <f>E96-$K23</f>
        <v>100</v>
      </c>
      <c r="G96" s="473">
        <f>F96-$K23</f>
        <v>100</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9.4"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4.4" thickBot="1">
      <c r="A98" s="368"/>
      <c r="B98" s="472"/>
      <c r="C98" s="473">
        <v>100</v>
      </c>
      <c r="D98" s="473">
        <f>C98-$K25</f>
        <v>100</v>
      </c>
      <c r="E98" s="473">
        <f>D98-$K25</f>
        <v>100</v>
      </c>
      <c r="F98" s="473">
        <f>E98-$K25</f>
        <v>100</v>
      </c>
      <c r="G98" s="473">
        <f>F98-$K25</f>
        <v>100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4.4"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4.4"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4.4"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4.4"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4.4"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5"/>
      <c r="B116" s="475"/>
      <c r="C116" s="6"/>
      <c r="D116" s="6"/>
      <c r="E116" s="6"/>
      <c r="F116" s="6"/>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4.4" thickBot="1">
      <c r="A117" s="365"/>
      <c r="B117" s="472"/>
      <c r="C117" s="499"/>
      <c r="D117" s="519"/>
      <c r="E117" s="519"/>
      <c r="F117" s="519"/>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483"/>
      <c r="D122" s="483"/>
      <c r="E122" s="483"/>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4.4"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4.4"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4.4"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4.4"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4.4"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0"/>
      <c r="D2" s="850"/>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4.4">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07"/>
      <c r="AC5" s="3407"/>
    </row>
    <row r="6" spans="1:29" ht="15" thickBot="1">
      <c r="A6" s="348"/>
      <c r="B6" s="349"/>
      <c r="C6" s="3501" t="s">
        <v>1919</v>
      </c>
      <c r="D6" s="3502"/>
      <c r="E6" s="3503" t="s">
        <v>1919</v>
      </c>
      <c r="F6" s="3504"/>
      <c r="G6" s="3501" t="s">
        <v>1919</v>
      </c>
      <c r="H6" s="3502"/>
      <c r="I6" s="3501" t="s">
        <v>1919</v>
      </c>
      <c r="J6" s="3502"/>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 thickBot="1">
      <c r="A7" s="350" t="s">
        <v>1679</v>
      </c>
      <c r="B7" s="351"/>
      <c r="C7" s="352">
        <f>'数据-取费表'!B2</f>
        <v>45029</v>
      </c>
      <c r="D7" s="353">
        <v>100</v>
      </c>
      <c r="E7" s="354"/>
      <c r="F7" s="355">
        <f>SUMIF(65:65,YEAR(E7)&amp;"-"&amp;INT((MONTH(E7)+2)/3),66:66)</f>
        <v>0</v>
      </c>
      <c r="G7" s="1815"/>
      <c r="H7" s="353">
        <f>SUMIF(65:65,YEAR(G7)&amp;"-"&amp;INT((MONTH(G7)+2)/3),66:66)</f>
        <v>0</v>
      </c>
      <c r="I7" s="1815"/>
      <c r="J7" s="353">
        <f>SUMIF(65:65,YEAR(I7)&amp;"-"&amp;INT((MONTH(I7)+2)/3),66:66)</f>
        <v>0</v>
      </c>
      <c r="K7" s="37"/>
      <c r="L7" s="2481"/>
      <c r="M7" s="2432"/>
      <c r="N7" s="2432"/>
      <c r="O7" s="2432"/>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7"/>
      <c r="L8" s="2481"/>
      <c r="M8" s="2432"/>
      <c r="N8" s="2432"/>
      <c r="O8" s="2432"/>
      <c r="P8" s="3434" t="s">
        <v>1683</v>
      </c>
      <c r="Q8" s="3436"/>
      <c r="R8" s="661" t="s">
        <v>14</v>
      </c>
      <c r="S8" s="662">
        <f t="shared" si="0"/>
        <v>0</v>
      </c>
      <c r="T8" s="661" t="s">
        <v>14</v>
      </c>
      <c r="U8" s="662">
        <f t="shared" si="1"/>
        <v>0</v>
      </c>
      <c r="V8" s="661" t="s">
        <v>14</v>
      </c>
      <c r="W8" s="662">
        <f t="shared" si="2"/>
        <v>0</v>
      </c>
      <c r="X8" s="663"/>
      <c r="Y8" s="3434" t="s">
        <v>1683</v>
      </c>
      <c r="Z8" s="3436"/>
      <c r="AA8" s="49" t="e">
        <f t="shared" ref="AA8:AA40" si="3">D8/F8</f>
        <v>#DIV/0!</v>
      </c>
      <c r="AB8" s="49" t="e">
        <f t="shared" ref="AB8:AB40" si="4">D8/H8</f>
        <v>#DIV/0!</v>
      </c>
      <c r="AC8" s="49" t="e">
        <f t="shared" ref="AC8:AC40" si="5">D8/J8</f>
        <v>#DIV/0!</v>
      </c>
    </row>
    <row r="9" spans="1:29" s="100" customFormat="1" ht="14.4">
      <c r="A9" s="357" t="s">
        <v>1684</v>
      </c>
      <c r="B9" s="59" t="s">
        <v>1685</v>
      </c>
      <c r="C9" s="1818"/>
      <c r="D9" s="58">
        <v>100</v>
      </c>
      <c r="E9" s="1818"/>
      <c r="F9" s="58">
        <f>SUMIF(70:70,E9,71:71)-SUMIF(70:70,C9,71:71)+100</f>
        <v>100</v>
      </c>
      <c r="G9" s="1818"/>
      <c r="H9" s="58">
        <f>SUMIF(70:70,G9,71:71)-SUMIF(70:70,C9,71:71)+100</f>
        <v>100</v>
      </c>
      <c r="I9" s="1818"/>
      <c r="J9" s="58">
        <f>SUMIF(70:70,I9,71:71)-SUMIF(70:70,C9,71:71)+100</f>
        <v>100</v>
      </c>
      <c r="K9" s="37"/>
      <c r="L9" s="2481"/>
      <c r="M9" s="2432"/>
      <c r="N9" s="2432"/>
      <c r="O9" s="2533"/>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8.8">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37"/>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2"/>
      <c r="N12" s="2432"/>
      <c r="O12" s="2533"/>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6"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69">
      <c r="A15" s="377" t="s">
        <v>1690</v>
      </c>
      <c r="B15" s="552" t="s">
        <v>1920</v>
      </c>
      <c r="C15" s="1812"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38" t="s">
        <v>1691</v>
      </c>
      <c r="Q15" s="1258" t="str">
        <f t="shared" si="6"/>
        <v>产业集聚程度</v>
      </c>
      <c r="R15" s="664" t="s">
        <v>14</v>
      </c>
      <c r="S15" s="665">
        <f t="shared" si="0"/>
        <v>100</v>
      </c>
      <c r="T15" s="664" t="s">
        <v>14</v>
      </c>
      <c r="U15" s="665">
        <f t="shared" si="1"/>
        <v>100</v>
      </c>
      <c r="V15" s="664" t="s">
        <v>14</v>
      </c>
      <c r="W15" s="665">
        <f t="shared" si="2"/>
        <v>100</v>
      </c>
      <c r="X15" s="1260"/>
      <c r="Y15" s="3438"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96.6">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39"/>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28.8">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39"/>
      <c r="Q19" s="1258" t="str">
        <f t="shared" ref="Q19:Q33" si="8">B19</f>
        <v>区域土地利用方向</v>
      </c>
      <c r="R19" s="664" t="s">
        <v>14</v>
      </c>
      <c r="S19" s="665">
        <f>F19</f>
        <v>100</v>
      </c>
      <c r="T19" s="664" t="s">
        <v>14</v>
      </c>
      <c r="U19" s="665">
        <f>H19</f>
        <v>100</v>
      </c>
      <c r="V19" s="664" t="s">
        <v>14</v>
      </c>
      <c r="W19" s="665">
        <f>J19</f>
        <v>100</v>
      </c>
      <c r="X19" s="1260"/>
      <c r="Y19" s="3439"/>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3"/>
      <c r="L20" s="2485"/>
      <c r="M20" s="2480"/>
      <c r="N20" s="2480"/>
      <c r="O20" s="2535"/>
      <c r="P20" s="3439"/>
      <c r="Q20" s="1258"/>
      <c r="R20" s="664"/>
      <c r="S20" s="665"/>
      <c r="T20" s="664"/>
      <c r="U20" s="665"/>
      <c r="V20" s="664"/>
      <c r="W20" s="665"/>
      <c r="X20" s="1260"/>
      <c r="Y20" s="3439"/>
      <c r="Z20" s="1259"/>
      <c r="AA20" s="1259"/>
      <c r="AB20" s="1259"/>
      <c r="AC20" s="1259"/>
    </row>
    <row r="21" spans="1:29" ht="82.8">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39"/>
      <c r="Q21" s="1258" t="str">
        <f t="shared" si="8"/>
        <v>环境状况</v>
      </c>
      <c r="R21" s="664" t="s">
        <v>14</v>
      </c>
      <c r="S21" s="665">
        <f>F21</f>
        <v>100</v>
      </c>
      <c r="T21" s="664" t="s">
        <v>14</v>
      </c>
      <c r="U21" s="665">
        <f>H21</f>
        <v>100</v>
      </c>
      <c r="V21" s="664" t="s">
        <v>14</v>
      </c>
      <c r="W21" s="665">
        <f>J21</f>
        <v>100</v>
      </c>
      <c r="X21" s="1260"/>
      <c r="Y21" s="3439"/>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s="100" customFormat="1" ht="41.4">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2"/>
      <c r="N23" s="2432"/>
      <c r="O23" s="2533"/>
      <c r="P23" s="3439"/>
      <c r="Q23" s="528" t="str">
        <f t="shared" si="8"/>
        <v>公共配套设施</v>
      </c>
      <c r="R23" s="661" t="s">
        <v>14</v>
      </c>
      <c r="S23" s="662">
        <f>F23</f>
        <v>100</v>
      </c>
      <c r="T23" s="661" t="s">
        <v>14</v>
      </c>
      <c r="U23" s="662">
        <f>H23</f>
        <v>100</v>
      </c>
      <c r="V23" s="661" t="s">
        <v>14</v>
      </c>
      <c r="W23" s="662">
        <f>J23</f>
        <v>100</v>
      </c>
      <c r="X23" s="663"/>
      <c r="Y23" s="3439"/>
      <c r="Z23" s="49" t="str">
        <f>Q23</f>
        <v>公共配套设施</v>
      </c>
      <c r="AA23" s="1259">
        <f>D23/F23</f>
        <v>1</v>
      </c>
      <c r="AB23" s="1259">
        <f>D23/H23</f>
        <v>1</v>
      </c>
      <c r="AC23" s="1259">
        <f>D23/J23</f>
        <v>1</v>
      </c>
    </row>
    <row r="24" spans="1:29" s="100" customFormat="1" ht="15">
      <c r="A24" s="441"/>
      <c r="B24" s="399"/>
      <c r="C24" s="1819"/>
      <c r="D24" s="385"/>
      <c r="E24" s="1752"/>
      <c r="F24" s="385"/>
      <c r="G24" s="1752"/>
      <c r="H24" s="385"/>
      <c r="I24" s="384"/>
      <c r="J24" s="385"/>
      <c r="K24" s="590"/>
      <c r="L24" s="2481"/>
      <c r="M24" s="2432"/>
      <c r="N24" s="2432"/>
      <c r="O24" s="2533"/>
      <c r="P24" s="3439"/>
      <c r="Q24" s="528"/>
      <c r="R24" s="661"/>
      <c r="S24" s="662"/>
      <c r="T24" s="661"/>
      <c r="U24" s="662"/>
      <c r="V24" s="661"/>
      <c r="W24" s="662"/>
      <c r="X24" s="663"/>
      <c r="Y24" s="3439"/>
      <c r="Z24" s="49"/>
      <c r="AA24" s="49">
        <v>1</v>
      </c>
      <c r="AB24" s="49">
        <v>1</v>
      </c>
      <c r="AC24" s="49">
        <v>1</v>
      </c>
    </row>
    <row r="25" spans="1:29" s="100" customFormat="1" ht="41.4">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2"/>
      <c r="N25" s="2432"/>
      <c r="O25" s="2533"/>
      <c r="P25" s="3439"/>
      <c r="Q25" s="528" t="str">
        <f t="shared" ref="Q25" si="9">B25</f>
        <v>基础设施水平</v>
      </c>
      <c r="R25" s="661" t="s">
        <v>14</v>
      </c>
      <c r="S25" s="662">
        <f>F25</f>
        <v>100</v>
      </c>
      <c r="T25" s="661" t="s">
        <v>14</v>
      </c>
      <c r="U25" s="662">
        <f>H25</f>
        <v>100</v>
      </c>
      <c r="V25" s="661" t="s">
        <v>14</v>
      </c>
      <c r="W25" s="662">
        <f>J25</f>
        <v>100</v>
      </c>
      <c r="X25" s="663"/>
      <c r="Y25" s="3439"/>
      <c r="Z25" s="49" t="str">
        <f>Q25</f>
        <v>基础设施水平</v>
      </c>
      <c r="AA25" s="1259">
        <f>D25/F25</f>
        <v>1</v>
      </c>
      <c r="AB25" s="1259">
        <f>D25/H25</f>
        <v>1</v>
      </c>
      <c r="AC25" s="1259">
        <f>D25/J25</f>
        <v>1</v>
      </c>
    </row>
    <row r="26" spans="1:29" s="100" customFormat="1" ht="15">
      <c r="A26" s="441"/>
      <c r="B26" s="399"/>
      <c r="C26" s="1819"/>
      <c r="D26" s="385"/>
      <c r="E26" s="1820"/>
      <c r="F26" s="385"/>
      <c r="G26" s="1820"/>
      <c r="H26" s="385"/>
      <c r="I26" s="1820"/>
      <c r="J26" s="385"/>
      <c r="K26" s="590"/>
      <c r="L26" s="2481"/>
      <c r="M26" s="2432"/>
      <c r="N26" s="2432"/>
      <c r="O26" s="2533"/>
      <c r="P26" s="3439"/>
      <c r="Q26" s="528"/>
      <c r="R26" s="661"/>
      <c r="S26" s="662"/>
      <c r="T26" s="661"/>
      <c r="U26" s="662"/>
      <c r="V26" s="661"/>
      <c r="W26" s="662"/>
      <c r="X26" s="663"/>
      <c r="Y26" s="3439"/>
      <c r="Z26" s="49"/>
      <c r="AA26" s="49">
        <v>1</v>
      </c>
      <c r="AB26" s="49">
        <v>1</v>
      </c>
      <c r="AC26" s="49">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39"/>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39"/>
      <c r="Z27" s="1259" t="str">
        <f t="shared" ref="Z27:Z40" si="13">Q27</f>
        <v>临街状况</v>
      </c>
      <c r="AA27" s="1259">
        <f t="shared" si="3"/>
        <v>1</v>
      </c>
      <c r="AB27" s="1259">
        <f t="shared" si="4"/>
        <v>1</v>
      </c>
      <c r="AC27" s="1259">
        <f t="shared" si="5"/>
        <v>1</v>
      </c>
    </row>
    <row r="28" spans="1:29" ht="28.8">
      <c r="A28" s="365"/>
      <c r="B28" s="555" t="s">
        <v>1815</v>
      </c>
      <c r="C28" s="1831">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39"/>
      <c r="Q28" s="1258" t="str">
        <f t="shared" si="8"/>
        <v>毗邻道路的类型与等级</v>
      </c>
      <c r="R28" s="664" t="s">
        <v>14</v>
      </c>
      <c r="S28" s="665">
        <f t="shared" si="10"/>
        <v>100</v>
      </c>
      <c r="T28" s="664" t="s">
        <v>14</v>
      </c>
      <c r="U28" s="665">
        <f t="shared" si="11"/>
        <v>100</v>
      </c>
      <c r="V28" s="664" t="s">
        <v>14</v>
      </c>
      <c r="W28" s="665">
        <f t="shared" si="12"/>
        <v>100</v>
      </c>
      <c r="X28" s="1260"/>
      <c r="Y28" s="3439"/>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5"/>
      <c r="M29" s="2480"/>
      <c r="N29" s="2480"/>
      <c r="O29" s="2535"/>
      <c r="P29" s="3439"/>
      <c r="Q29" s="1258"/>
      <c r="R29" s="664"/>
      <c r="S29" s="665"/>
      <c r="T29" s="664"/>
      <c r="U29" s="665"/>
      <c r="V29" s="664"/>
      <c r="W29" s="665"/>
      <c r="X29" s="1260"/>
      <c r="Y29" s="3439"/>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39"/>
      <c r="Q30" s="1258" t="str">
        <f t="shared" si="8"/>
        <v>土地级别</v>
      </c>
      <c r="R30" s="664" t="s">
        <v>14</v>
      </c>
      <c r="S30" s="665">
        <f t="shared" si="10"/>
        <v>100</v>
      </c>
      <c r="T30" s="664" t="s">
        <v>14</v>
      </c>
      <c r="U30" s="665">
        <f t="shared" si="11"/>
        <v>100</v>
      </c>
      <c r="V30" s="664" t="s">
        <v>14</v>
      </c>
      <c r="W30" s="665">
        <f t="shared" si="12"/>
        <v>100</v>
      </c>
      <c r="X30" s="1260"/>
      <c r="Y30" s="3439"/>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39"/>
      <c r="Q31" s="1258">
        <f t="shared" si="8"/>
        <v>111</v>
      </c>
      <c r="R31" s="664" t="s">
        <v>14</v>
      </c>
      <c r="S31" s="665">
        <f t="shared" si="10"/>
        <v>100</v>
      </c>
      <c r="T31" s="664" t="s">
        <v>14</v>
      </c>
      <c r="U31" s="665">
        <f t="shared" si="11"/>
        <v>100</v>
      </c>
      <c r="V31" s="664" t="s">
        <v>14</v>
      </c>
      <c r="W31" s="665">
        <f t="shared" si="12"/>
        <v>100</v>
      </c>
      <c r="X31" s="1260"/>
      <c r="Y31" s="3439"/>
      <c r="Z31" s="1259">
        <f t="shared" si="13"/>
        <v>111</v>
      </c>
      <c r="AA31" s="1259">
        <f t="shared" si="3"/>
        <v>1</v>
      </c>
      <c r="AB31" s="1259">
        <f t="shared" si="4"/>
        <v>1</v>
      </c>
      <c r="AC31" s="1259">
        <f t="shared" si="5"/>
        <v>1</v>
      </c>
    </row>
    <row r="32" spans="1:29" ht="15">
      <c r="A32" s="593"/>
      <c r="B32" s="1832">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40" t="s">
        <v>1696</v>
      </c>
      <c r="Q32" s="1258">
        <f t="shared" si="8"/>
        <v>111</v>
      </c>
      <c r="R32" s="664" t="s">
        <v>14</v>
      </c>
      <c r="S32" s="665">
        <f t="shared" si="10"/>
        <v>100</v>
      </c>
      <c r="T32" s="664" t="s">
        <v>14</v>
      </c>
      <c r="U32" s="665">
        <f t="shared" si="11"/>
        <v>100</v>
      </c>
      <c r="V32" s="664" t="s">
        <v>14</v>
      </c>
      <c r="W32" s="665">
        <f t="shared" si="12"/>
        <v>100</v>
      </c>
      <c r="X32" s="1260"/>
      <c r="Y32" s="3441" t="s">
        <v>1696</v>
      </c>
      <c r="Z32" s="1259">
        <f t="shared" si="13"/>
        <v>111</v>
      </c>
      <c r="AA32" s="1259">
        <f t="shared" si="3"/>
        <v>1</v>
      </c>
      <c r="AB32" s="1259">
        <f t="shared" si="4"/>
        <v>1</v>
      </c>
      <c r="AC32" s="1259">
        <f t="shared" si="5"/>
        <v>1</v>
      </c>
    </row>
    <row r="33" spans="1:31" s="406" customFormat="1" ht="15.6" thickBot="1">
      <c r="A33" s="594"/>
      <c r="B33" s="1833">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41"/>
      <c r="Q33" s="1258">
        <f t="shared" si="8"/>
        <v>111</v>
      </c>
      <c r="R33" s="666" t="s">
        <v>14</v>
      </c>
      <c r="S33" s="667">
        <f t="shared" si="10"/>
        <v>100</v>
      </c>
      <c r="T33" s="666" t="s">
        <v>14</v>
      </c>
      <c r="U33" s="667">
        <f t="shared" si="11"/>
        <v>100</v>
      </c>
      <c r="V33" s="666" t="s">
        <v>14</v>
      </c>
      <c r="W33" s="667">
        <f t="shared" si="12"/>
        <v>100</v>
      </c>
      <c r="X33" s="668"/>
      <c r="Y33" s="3441"/>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41"/>
      <c r="Q34" s="1258" t="str">
        <f>B34</f>
        <v>宗地面积</v>
      </c>
      <c r="R34" s="664" t="s">
        <v>14</v>
      </c>
      <c r="S34" s="665" t="e">
        <f t="shared" si="10"/>
        <v>#N/A</v>
      </c>
      <c r="T34" s="664" t="s">
        <v>14</v>
      </c>
      <c r="U34" s="665" t="e">
        <f t="shared" si="11"/>
        <v>#N/A</v>
      </c>
      <c r="V34" s="664" t="s">
        <v>14</v>
      </c>
      <c r="W34" s="665" t="e">
        <f t="shared" si="12"/>
        <v>#N/A</v>
      </c>
      <c r="X34" s="1260"/>
      <c r="Y34" s="3441"/>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5"/>
      <c r="M35" s="2480"/>
      <c r="N35" s="2480"/>
      <c r="O35" s="2535"/>
      <c r="P35" s="3441"/>
      <c r="Q35" s="1258" t="str">
        <f t="shared" ref="Q35:Q40" si="14">B35</f>
        <v>宗地形状</v>
      </c>
      <c r="R35" s="664" t="s">
        <v>14</v>
      </c>
      <c r="S35" s="665">
        <f t="shared" si="10"/>
        <v>100</v>
      </c>
      <c r="T35" s="664" t="s">
        <v>14</v>
      </c>
      <c r="U35" s="665">
        <f t="shared" si="11"/>
        <v>100</v>
      </c>
      <c r="V35" s="664" t="s">
        <v>14</v>
      </c>
      <c r="W35" s="665">
        <f t="shared" si="12"/>
        <v>100</v>
      </c>
      <c r="X35" s="1260"/>
      <c r="Y35" s="3441"/>
      <c r="Z35" s="1259" t="str">
        <f t="shared" si="13"/>
        <v>宗地形状</v>
      </c>
      <c r="AA35" s="1259">
        <f t="shared" si="3"/>
        <v>1</v>
      </c>
      <c r="AB35" s="1259">
        <f t="shared" si="4"/>
        <v>1</v>
      </c>
      <c r="AC35" s="1259">
        <f t="shared" si="5"/>
        <v>1</v>
      </c>
    </row>
    <row r="36" spans="1:31" s="100" customFormat="1" ht="15">
      <c r="A36" s="408"/>
      <c r="B36" s="362" t="s">
        <v>1877</v>
      </c>
      <c r="C36" s="1821"/>
      <c r="D36" s="117">
        <v>100</v>
      </c>
      <c r="E36" s="1821"/>
      <c r="F36" s="372">
        <f>SUMIF(112:112,E36,113:113)-SUMIF(112:112,C36,113:113)+100</f>
        <v>100</v>
      </c>
      <c r="G36" s="1821"/>
      <c r="H36" s="372">
        <f>SUMIF(112:112,G36,113:113)-SUMIF(112:112,C36,113:113)+100</f>
        <v>100</v>
      </c>
      <c r="I36" s="1821"/>
      <c r="J36" s="372">
        <f>SUMIF(112:112,I36,113:113)-SUMIF(112:112,C36,113:113)+100</f>
        <v>100</v>
      </c>
      <c r="K36" s="536"/>
      <c r="L36" s="2481"/>
      <c r="M36" s="2432"/>
      <c r="N36" s="2432"/>
      <c r="O36" s="2533"/>
      <c r="P36" s="3441"/>
      <c r="Q36" s="1258" t="str">
        <f t="shared" si="14"/>
        <v>宗地开发程度</v>
      </c>
      <c r="R36" s="661" t="s">
        <v>14</v>
      </c>
      <c r="S36" s="662">
        <f t="shared" si="10"/>
        <v>100</v>
      </c>
      <c r="T36" s="661" t="s">
        <v>14</v>
      </c>
      <c r="U36" s="662">
        <f t="shared" si="11"/>
        <v>100</v>
      </c>
      <c r="V36" s="661" t="s">
        <v>14</v>
      </c>
      <c r="W36" s="662">
        <f t="shared" si="12"/>
        <v>100</v>
      </c>
      <c r="X36" s="663"/>
      <c r="Y36" s="3441"/>
      <c r="Z36" s="49" t="str">
        <f t="shared" si="13"/>
        <v>宗地开发程度</v>
      </c>
      <c r="AA36" s="49">
        <f t="shared" si="3"/>
        <v>1</v>
      </c>
      <c r="AB36" s="49">
        <f t="shared" si="4"/>
        <v>1</v>
      </c>
      <c r="AC36" s="49">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5"/>
      <c r="M37" s="2480"/>
      <c r="N37" s="2480"/>
      <c r="O37" s="2535"/>
      <c r="P37" s="3441" t="s">
        <v>1696</v>
      </c>
      <c r="Q37" s="1258" t="str">
        <f t="shared" si="14"/>
        <v>工程地质条件</v>
      </c>
      <c r="R37" s="664" t="s">
        <v>14</v>
      </c>
      <c r="S37" s="665">
        <f t="shared" si="10"/>
        <v>100</v>
      </c>
      <c r="T37" s="664" t="s">
        <v>14</v>
      </c>
      <c r="U37" s="665">
        <f t="shared" si="11"/>
        <v>100</v>
      </c>
      <c r="V37" s="664" t="s">
        <v>14</v>
      </c>
      <c r="W37" s="665">
        <f t="shared" si="12"/>
        <v>100</v>
      </c>
      <c r="X37" s="1260"/>
      <c r="Y37" s="3441"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41"/>
      <c r="Q38" s="1258">
        <f t="shared" si="14"/>
        <v>111</v>
      </c>
      <c r="R38" s="664" t="s">
        <v>14</v>
      </c>
      <c r="S38" s="665">
        <f t="shared" si="10"/>
        <v>100</v>
      </c>
      <c r="T38" s="664" t="s">
        <v>14</v>
      </c>
      <c r="U38" s="665">
        <f t="shared" si="11"/>
        <v>100</v>
      </c>
      <c r="V38" s="664" t="s">
        <v>14</v>
      </c>
      <c r="W38" s="665">
        <f t="shared" si="12"/>
        <v>100</v>
      </c>
      <c r="X38" s="1260"/>
      <c r="Y38" s="3441"/>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41"/>
      <c r="Q39" s="1258">
        <f t="shared" si="14"/>
        <v>111</v>
      </c>
      <c r="R39" s="664" t="s">
        <v>14</v>
      </c>
      <c r="S39" s="665">
        <f t="shared" si="10"/>
        <v>100</v>
      </c>
      <c r="T39" s="664" t="s">
        <v>14</v>
      </c>
      <c r="U39" s="665">
        <f t="shared" si="11"/>
        <v>100</v>
      </c>
      <c r="V39" s="664" t="s">
        <v>14</v>
      </c>
      <c r="W39" s="665">
        <f t="shared" si="12"/>
        <v>100</v>
      </c>
      <c r="X39" s="1260"/>
      <c r="Y39" s="3441"/>
      <c r="Z39" s="1259">
        <f t="shared" si="13"/>
        <v>111</v>
      </c>
      <c r="AA39" s="1259">
        <f t="shared" si="3"/>
        <v>1</v>
      </c>
      <c r="AB39" s="1259">
        <f t="shared" si="4"/>
        <v>1</v>
      </c>
      <c r="AC39" s="1259">
        <f t="shared" si="5"/>
        <v>1</v>
      </c>
    </row>
    <row r="40" spans="1:31" s="406" customFormat="1" ht="15.6" thickBot="1">
      <c r="A40" s="404"/>
      <c r="B40" s="1062">
        <v>111</v>
      </c>
      <c r="C40" s="1822"/>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41"/>
      <c r="Q40" s="1258">
        <f t="shared" si="14"/>
        <v>111</v>
      </c>
      <c r="R40" s="666" t="s">
        <v>14</v>
      </c>
      <c r="S40" s="667">
        <f t="shared" si="10"/>
        <v>100</v>
      </c>
      <c r="T40" s="666" t="s">
        <v>14</v>
      </c>
      <c r="U40" s="667">
        <f t="shared" si="11"/>
        <v>100</v>
      </c>
      <c r="V40" s="666" t="s">
        <v>14</v>
      </c>
      <c r="W40" s="667">
        <f t="shared" si="12"/>
        <v>100</v>
      </c>
      <c r="X40" s="668"/>
      <c r="Y40" s="3441"/>
      <c r="Z40" s="669">
        <f t="shared" si="13"/>
        <v>111</v>
      </c>
      <c r="AA40" s="1259">
        <f t="shared" si="3"/>
        <v>1</v>
      </c>
      <c r="AB40" s="1259">
        <f t="shared" si="4"/>
        <v>1</v>
      </c>
      <c r="AC40" s="1259">
        <f t="shared" si="5"/>
        <v>1</v>
      </c>
    </row>
    <row r="41" spans="1:31" ht="14.4">
      <c r="A41" s="414" t="s">
        <v>1844</v>
      </c>
      <c r="B41" s="1823" t="s">
        <v>1922</v>
      </c>
      <c r="C41" s="600" t="s">
        <v>0</v>
      </c>
      <c r="D41" s="416"/>
      <c r="E41" s="417"/>
      <c r="F41" s="418"/>
      <c r="G41" s="419"/>
      <c r="H41" s="420"/>
      <c r="I41" s="417"/>
      <c r="J41" s="420"/>
      <c r="K41" s="671"/>
      <c r="L41" s="2487"/>
      <c r="M41" s="2480"/>
      <c r="N41" s="2480"/>
      <c r="O41" s="2480"/>
      <c r="P41" s="3437" t="str">
        <f>A41</f>
        <v>成交单价</v>
      </c>
      <c r="Q41" s="3437"/>
      <c r="R41" s="3433">
        <f>E41</f>
        <v>0</v>
      </c>
      <c r="S41" s="3433"/>
      <c r="T41" s="3433">
        <f>G41</f>
        <v>0</v>
      </c>
      <c r="U41" s="3433"/>
      <c r="V41" s="3433">
        <f>I41</f>
        <v>0</v>
      </c>
      <c r="W41" s="3433"/>
      <c r="X41" s="383"/>
      <c r="Y41" s="670"/>
      <c r="Z41" s="383"/>
      <c r="AA41" s="383"/>
      <c r="AB41" s="383"/>
      <c r="AC41" s="383"/>
    </row>
    <row r="42" spans="1:31" ht="15" thickBot="1">
      <c r="A42" s="421" t="s">
        <v>1793</v>
      </c>
      <c r="B42" s="601"/>
      <c r="C42" s="424" t="e">
        <f>R43</f>
        <v>#DIV/0!</v>
      </c>
      <c r="D42" s="2134" t="s">
        <v>2138</v>
      </c>
      <c r="E42" s="424" t="e">
        <f>R42</f>
        <v>#DIV/0!</v>
      </c>
      <c r="F42" s="2135"/>
      <c r="G42" s="423" t="e">
        <f>T42</f>
        <v>#DIV/0!</v>
      </c>
      <c r="H42" s="2135"/>
      <c r="I42" s="424" t="e">
        <f>V42</f>
        <v>#DIV/0!</v>
      </c>
      <c r="J42" s="2135"/>
      <c r="K42" s="2137">
        <f>F42+H42+J42</f>
        <v>0</v>
      </c>
      <c r="L42" s="2487"/>
      <c r="M42" s="2480"/>
      <c r="N42" s="2480"/>
      <c r="O42" s="2480"/>
      <c r="P42" s="3437" t="str">
        <f>A42</f>
        <v>比较价值（元/平方米）</v>
      </c>
      <c r="Q42" s="3437"/>
      <c r="R42" s="3444" t="e">
        <f>ROUND(PRODUCT(R41,AA7:AA40),0)</f>
        <v>#DIV/0!</v>
      </c>
      <c r="S42" s="3444"/>
      <c r="T42" s="3444" t="e">
        <f>ROUND(PRODUCT(T41,AB7:AB40),0)</f>
        <v>#DIV/0!</v>
      </c>
      <c r="U42" s="3444"/>
      <c r="V42" s="3444" t="e">
        <f>ROUND(PRODUCT(V41,AC7:AC40),0)</f>
        <v>#DIV/0!</v>
      </c>
      <c r="W42" s="3444"/>
      <c r="X42" s="383"/>
      <c r="Y42" s="383"/>
      <c r="Z42" s="383"/>
      <c r="AA42" s="383"/>
      <c r="AB42" s="383"/>
      <c r="AC42" s="383"/>
    </row>
    <row r="43" spans="1:31" ht="15" thickBot="1">
      <c r="A43" s="425" t="s">
        <v>1794</v>
      </c>
      <c r="B43" s="426"/>
      <c r="C43" s="427" t="e">
        <f>R43</f>
        <v>#DIV/0!</v>
      </c>
      <c r="D43" s="427"/>
      <c r="E43" s="427"/>
      <c r="F43" s="427"/>
      <c r="G43" s="427"/>
      <c r="H43" s="427"/>
      <c r="I43" s="427"/>
      <c r="J43" s="427"/>
      <c r="K43" s="672"/>
      <c r="L43" s="2487"/>
      <c r="M43" s="2480"/>
      <c r="N43" s="2480"/>
      <c r="O43" s="2480"/>
      <c r="P43" s="3445" t="str">
        <f>A43</f>
        <v>估价对象XX用房的比较价值（楼面单价，元/平方米）</v>
      </c>
      <c r="Q43" s="3446"/>
      <c r="R43" s="3447" t="e">
        <f>ROUND(IF(D42="简单平均",AVERAGE(R42:W42),R42*F42+T42*H42+V42*J42),0)</f>
        <v>#DIV/0!</v>
      </c>
      <c r="S43" s="3447"/>
      <c r="T43" s="3447"/>
      <c r="U43" s="3447"/>
      <c r="V43" s="3447"/>
      <c r="W43" s="3447"/>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4.4"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2" t="s">
        <v>1881</v>
      </c>
      <c r="B50" s="603" t="s">
        <v>1882</v>
      </c>
      <c r="C50" s="1824" t="s">
        <v>1883</v>
      </c>
      <c r="D50" s="1825" t="s">
        <v>1884</v>
      </c>
      <c r="E50" s="604" t="s">
        <v>1885</v>
      </c>
      <c r="F50" s="605" t="s">
        <v>1886</v>
      </c>
      <c r="G50" s="3409" t="s">
        <v>1887</v>
      </c>
      <c r="H50" s="3442"/>
      <c r="I50" s="1259" t="s">
        <v>1923</v>
      </c>
      <c r="J50" s="1259">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5">
        <v>1</v>
      </c>
      <c r="E51" s="608">
        <f>'数据-汇总表'!E8+'数据-汇总表'!E9</f>
        <v>22498.01</v>
      </c>
      <c r="F51" s="609" t="e">
        <f t="shared" ref="F51:F60" si="15">ROUND(B51*E51/10000,0)</f>
        <v>#DIV/0!</v>
      </c>
      <c r="G51" s="3443"/>
      <c r="H51" s="3437"/>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v>
      </c>
      <c r="D52" s="886">
        <v>0.25</v>
      </c>
      <c r="E52" s="612"/>
      <c r="F52" s="609" t="e">
        <f t="shared" si="15"/>
        <v>#DIV/0!</v>
      </c>
      <c r="G52" s="2743" t="s">
        <v>1892</v>
      </c>
      <c r="H52" s="829">
        <f>项目基本情况!B37</f>
        <v>0</v>
      </c>
      <c r="I52" s="722">
        <f>SUMIF(修正!A57:A68,H52,修正!B57:B68)</f>
        <v>0</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v>
      </c>
      <c r="D53" s="886">
        <v>0.25</v>
      </c>
      <c r="E53" s="612"/>
      <c r="F53" s="609" t="e">
        <f t="shared" si="15"/>
        <v>#DIV/0!</v>
      </c>
      <c r="G53" s="2744"/>
      <c r="H53" s="829">
        <f>项目基本情况!B37</f>
        <v>0</v>
      </c>
      <c r="I53" s="722">
        <f>SUMIF(修正!A57:A68,H53,修正!C57:C68)</f>
        <v>0</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v>
      </c>
      <c r="D54" s="886">
        <v>0.25</v>
      </c>
      <c r="E54" s="612"/>
      <c r="F54" s="609" t="e">
        <f t="shared" si="15"/>
        <v>#DIV/0!</v>
      </c>
      <c r="G54" s="2744"/>
      <c r="H54" s="829">
        <f>项目基本情况!B37</f>
        <v>0</v>
      </c>
      <c r="I54" s="722">
        <f>SUMIF(修正!A57:A68,H54,修正!D57:D68)</f>
        <v>0</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6"/>
      <c r="E55" s="612"/>
      <c r="F55" s="609"/>
      <c r="G55" s="2745"/>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v>
      </c>
      <c r="D56" s="886">
        <v>0.25</v>
      </c>
      <c r="E56" s="207">
        <f>'数据-汇总表'!E11</f>
        <v>0</v>
      </c>
      <c r="F56" s="609" t="e">
        <f t="shared" si="15"/>
        <v>#DIV/0!</v>
      </c>
      <c r="G56" s="1828" t="s">
        <v>1896</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v>
      </c>
      <c r="D57" s="886">
        <v>0.25</v>
      </c>
      <c r="E57" s="207">
        <f>'数据-汇总表'!E12</f>
        <v>1909.58</v>
      </c>
      <c r="F57" s="609" t="e">
        <f t="shared" si="15"/>
        <v>#DIV/0!</v>
      </c>
      <c r="G57" s="834" t="s">
        <v>1898</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6">
        <v>0.25</v>
      </c>
      <c r="E58" s="207">
        <f>'数据-汇总表'!E13</f>
        <v>11415.02</v>
      </c>
      <c r="F58" s="609" t="e">
        <f t="shared" si="15"/>
        <v>#DIV/0!</v>
      </c>
      <c r="G58" s="834" t="s">
        <v>1900</v>
      </c>
      <c r="H58" s="829" t="str">
        <f>IF(G58="商业",项目基本情况!B37,IF(G58="办公",项目基本情况!C37,IF(G58="住宅",项目基本情况!D37,项目基本情况!E37)))</f>
        <v>六级</v>
      </c>
      <c r="I58" s="722">
        <f>SUMIF(修正!A57:A68,H58,修正!G57:G68)</f>
        <v>0.15</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v>
      </c>
      <c r="D59" s="886">
        <v>0.25</v>
      </c>
      <c r="E59" s="207">
        <f>'数据-汇总表'!E14</f>
        <v>0</v>
      </c>
      <c r="F59" s="609" t="e">
        <f t="shared" si="15"/>
        <v>#DIV/0!</v>
      </c>
      <c r="G59" s="1828" t="s">
        <v>1892</v>
      </c>
      <c r="H59" s="829">
        <f>项目基本情况!B37</f>
        <v>0</v>
      </c>
      <c r="I59" s="722">
        <f>SUMIF(修正!A57:A68,H59,修正!G57:G68)</f>
        <v>0</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4.4" thickBot="1">
      <c r="A60" s="611" t="s">
        <v>1902</v>
      </c>
      <c r="B60" s="208" t="e">
        <f t="shared" si="17"/>
        <v>#DIV/0!</v>
      </c>
      <c r="C60" s="161">
        <f t="shared" si="16"/>
        <v>0</v>
      </c>
      <c r="D60" s="886">
        <v>0.25</v>
      </c>
      <c r="E60" s="207">
        <f>'数据-汇总表'!E15</f>
        <v>0</v>
      </c>
      <c r="F60" s="609" t="e">
        <f t="shared" si="15"/>
        <v>#DIV/0!</v>
      </c>
      <c r="G60" s="1829" t="s">
        <v>1896</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4.4" thickBot="1">
      <c r="A61" s="613" t="s">
        <v>1903</v>
      </c>
      <c r="B61" s="614" t="s">
        <v>22</v>
      </c>
      <c r="C61" s="614" t="s">
        <v>23</v>
      </c>
      <c r="D61" s="614" t="s">
        <v>392</v>
      </c>
      <c r="E61" s="614">
        <f>IF(B41="楼面地价",SUM(E51:E60),'数据-汇总表'!D3)</f>
        <v>8682.75</v>
      </c>
      <c r="F61" s="615"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3" t="str">
        <f>YEAR(C7)&amp;"-"&amp;MONTH(C7)&amp;"-1"</f>
        <v>2023-4-1</v>
      </c>
      <c r="D63" s="653">
        <f>EDATE(C63,-3)</f>
        <v>44927</v>
      </c>
      <c r="E63" s="653">
        <f>EDATE(D63,-3)</f>
        <v>44835</v>
      </c>
      <c r="F63" s="653">
        <f t="shared" ref="F63:O63" si="18">EDATE(E63,-3)</f>
        <v>44743</v>
      </c>
      <c r="G63" s="653">
        <f t="shared" si="18"/>
        <v>44652</v>
      </c>
      <c r="H63" s="653">
        <f t="shared" si="18"/>
        <v>44562</v>
      </c>
      <c r="I63" s="653">
        <f t="shared" si="18"/>
        <v>44470</v>
      </c>
      <c r="J63" s="653">
        <f t="shared" si="18"/>
        <v>44378</v>
      </c>
      <c r="K63" s="653">
        <f t="shared" si="18"/>
        <v>44287</v>
      </c>
      <c r="L63" s="653">
        <f t="shared" si="18"/>
        <v>44197</v>
      </c>
      <c r="M63" s="653">
        <f t="shared" si="18"/>
        <v>44105</v>
      </c>
      <c r="N63" s="653">
        <f t="shared" si="18"/>
        <v>44013</v>
      </c>
      <c r="O63" s="653">
        <f t="shared" si="18"/>
        <v>43922</v>
      </c>
      <c r="P63" s="2480"/>
      <c r="Q63" s="2480"/>
      <c r="R63" s="2480"/>
      <c r="S63" s="2480"/>
      <c r="T63" s="2480"/>
      <c r="U63" s="2480"/>
      <c r="V63" s="2480"/>
      <c r="W63" s="2480"/>
      <c r="X63" s="2480"/>
      <c r="Y63" s="2480"/>
      <c r="Z63" s="2480"/>
      <c r="AA63" s="2480"/>
      <c r="AB63" s="2480"/>
      <c r="AC63" s="2480"/>
      <c r="AD63" s="2480"/>
      <c r="AE63" s="2480"/>
    </row>
    <row r="64" spans="1:31" ht="22.2" thickBot="1">
      <c r="A64" s="655" t="s">
        <v>1798</v>
      </c>
      <c r="B64" s="383"/>
      <c r="C64" s="656"/>
      <c r="D64" s="656"/>
      <c r="E64" s="656"/>
      <c r="F64" s="657"/>
      <c r="G64" s="657"/>
      <c r="H64" s="656"/>
      <c r="I64" s="656"/>
      <c r="J64" s="656"/>
      <c r="K64" s="658"/>
      <c r="L64" s="659"/>
      <c r="M64" s="656"/>
      <c r="N64" s="656"/>
      <c r="O64" s="881"/>
      <c r="P64" s="2530"/>
      <c r="Q64" s="2501"/>
      <c r="R64" s="2480"/>
      <c r="S64" s="2480"/>
      <c r="T64" s="2480"/>
      <c r="U64" s="2480"/>
      <c r="V64" s="2480"/>
      <c r="W64" s="2480"/>
      <c r="X64" s="2480"/>
      <c r="Y64" s="2480"/>
      <c r="Z64" s="2480"/>
      <c r="AA64" s="2480"/>
      <c r="AB64" s="2480"/>
      <c r="AC64" s="2480"/>
      <c r="AD64" s="2480"/>
      <c r="AE64" s="2480"/>
    </row>
    <row r="65" spans="1:31" s="440" customFormat="1" ht="14.4">
      <c r="A65" s="1625" t="s">
        <v>1904</v>
      </c>
      <c r="B65" s="1041"/>
      <c r="C65" s="1096" t="str">
        <f>YEAR(C63)&amp;"-"&amp;ROUNDUP(MONTH(C63)/3,0)</f>
        <v>2023-2</v>
      </c>
      <c r="D65" s="1096" t="str">
        <f t="shared" ref="D65:O65" si="19">YEAR(D63)&amp;"-"&amp;ROUNDUP(MONTH(D63)/3,0)</f>
        <v>2023-1</v>
      </c>
      <c r="E65" s="1096" t="str">
        <f t="shared" si="19"/>
        <v>2022-4</v>
      </c>
      <c r="F65" s="1096" t="str">
        <f t="shared" si="19"/>
        <v>2022-3</v>
      </c>
      <c r="G65" s="1096" t="str">
        <f t="shared" si="19"/>
        <v>2022-2</v>
      </c>
      <c r="H65" s="1096" t="str">
        <f t="shared" si="19"/>
        <v>2022-1</v>
      </c>
      <c r="I65" s="1096" t="str">
        <f t="shared" si="19"/>
        <v>2021-4</v>
      </c>
      <c r="J65" s="1096" t="str">
        <f t="shared" si="19"/>
        <v>2021-3</v>
      </c>
      <c r="K65" s="1096" t="str">
        <f t="shared" si="19"/>
        <v>2021-2</v>
      </c>
      <c r="L65" s="1096" t="str">
        <f t="shared" si="19"/>
        <v>2021-1</v>
      </c>
      <c r="M65" s="1096" t="str">
        <f t="shared" si="19"/>
        <v>2020-4</v>
      </c>
      <c r="N65" s="1096" t="str">
        <f t="shared" si="19"/>
        <v>2020-3</v>
      </c>
      <c r="O65" s="1096" t="str">
        <f t="shared" si="19"/>
        <v>2020-2</v>
      </c>
      <c r="P65" s="2503"/>
      <c r="Q65" s="2503"/>
      <c r="R65" s="2503"/>
      <c r="S65" s="2503"/>
      <c r="T65" s="2503"/>
      <c r="U65" s="2503"/>
      <c r="V65" s="2503"/>
      <c r="W65" s="2503"/>
      <c r="X65" s="2503"/>
      <c r="Y65" s="2503"/>
      <c r="Z65" s="2503"/>
      <c r="AA65" s="2503"/>
      <c r="AB65" s="2503"/>
      <c r="AC65" s="2503"/>
      <c r="AD65" s="2503"/>
      <c r="AE65" s="2503"/>
    </row>
    <row r="66" spans="1:31" s="100" customFormat="1" ht="30.75" customHeight="1">
      <c r="A66" s="1834" t="s">
        <v>1924</v>
      </c>
      <c r="B66" s="278" t="str">
        <f>"北京市平均增长率"&amp;TEXT(基准地价修正!P28,"0.00%")</f>
        <v>北京市平均增长率0.00%</v>
      </c>
      <c r="C66" s="528">
        <v>100</v>
      </c>
      <c r="D66" s="6"/>
      <c r="E66" s="6"/>
      <c r="F66" s="6"/>
      <c r="G66" s="6"/>
      <c r="H66" s="6"/>
      <c r="I66" s="6"/>
      <c r="J66" s="6"/>
      <c r="K66" s="6"/>
      <c r="L66" s="6"/>
      <c r="M66" s="1061"/>
      <c r="N66" s="1061"/>
      <c r="O66" s="1094"/>
      <c r="P66" s="2501"/>
      <c r="Q66" s="2432"/>
      <c r="R66" s="2432"/>
      <c r="S66" s="2432"/>
      <c r="T66" s="2432"/>
      <c r="U66" s="2432"/>
      <c r="V66" s="2432"/>
      <c r="W66" s="2432"/>
      <c r="X66" s="2432"/>
      <c r="Y66" s="2432"/>
      <c r="Z66" s="2432"/>
      <c r="AA66" s="2432"/>
      <c r="AB66" s="2432"/>
      <c r="AC66" s="2432"/>
      <c r="AD66" s="2432"/>
      <c r="AE66" s="2432"/>
    </row>
    <row r="67" spans="1:31" s="100" customFormat="1" ht="15" thickBot="1">
      <c r="A67" s="447" t="s">
        <v>1716</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0" customFormat="1" ht="14.4">
      <c r="A68" s="453" t="s">
        <v>1681</v>
      </c>
      <c r="B68" s="442"/>
      <c r="C68" s="454" t="s">
        <v>1776</v>
      </c>
      <c r="D68" s="30"/>
      <c r="E68" s="30"/>
      <c r="F68" s="30"/>
      <c r="G68" s="30"/>
      <c r="H68" s="30"/>
      <c r="I68" s="30"/>
      <c r="J68" s="30"/>
      <c r="K68" s="30"/>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0" customFormat="1" ht="14.4"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ht="14.4">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4.4"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4.4"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4.4"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4.4"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4.4" thickTop="1">
      <c r="A81" s="482"/>
      <c r="B81" s="475">
        <f>B14</f>
        <v>111</v>
      </c>
      <c r="C81" s="30"/>
      <c r="D81" s="30"/>
      <c r="E81" s="30"/>
      <c r="F81" s="30"/>
      <c r="G81" s="30"/>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4.4"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ht="14.4">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0" customFormat="1" ht="29.4"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2"/>
      <c r="S87" s="2432"/>
      <c r="T87" s="2432"/>
      <c r="U87" s="2432"/>
      <c r="V87" s="2432"/>
      <c r="W87" s="2432"/>
      <c r="X87" s="2432"/>
      <c r="Y87" s="2432"/>
      <c r="Z87" s="2432"/>
      <c r="AA87" s="2432"/>
      <c r="AB87" s="2432"/>
      <c r="AC87" s="2432"/>
      <c r="AD87" s="2432"/>
      <c r="AE87" s="2432"/>
    </row>
    <row r="88" spans="1:31" s="100" customFormat="1" ht="14.4"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0" customFormat="1" ht="29.4"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0" customFormat="1" ht="14.4"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4.4" thickTop="1">
      <c r="A105" s="404"/>
      <c r="B105" s="521">
        <f>B33</f>
        <v>111</v>
      </c>
      <c r="C105" s="30"/>
      <c r="D105" s="30"/>
      <c r="E105" s="30"/>
      <c r="F105" s="30"/>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4.4"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4.4" thickTop="1">
      <c r="A120" s="404"/>
      <c r="B120" s="467">
        <f>B40</f>
        <v>111</v>
      </c>
      <c r="C120" s="30"/>
      <c r="D120" s="30"/>
      <c r="E120" s="30"/>
      <c r="F120" s="30"/>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4.4"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3.2"/>
  <cols>
    <col min="1" max="1" width="11.44140625" style="120"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0"/>
    <col min="20" max="45" width="9" style="681"/>
    <col min="46" max="16384" width="9" style="120"/>
  </cols>
  <sheetData>
    <row r="1" spans="1:45" ht="14.25" customHeight="1" thickBot="1">
      <c r="A1" s="136"/>
      <c r="B1" s="924" t="s">
        <v>2083</v>
      </c>
      <c r="C1" s="3508" t="s">
        <v>2084</v>
      </c>
      <c r="D1" s="3509"/>
      <c r="E1" s="3509"/>
      <c r="F1" s="3509"/>
      <c r="G1" s="3509"/>
      <c r="H1" s="3509"/>
      <c r="I1" s="3509"/>
      <c r="J1" s="3509"/>
      <c r="K1" s="3509"/>
      <c r="L1" s="3509"/>
      <c r="M1" s="3509"/>
      <c r="N1" s="3509"/>
      <c r="O1" s="3509"/>
      <c r="P1" s="3509"/>
      <c r="Q1" s="3509"/>
      <c r="R1" s="3509"/>
      <c r="S1" s="3510"/>
      <c r="T1" s="924" t="s">
        <v>2085</v>
      </c>
    </row>
    <row r="2" spans="1:45" s="623" customFormat="1">
      <c r="A2" s="925"/>
      <c r="B2" s="620" t="s">
        <v>2086</v>
      </c>
      <c r="C2" s="13"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6"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7"/>
      <c r="B3" s="624"/>
      <c r="C3" s="625"/>
      <c r="D3" s="626"/>
      <c r="E3" s="626"/>
      <c r="F3" s="1215"/>
      <c r="G3" s="1215"/>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8" thickBot="1">
      <c r="A4" s="928"/>
      <c r="B4" s="929"/>
      <c r="C4" s="930"/>
      <c r="D4" s="931"/>
      <c r="E4" s="931"/>
      <c r="F4" s="1219"/>
      <c r="G4" s="1219"/>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0"/>
      <c r="B5" s="1244" t="s">
        <v>2087</v>
      </c>
      <c r="C5" s="935"/>
      <c r="D5" s="936"/>
      <c r="E5" s="936"/>
      <c r="F5" s="1222"/>
      <c r="G5" s="1222"/>
      <c r="H5" s="1222"/>
      <c r="I5" s="1222"/>
      <c r="J5" s="1222"/>
      <c r="K5" s="1222"/>
      <c r="L5" s="1223"/>
      <c r="M5" s="1224"/>
      <c r="N5" s="1224"/>
      <c r="O5" s="1222"/>
      <c r="P5" s="1222"/>
      <c r="Q5" s="1222"/>
      <c r="R5" s="1222"/>
      <c r="S5" s="1225"/>
      <c r="T5" s="938"/>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8" thickBot="1">
      <c r="A6" s="920"/>
      <c r="B6" s="841"/>
      <c r="C6" s="847">
        <v>100</v>
      </c>
      <c r="D6" s="844">
        <f>C6-$T5</f>
        <v>100</v>
      </c>
      <c r="E6" s="844">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3"/>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0"/>
      <c r="B7" s="1245" t="s">
        <v>2088</v>
      </c>
      <c r="C7" s="846"/>
      <c r="D7" s="840"/>
      <c r="E7" s="840"/>
      <c r="F7" s="1227"/>
      <c r="G7" s="1227"/>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8" thickBot="1">
      <c r="A8" s="920"/>
      <c r="B8" s="841"/>
      <c r="C8" s="847">
        <v>100</v>
      </c>
      <c r="D8" s="844">
        <f>C8-$T7</f>
        <v>100</v>
      </c>
      <c r="E8" s="844">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3"/>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0"/>
      <c r="B9" s="1245" t="s">
        <v>2089</v>
      </c>
      <c r="C9" s="846"/>
      <c r="D9" s="840"/>
      <c r="E9" s="840"/>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8" thickBot="1">
      <c r="A10" s="920"/>
      <c r="B10" s="929"/>
      <c r="C10" s="939">
        <v>100</v>
      </c>
      <c r="D10" s="710">
        <f>C10-$T9</f>
        <v>100</v>
      </c>
      <c r="E10" s="710">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0"/>
      <c r="B11" s="1244" t="s">
        <v>2090</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8"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0"/>
      <c r="B13" s="1244" t="s">
        <v>2091</v>
      </c>
      <c r="C13" s="935"/>
      <c r="D13" s="936"/>
      <c r="E13" s="936"/>
      <c r="F13" s="936"/>
      <c r="G13" s="936"/>
      <c r="H13" s="936"/>
      <c r="I13" s="936"/>
      <c r="J13" s="936"/>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8" thickBot="1">
      <c r="A14" s="920"/>
      <c r="B14" s="841"/>
      <c r="C14" s="845"/>
      <c r="D14" s="842"/>
      <c r="E14" s="842"/>
      <c r="F14" s="842"/>
      <c r="G14" s="842"/>
      <c r="H14" s="842"/>
      <c r="I14" s="842"/>
      <c r="J14" s="842"/>
      <c r="K14" s="842"/>
      <c r="L14" s="842"/>
      <c r="M14" s="946"/>
      <c r="N14" s="946"/>
      <c r="O14" s="842"/>
      <c r="P14" s="842"/>
      <c r="Q14" s="842"/>
      <c r="R14" s="842"/>
      <c r="S14" s="947"/>
      <c r="T14" s="843"/>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0"/>
      <c r="B15" s="1244" t="s">
        <v>2092</v>
      </c>
      <c r="C15" s="935"/>
      <c r="D15" s="936"/>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8" thickBot="1">
      <c r="A16" s="920"/>
      <c r="B16" s="929"/>
      <c r="C16" s="930"/>
      <c r="D16" s="931"/>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9" t="s">
        <v>2093</v>
      </c>
      <c r="B17" s="1980" t="s">
        <v>2094</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8"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1" t="s">
        <v>2095</v>
      </c>
      <c r="E19" s="1248"/>
      <c r="F19" s="1248"/>
      <c r="G19" s="1248"/>
      <c r="H19" s="991"/>
      <c r="I19" s="149"/>
      <c r="J19" s="149"/>
      <c r="K19" s="149"/>
      <c r="L19" s="149"/>
      <c r="M19" s="149"/>
      <c r="N19" s="149"/>
      <c r="O19" s="149"/>
      <c r="P19" s="149"/>
      <c r="Q19" s="149"/>
      <c r="R19" s="149"/>
      <c r="S19" s="119"/>
    </row>
    <row r="20" spans="1:45" ht="16.2" thickBot="1">
      <c r="A20" s="630" t="s">
        <v>2096</v>
      </c>
      <c r="B20" s="284" t="e">
        <f ca="1">IF(D20="——",S22,S22-F20)</f>
        <v>#REF!</v>
      </c>
      <c r="C20" s="149"/>
      <c r="D20" s="1982"/>
      <c r="E20" s="1249"/>
      <c r="F20" s="924" t="e">
        <f ca="1">SUMIF(INDIRECT("'"&amp;H20&amp;"'"&amp;"!A:A"),"承租人权益价值",INDIRECT("'"&amp;H20&amp;"'"&amp;"!c:c"))</f>
        <v>#REF!</v>
      </c>
      <c r="G20" s="924" t="s">
        <v>2097</v>
      </c>
      <c r="H20" s="1983"/>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0">
        <f>SUM(B24:B10000)</f>
        <v>0</v>
      </c>
      <c r="C22" s="3505" t="s">
        <v>27</v>
      </c>
      <c r="D22" s="3506"/>
      <c r="E22" s="3506"/>
      <c r="F22" s="3506"/>
      <c r="G22" s="3506"/>
      <c r="H22" s="3506"/>
      <c r="I22" s="3506"/>
      <c r="J22" s="3506"/>
      <c r="K22" s="3506"/>
      <c r="L22" s="3506"/>
      <c r="M22" s="3506"/>
      <c r="N22" s="3506"/>
      <c r="O22" s="3506"/>
      <c r="P22" s="3506"/>
      <c r="Q22" s="350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3">
        <v>1</v>
      </c>
      <c r="D24" s="2564"/>
      <c r="E24" s="2563">
        <v>1</v>
      </c>
      <c r="F24" s="2564"/>
      <c r="G24" s="2563">
        <v>1</v>
      </c>
      <c r="H24" s="2564"/>
      <c r="I24" s="2563">
        <v>1</v>
      </c>
      <c r="J24" s="2564"/>
      <c r="K24" s="2563">
        <v>1</v>
      </c>
      <c r="L24" s="2564"/>
      <c r="M24" s="2563">
        <v>1</v>
      </c>
      <c r="N24" s="2564"/>
      <c r="O24" s="2563">
        <v>1</v>
      </c>
      <c r="P24" s="2564"/>
      <c r="Q24" s="2563">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1"/>
      <c r="C25" s="20">
        <f>IF(B25="",1,(LOOKUP(B25,$3:$3,$4:$4)-LOOKUP($B$24,$3:$3,$4:$4)+100)/100)</f>
        <v>1</v>
      </c>
      <c r="D25" s="633"/>
      <c r="E25" s="20">
        <f>(SUMIF($5:$5,D25,$6:$6)-SUMIF($5:$5,$D$24,$6:$6)+100)/100</f>
        <v>1</v>
      </c>
      <c r="F25" s="633"/>
      <c r="G25" s="20">
        <f>(SUMIF($7:$7,F25,$8:$8)-SUMIF($7:$7,$F$24,$8:$8)+100)/100</f>
        <v>1</v>
      </c>
      <c r="H25" s="633"/>
      <c r="I25" s="20">
        <f>(SUMIF($9:$9,H25,$10:$10)-SUMIF($9:$9,$H$24,$10:$10)+100)/100</f>
        <v>1</v>
      </c>
      <c r="J25" s="633"/>
      <c r="K25" s="20">
        <f>(SUMIF($11:$11,J25,$12:$12)-SUMIF($11:$11,$J$24,$12:$12)+100)/100</f>
        <v>1</v>
      </c>
      <c r="L25" s="633"/>
      <c r="M25" s="20">
        <f>(SUMIF($13:$13,L25,$14:$14)-SUMIF($13:$13,$L$24,$14:$14)+100)/100</f>
        <v>1</v>
      </c>
      <c r="N25" s="633"/>
      <c r="O25" s="20">
        <f>(SUMIF($15:$15,N25,$16:$16)-SUMIF($15:$15,$N$24,$16:$16)+100)/100</f>
        <v>1</v>
      </c>
      <c r="P25" s="633"/>
      <c r="Q25" s="20">
        <f>(SUMIF($17:$17,P25,$18:$18)-SUMIF($17:$17,$P$24,$18:$18)+100)/100</f>
        <v>1</v>
      </c>
      <c r="R25" s="20">
        <f>IF(B25="",0,ROUND($R$24*C25*E25*G25*I25*K25*M25*O25*Q25,0))</f>
        <v>0</v>
      </c>
      <c r="S25" s="306">
        <f t="shared" si="11"/>
        <v>0</v>
      </c>
    </row>
    <row r="26" spans="1:45">
      <c r="A26" s="140"/>
      <c r="B26" s="51"/>
      <c r="C26" s="20">
        <f t="shared" ref="C26:C89" si="12">IF(B26="",1,(LOOKUP(B26,$3:$3,$4:$4)-LOOKUP($B$24,$3:$3,$4:$4)+100)/100)</f>
        <v>1</v>
      </c>
      <c r="D26" s="633"/>
      <c r="E26" s="20">
        <f t="shared" ref="E26:E89" si="13">(SUMIF($5:$5,D26,$6:$6)-SUMIF($5:$5,$D$24,$6:$6)+100)/100</f>
        <v>1</v>
      </c>
      <c r="F26" s="633"/>
      <c r="G26" s="20">
        <f t="shared" ref="G26:G89" si="14">(SUMIF($7:$7,F26,$8:$8)-SUMIF($7:$7,$F$24,$8:$8)+100)/100</f>
        <v>1</v>
      </c>
      <c r="H26" s="633"/>
      <c r="I26" s="20">
        <f t="shared" ref="I26:I89" si="15">(SUMIF($9:$9,H26,$10:$10)-SUMIF($9:$9,$H$24,$10:$10)+100)/100</f>
        <v>1</v>
      </c>
      <c r="J26" s="633"/>
      <c r="K26" s="20">
        <f t="shared" ref="K26:K89" si="16">(SUMIF($11:$11,J26,$12:$12)-SUMIF($11:$11,$J$24,$12:$12)+100)/100</f>
        <v>1</v>
      </c>
      <c r="L26" s="633"/>
      <c r="M26" s="20">
        <f t="shared" ref="M26:M89" si="17">(SUMIF($13:$13,L26,$14:$14)-SUMIF($13:$13,$L$24,$14:$14)+100)/100</f>
        <v>1</v>
      </c>
      <c r="N26" s="633"/>
      <c r="O26" s="20">
        <f t="shared" ref="O26:O89" si="18">(SUMIF($15:$15,N26,$16:$16)-SUMIF($15:$15,$N$24,$16:$16)+100)/100</f>
        <v>1</v>
      </c>
      <c r="P26" s="633"/>
      <c r="Q26" s="20">
        <f t="shared" ref="Q26:Q89" si="19">(SUMIF($17:$17,P26,$18:$18)-SUMIF($17:$17,$P$24,$18:$18)+100)/100</f>
        <v>1</v>
      </c>
      <c r="R26" s="20">
        <f t="shared" ref="R26:R89" si="20">IF(B26="",0,ROUND($R$24*C26*E26*G26*I26*K26*M26*O26*Q26,0))</f>
        <v>0</v>
      </c>
      <c r="S26" s="306">
        <f t="shared" si="11"/>
        <v>0</v>
      </c>
    </row>
    <row r="27" spans="1:45">
      <c r="A27" s="140"/>
      <c r="B27" s="51"/>
      <c r="C27" s="20">
        <f t="shared" si="12"/>
        <v>1</v>
      </c>
      <c r="D27" s="633"/>
      <c r="E27" s="20">
        <f t="shared" si="13"/>
        <v>1</v>
      </c>
      <c r="F27" s="633"/>
      <c r="G27" s="20">
        <f t="shared" si="14"/>
        <v>1</v>
      </c>
      <c r="H27" s="633"/>
      <c r="I27" s="20">
        <f t="shared" si="15"/>
        <v>1</v>
      </c>
      <c r="J27" s="633"/>
      <c r="K27" s="20">
        <f t="shared" si="16"/>
        <v>1</v>
      </c>
      <c r="L27" s="633"/>
      <c r="M27" s="20">
        <f t="shared" si="17"/>
        <v>1</v>
      </c>
      <c r="N27" s="633"/>
      <c r="O27" s="20">
        <f t="shared" si="18"/>
        <v>1</v>
      </c>
      <c r="P27" s="633"/>
      <c r="Q27" s="20">
        <f t="shared" si="19"/>
        <v>1</v>
      </c>
      <c r="R27" s="20">
        <f t="shared" si="20"/>
        <v>0</v>
      </c>
      <c r="S27" s="306">
        <f t="shared" si="11"/>
        <v>0</v>
      </c>
    </row>
    <row r="28" spans="1:45">
      <c r="A28" s="140"/>
      <c r="B28" s="51"/>
      <c r="C28" s="20">
        <f t="shared" si="12"/>
        <v>1</v>
      </c>
      <c r="D28" s="633"/>
      <c r="E28" s="20">
        <f t="shared" si="13"/>
        <v>1</v>
      </c>
      <c r="F28" s="633"/>
      <c r="G28" s="20">
        <f t="shared" si="14"/>
        <v>1</v>
      </c>
      <c r="H28" s="633"/>
      <c r="I28" s="20">
        <f t="shared" si="15"/>
        <v>1</v>
      </c>
      <c r="J28" s="633"/>
      <c r="K28" s="20">
        <f t="shared" si="16"/>
        <v>1</v>
      </c>
      <c r="L28" s="633"/>
      <c r="M28" s="20">
        <f t="shared" si="17"/>
        <v>1</v>
      </c>
      <c r="N28" s="633"/>
      <c r="O28" s="20">
        <f t="shared" si="18"/>
        <v>1</v>
      </c>
      <c r="P28" s="633"/>
      <c r="Q28" s="20">
        <f t="shared" si="19"/>
        <v>1</v>
      </c>
      <c r="R28" s="20">
        <f t="shared" si="20"/>
        <v>0</v>
      </c>
      <c r="S28" s="306">
        <f t="shared" si="11"/>
        <v>0</v>
      </c>
    </row>
    <row r="29" spans="1:45">
      <c r="A29" s="140"/>
      <c r="B29" s="51"/>
      <c r="C29" s="20">
        <f t="shared" si="12"/>
        <v>1</v>
      </c>
      <c r="D29" s="633"/>
      <c r="E29" s="20">
        <f t="shared" si="13"/>
        <v>1</v>
      </c>
      <c r="F29" s="633"/>
      <c r="G29" s="20">
        <f t="shared" si="14"/>
        <v>1</v>
      </c>
      <c r="H29" s="633"/>
      <c r="I29" s="20">
        <f t="shared" si="15"/>
        <v>1</v>
      </c>
      <c r="J29" s="633"/>
      <c r="K29" s="20">
        <f t="shared" si="16"/>
        <v>1</v>
      </c>
      <c r="L29" s="633"/>
      <c r="M29" s="20">
        <f t="shared" si="17"/>
        <v>1</v>
      </c>
      <c r="N29" s="633"/>
      <c r="O29" s="20">
        <f t="shared" si="18"/>
        <v>1</v>
      </c>
      <c r="P29" s="633"/>
      <c r="Q29" s="20">
        <f t="shared" si="19"/>
        <v>1</v>
      </c>
      <c r="R29" s="20">
        <f t="shared" si="20"/>
        <v>0</v>
      </c>
      <c r="S29" s="306">
        <f t="shared" si="11"/>
        <v>0</v>
      </c>
    </row>
    <row r="30" spans="1:45">
      <c r="A30" s="140"/>
      <c r="B30" s="51"/>
      <c r="C30" s="20">
        <f t="shared" si="12"/>
        <v>1</v>
      </c>
      <c r="D30" s="633"/>
      <c r="E30" s="20">
        <f t="shared" si="13"/>
        <v>1</v>
      </c>
      <c r="F30" s="633"/>
      <c r="G30" s="20">
        <f t="shared" si="14"/>
        <v>1</v>
      </c>
      <c r="H30" s="633"/>
      <c r="I30" s="20">
        <f t="shared" si="15"/>
        <v>1</v>
      </c>
      <c r="J30" s="633"/>
      <c r="K30" s="20">
        <f t="shared" si="16"/>
        <v>1</v>
      </c>
      <c r="L30" s="633"/>
      <c r="M30" s="20">
        <f t="shared" si="17"/>
        <v>1</v>
      </c>
      <c r="N30" s="633"/>
      <c r="O30" s="20">
        <f t="shared" si="18"/>
        <v>1</v>
      </c>
      <c r="P30" s="633"/>
      <c r="Q30" s="20">
        <f t="shared" si="19"/>
        <v>1</v>
      </c>
      <c r="R30" s="20">
        <f t="shared" si="20"/>
        <v>0</v>
      </c>
      <c r="S30" s="306">
        <f t="shared" si="11"/>
        <v>0</v>
      </c>
    </row>
    <row r="31" spans="1:45">
      <c r="A31" s="140"/>
      <c r="B31" s="51"/>
      <c r="C31" s="20">
        <f t="shared" si="12"/>
        <v>1</v>
      </c>
      <c r="D31" s="633"/>
      <c r="E31" s="20">
        <f t="shared" si="13"/>
        <v>1</v>
      </c>
      <c r="F31" s="633"/>
      <c r="G31" s="20">
        <f t="shared" si="14"/>
        <v>1</v>
      </c>
      <c r="H31" s="633"/>
      <c r="I31" s="20">
        <f t="shared" si="15"/>
        <v>1</v>
      </c>
      <c r="J31" s="633"/>
      <c r="K31" s="20">
        <f t="shared" si="16"/>
        <v>1</v>
      </c>
      <c r="L31" s="633"/>
      <c r="M31" s="20">
        <f t="shared" si="17"/>
        <v>1</v>
      </c>
      <c r="N31" s="633"/>
      <c r="O31" s="20">
        <f t="shared" si="18"/>
        <v>1</v>
      </c>
      <c r="P31" s="633"/>
      <c r="Q31" s="20">
        <f t="shared" si="19"/>
        <v>1</v>
      </c>
      <c r="R31" s="20">
        <f t="shared" si="20"/>
        <v>0</v>
      </c>
      <c r="S31" s="306">
        <f t="shared" si="11"/>
        <v>0</v>
      </c>
    </row>
    <row r="32" spans="1:45">
      <c r="A32" s="140"/>
      <c r="B32" s="51"/>
      <c r="C32" s="20">
        <f t="shared" si="12"/>
        <v>1</v>
      </c>
      <c r="D32" s="633"/>
      <c r="E32" s="20">
        <f t="shared" si="13"/>
        <v>1</v>
      </c>
      <c r="F32" s="633"/>
      <c r="G32" s="20">
        <f t="shared" si="14"/>
        <v>1</v>
      </c>
      <c r="H32" s="633"/>
      <c r="I32" s="20">
        <f t="shared" si="15"/>
        <v>1</v>
      </c>
      <c r="J32" s="633"/>
      <c r="K32" s="20">
        <f t="shared" si="16"/>
        <v>1</v>
      </c>
      <c r="L32" s="633"/>
      <c r="M32" s="20">
        <f t="shared" si="17"/>
        <v>1</v>
      </c>
      <c r="N32" s="633"/>
      <c r="O32" s="20">
        <f t="shared" si="18"/>
        <v>1</v>
      </c>
      <c r="P32" s="633"/>
      <c r="Q32" s="20">
        <f t="shared" si="19"/>
        <v>1</v>
      </c>
      <c r="R32" s="20">
        <f t="shared" si="20"/>
        <v>0</v>
      </c>
      <c r="S32" s="306">
        <f t="shared" si="11"/>
        <v>0</v>
      </c>
    </row>
    <row r="33" spans="1:19">
      <c r="A33" s="140"/>
      <c r="B33" s="51"/>
      <c r="C33" s="20">
        <f t="shared" si="12"/>
        <v>1</v>
      </c>
      <c r="D33" s="633"/>
      <c r="E33" s="20">
        <f t="shared" si="13"/>
        <v>1</v>
      </c>
      <c r="F33" s="633"/>
      <c r="G33" s="20">
        <f t="shared" si="14"/>
        <v>1</v>
      </c>
      <c r="H33" s="633"/>
      <c r="I33" s="20">
        <f t="shared" si="15"/>
        <v>1</v>
      </c>
      <c r="J33" s="633"/>
      <c r="K33" s="20">
        <f t="shared" si="16"/>
        <v>1</v>
      </c>
      <c r="L33" s="633"/>
      <c r="M33" s="20">
        <f t="shared" si="17"/>
        <v>1</v>
      </c>
      <c r="N33" s="633"/>
      <c r="O33" s="20">
        <f t="shared" si="18"/>
        <v>1</v>
      </c>
      <c r="P33" s="633"/>
      <c r="Q33" s="20">
        <f t="shared" si="19"/>
        <v>1</v>
      </c>
      <c r="R33" s="20">
        <f t="shared" si="20"/>
        <v>0</v>
      </c>
      <c r="S33" s="306">
        <f t="shared" si="11"/>
        <v>0</v>
      </c>
    </row>
    <row r="34" spans="1:19">
      <c r="A34" s="140"/>
      <c r="B34" s="51"/>
      <c r="C34" s="20">
        <f t="shared" si="12"/>
        <v>1</v>
      </c>
      <c r="D34" s="633"/>
      <c r="E34" s="20">
        <f t="shared" si="13"/>
        <v>1</v>
      </c>
      <c r="F34" s="633"/>
      <c r="G34" s="20">
        <f t="shared" si="14"/>
        <v>1</v>
      </c>
      <c r="H34" s="633"/>
      <c r="I34" s="20">
        <f t="shared" si="15"/>
        <v>1</v>
      </c>
      <c r="J34" s="633"/>
      <c r="K34" s="20">
        <f t="shared" si="16"/>
        <v>1</v>
      </c>
      <c r="L34" s="633"/>
      <c r="M34" s="20">
        <f t="shared" si="17"/>
        <v>1</v>
      </c>
      <c r="N34" s="633"/>
      <c r="O34" s="20">
        <f t="shared" si="18"/>
        <v>1</v>
      </c>
      <c r="P34" s="633"/>
      <c r="Q34" s="20">
        <f t="shared" si="19"/>
        <v>1</v>
      </c>
      <c r="R34" s="20">
        <f t="shared" si="20"/>
        <v>0</v>
      </c>
      <c r="S34" s="306">
        <f t="shared" si="11"/>
        <v>0</v>
      </c>
    </row>
    <row r="35" spans="1:19">
      <c r="A35" s="140"/>
      <c r="B35" s="51"/>
      <c r="C35" s="20">
        <f t="shared" si="12"/>
        <v>1</v>
      </c>
      <c r="D35" s="633"/>
      <c r="E35" s="20">
        <f t="shared" si="13"/>
        <v>1</v>
      </c>
      <c r="F35" s="633"/>
      <c r="G35" s="20">
        <f t="shared" si="14"/>
        <v>1</v>
      </c>
      <c r="H35" s="633"/>
      <c r="I35" s="20">
        <f t="shared" si="15"/>
        <v>1</v>
      </c>
      <c r="J35" s="633"/>
      <c r="K35" s="20">
        <f t="shared" si="16"/>
        <v>1</v>
      </c>
      <c r="L35" s="633"/>
      <c r="M35" s="20">
        <f t="shared" si="17"/>
        <v>1</v>
      </c>
      <c r="N35" s="633"/>
      <c r="O35" s="20">
        <f t="shared" si="18"/>
        <v>1</v>
      </c>
      <c r="P35" s="633"/>
      <c r="Q35" s="20">
        <f t="shared" si="19"/>
        <v>1</v>
      </c>
      <c r="R35" s="20">
        <f t="shared" si="20"/>
        <v>0</v>
      </c>
      <c r="S35" s="306">
        <f t="shared" si="11"/>
        <v>0</v>
      </c>
    </row>
    <row r="36" spans="1:19">
      <c r="A36" s="140"/>
      <c r="B36" s="51"/>
      <c r="C36" s="20">
        <f t="shared" si="12"/>
        <v>1</v>
      </c>
      <c r="D36" s="633"/>
      <c r="E36" s="20">
        <f t="shared" si="13"/>
        <v>1</v>
      </c>
      <c r="F36" s="633"/>
      <c r="G36" s="20">
        <f t="shared" si="14"/>
        <v>1</v>
      </c>
      <c r="H36" s="633"/>
      <c r="I36" s="20">
        <f t="shared" si="15"/>
        <v>1</v>
      </c>
      <c r="J36" s="633"/>
      <c r="K36" s="20">
        <f t="shared" si="16"/>
        <v>1</v>
      </c>
      <c r="L36" s="633"/>
      <c r="M36" s="20">
        <f t="shared" si="17"/>
        <v>1</v>
      </c>
      <c r="N36" s="633"/>
      <c r="O36" s="20">
        <f t="shared" si="18"/>
        <v>1</v>
      </c>
      <c r="P36" s="633"/>
      <c r="Q36" s="20">
        <f t="shared" si="19"/>
        <v>1</v>
      </c>
      <c r="R36" s="20">
        <f t="shared" si="20"/>
        <v>0</v>
      </c>
      <c r="S36" s="306">
        <f t="shared" si="11"/>
        <v>0</v>
      </c>
    </row>
    <row r="37" spans="1:19">
      <c r="A37" s="140"/>
      <c r="B37" s="51"/>
      <c r="C37" s="20">
        <f t="shared" si="12"/>
        <v>1</v>
      </c>
      <c r="D37" s="633"/>
      <c r="E37" s="20">
        <f t="shared" si="13"/>
        <v>1</v>
      </c>
      <c r="F37" s="633"/>
      <c r="G37" s="20">
        <f t="shared" si="14"/>
        <v>1</v>
      </c>
      <c r="H37" s="633"/>
      <c r="I37" s="20">
        <f t="shared" si="15"/>
        <v>1</v>
      </c>
      <c r="J37" s="633"/>
      <c r="K37" s="20">
        <f t="shared" si="16"/>
        <v>1</v>
      </c>
      <c r="L37" s="633"/>
      <c r="M37" s="20">
        <f t="shared" si="17"/>
        <v>1</v>
      </c>
      <c r="N37" s="633"/>
      <c r="O37" s="20">
        <f t="shared" si="18"/>
        <v>1</v>
      </c>
      <c r="P37" s="633"/>
      <c r="Q37" s="20">
        <f t="shared" si="19"/>
        <v>1</v>
      </c>
      <c r="R37" s="20">
        <f t="shared" si="20"/>
        <v>0</v>
      </c>
      <c r="S37" s="306">
        <f t="shared" si="11"/>
        <v>0</v>
      </c>
    </row>
    <row r="38" spans="1:19">
      <c r="A38" s="140"/>
      <c r="B38" s="51"/>
      <c r="C38" s="20">
        <f t="shared" si="12"/>
        <v>1</v>
      </c>
      <c r="D38" s="633"/>
      <c r="E38" s="20">
        <f t="shared" si="13"/>
        <v>1</v>
      </c>
      <c r="F38" s="633"/>
      <c r="G38" s="20">
        <f t="shared" si="14"/>
        <v>1</v>
      </c>
      <c r="H38" s="633"/>
      <c r="I38" s="20">
        <f t="shared" si="15"/>
        <v>1</v>
      </c>
      <c r="J38" s="633"/>
      <c r="K38" s="20">
        <f t="shared" si="16"/>
        <v>1</v>
      </c>
      <c r="L38" s="633"/>
      <c r="M38" s="20">
        <f t="shared" si="17"/>
        <v>1</v>
      </c>
      <c r="N38" s="633"/>
      <c r="O38" s="20">
        <f t="shared" si="18"/>
        <v>1</v>
      </c>
      <c r="P38" s="633"/>
      <c r="Q38" s="20">
        <f t="shared" si="19"/>
        <v>1</v>
      </c>
      <c r="R38" s="20">
        <f t="shared" si="20"/>
        <v>0</v>
      </c>
      <c r="S38" s="306">
        <f t="shared" si="11"/>
        <v>0</v>
      </c>
    </row>
    <row r="39" spans="1:19">
      <c r="A39" s="140"/>
      <c r="B39" s="51"/>
      <c r="C39" s="20">
        <f t="shared" si="12"/>
        <v>1</v>
      </c>
      <c r="D39" s="633"/>
      <c r="E39" s="20">
        <f t="shared" si="13"/>
        <v>1</v>
      </c>
      <c r="F39" s="633"/>
      <c r="G39" s="20">
        <f t="shared" si="14"/>
        <v>1</v>
      </c>
      <c r="H39" s="633"/>
      <c r="I39" s="20">
        <f t="shared" si="15"/>
        <v>1</v>
      </c>
      <c r="J39" s="633"/>
      <c r="K39" s="20">
        <f t="shared" si="16"/>
        <v>1</v>
      </c>
      <c r="L39" s="633"/>
      <c r="M39" s="20">
        <f t="shared" si="17"/>
        <v>1</v>
      </c>
      <c r="N39" s="633"/>
      <c r="O39" s="20">
        <f t="shared" si="18"/>
        <v>1</v>
      </c>
      <c r="P39" s="633"/>
      <c r="Q39" s="20">
        <f t="shared" si="19"/>
        <v>1</v>
      </c>
      <c r="R39" s="20">
        <f t="shared" si="20"/>
        <v>0</v>
      </c>
      <c r="S39" s="306">
        <f t="shared" si="11"/>
        <v>0</v>
      </c>
    </row>
    <row r="40" spans="1:19">
      <c r="A40" s="140"/>
      <c r="B40" s="51"/>
      <c r="C40" s="20">
        <f t="shared" si="12"/>
        <v>1</v>
      </c>
      <c r="D40" s="633"/>
      <c r="E40" s="20">
        <f t="shared" si="13"/>
        <v>1</v>
      </c>
      <c r="F40" s="633"/>
      <c r="G40" s="20">
        <f t="shared" si="14"/>
        <v>1</v>
      </c>
      <c r="H40" s="633"/>
      <c r="I40" s="20">
        <f t="shared" si="15"/>
        <v>1</v>
      </c>
      <c r="J40" s="633"/>
      <c r="K40" s="20">
        <f t="shared" si="16"/>
        <v>1</v>
      </c>
      <c r="L40" s="633"/>
      <c r="M40" s="20">
        <f t="shared" si="17"/>
        <v>1</v>
      </c>
      <c r="N40" s="633"/>
      <c r="O40" s="20">
        <f t="shared" si="18"/>
        <v>1</v>
      </c>
      <c r="P40" s="633"/>
      <c r="Q40" s="20">
        <f t="shared" si="19"/>
        <v>1</v>
      </c>
      <c r="R40" s="20">
        <f t="shared" si="20"/>
        <v>0</v>
      </c>
      <c r="S40" s="306">
        <f t="shared" si="11"/>
        <v>0</v>
      </c>
    </row>
    <row r="41" spans="1:19">
      <c r="A41" s="140"/>
      <c r="B41" s="51"/>
      <c r="C41" s="20">
        <f t="shared" si="12"/>
        <v>1</v>
      </c>
      <c r="D41" s="633"/>
      <c r="E41" s="20">
        <f t="shared" si="13"/>
        <v>1</v>
      </c>
      <c r="F41" s="633"/>
      <c r="G41" s="20">
        <f t="shared" si="14"/>
        <v>1</v>
      </c>
      <c r="H41" s="633"/>
      <c r="I41" s="20">
        <f t="shared" si="15"/>
        <v>1</v>
      </c>
      <c r="J41" s="633"/>
      <c r="K41" s="20">
        <f t="shared" si="16"/>
        <v>1</v>
      </c>
      <c r="L41" s="633"/>
      <c r="M41" s="20">
        <f t="shared" si="17"/>
        <v>1</v>
      </c>
      <c r="N41" s="633"/>
      <c r="O41" s="20">
        <f t="shared" si="18"/>
        <v>1</v>
      </c>
      <c r="P41" s="633"/>
      <c r="Q41" s="20">
        <f t="shared" si="19"/>
        <v>1</v>
      </c>
      <c r="R41" s="20">
        <f t="shared" si="20"/>
        <v>0</v>
      </c>
      <c r="S41" s="306">
        <f t="shared" si="11"/>
        <v>0</v>
      </c>
    </row>
    <row r="42" spans="1:19">
      <c r="A42" s="140"/>
      <c r="B42" s="51"/>
      <c r="C42" s="20">
        <f t="shared" si="12"/>
        <v>1</v>
      </c>
      <c r="D42" s="633"/>
      <c r="E42" s="20">
        <f t="shared" si="13"/>
        <v>1</v>
      </c>
      <c r="F42" s="633"/>
      <c r="G42" s="20">
        <f t="shared" si="14"/>
        <v>1</v>
      </c>
      <c r="H42" s="633"/>
      <c r="I42" s="20">
        <f t="shared" si="15"/>
        <v>1</v>
      </c>
      <c r="J42" s="633"/>
      <c r="K42" s="20">
        <f t="shared" si="16"/>
        <v>1</v>
      </c>
      <c r="L42" s="633"/>
      <c r="M42" s="20">
        <f t="shared" si="17"/>
        <v>1</v>
      </c>
      <c r="N42" s="633"/>
      <c r="O42" s="20">
        <f t="shared" si="18"/>
        <v>1</v>
      </c>
      <c r="P42" s="633"/>
      <c r="Q42" s="20">
        <f t="shared" si="19"/>
        <v>1</v>
      </c>
      <c r="R42" s="20">
        <f t="shared" si="20"/>
        <v>0</v>
      </c>
      <c r="S42" s="306">
        <f t="shared" si="11"/>
        <v>0</v>
      </c>
    </row>
    <row r="43" spans="1:19">
      <c r="A43" s="140"/>
      <c r="B43" s="51"/>
      <c r="C43" s="20">
        <f t="shared" si="12"/>
        <v>1</v>
      </c>
      <c r="D43" s="633"/>
      <c r="E43" s="20">
        <f t="shared" si="13"/>
        <v>1</v>
      </c>
      <c r="F43" s="633"/>
      <c r="G43" s="20">
        <f t="shared" si="14"/>
        <v>1</v>
      </c>
      <c r="H43" s="633"/>
      <c r="I43" s="20">
        <f t="shared" si="15"/>
        <v>1</v>
      </c>
      <c r="J43" s="633"/>
      <c r="K43" s="20">
        <f t="shared" si="16"/>
        <v>1</v>
      </c>
      <c r="L43" s="633"/>
      <c r="M43" s="20">
        <f t="shared" si="17"/>
        <v>1</v>
      </c>
      <c r="N43" s="633"/>
      <c r="O43" s="20">
        <f t="shared" si="18"/>
        <v>1</v>
      </c>
      <c r="P43" s="633"/>
      <c r="Q43" s="20">
        <f t="shared" si="19"/>
        <v>1</v>
      </c>
      <c r="R43" s="20">
        <f t="shared" si="20"/>
        <v>0</v>
      </c>
      <c r="S43" s="306">
        <f t="shared" si="11"/>
        <v>0</v>
      </c>
    </row>
    <row r="44" spans="1:19">
      <c r="A44" s="140"/>
      <c r="B44" s="51"/>
      <c r="C44" s="20">
        <f t="shared" si="12"/>
        <v>1</v>
      </c>
      <c r="D44" s="633"/>
      <c r="E44" s="20">
        <f t="shared" si="13"/>
        <v>1</v>
      </c>
      <c r="F44" s="633"/>
      <c r="G44" s="20">
        <f t="shared" si="14"/>
        <v>1</v>
      </c>
      <c r="H44" s="633"/>
      <c r="I44" s="20">
        <f t="shared" si="15"/>
        <v>1</v>
      </c>
      <c r="J44" s="633"/>
      <c r="K44" s="20">
        <f t="shared" si="16"/>
        <v>1</v>
      </c>
      <c r="L44" s="633"/>
      <c r="M44" s="20">
        <f t="shared" si="17"/>
        <v>1</v>
      </c>
      <c r="N44" s="633"/>
      <c r="O44" s="20">
        <f t="shared" si="18"/>
        <v>1</v>
      </c>
      <c r="P44" s="633"/>
      <c r="Q44" s="20">
        <f t="shared" si="19"/>
        <v>1</v>
      </c>
      <c r="R44" s="20">
        <f t="shared" si="20"/>
        <v>0</v>
      </c>
      <c r="S44" s="306">
        <f t="shared" si="11"/>
        <v>0</v>
      </c>
    </row>
    <row r="45" spans="1:19">
      <c r="A45" s="140"/>
      <c r="B45" s="51"/>
      <c r="C45" s="20">
        <f t="shared" si="12"/>
        <v>1</v>
      </c>
      <c r="D45" s="633"/>
      <c r="E45" s="20">
        <f t="shared" si="13"/>
        <v>1</v>
      </c>
      <c r="F45" s="633"/>
      <c r="G45" s="20">
        <f t="shared" si="14"/>
        <v>1</v>
      </c>
      <c r="H45" s="633"/>
      <c r="I45" s="20">
        <f t="shared" si="15"/>
        <v>1</v>
      </c>
      <c r="J45" s="633"/>
      <c r="K45" s="20">
        <f t="shared" si="16"/>
        <v>1</v>
      </c>
      <c r="L45" s="633"/>
      <c r="M45" s="20">
        <f t="shared" si="17"/>
        <v>1</v>
      </c>
      <c r="N45" s="633"/>
      <c r="O45" s="20">
        <f t="shared" si="18"/>
        <v>1</v>
      </c>
      <c r="P45" s="633"/>
      <c r="Q45" s="20">
        <f t="shared" si="19"/>
        <v>1</v>
      </c>
      <c r="R45" s="20">
        <f t="shared" si="20"/>
        <v>0</v>
      </c>
      <c r="S45" s="306">
        <f t="shared" si="11"/>
        <v>0</v>
      </c>
    </row>
    <row r="46" spans="1:19">
      <c r="A46" s="140"/>
      <c r="B46" s="51"/>
      <c r="C46" s="20">
        <f t="shared" si="12"/>
        <v>1</v>
      </c>
      <c r="D46" s="633"/>
      <c r="E46" s="20">
        <f t="shared" si="13"/>
        <v>1</v>
      </c>
      <c r="F46" s="633"/>
      <c r="G46" s="20">
        <f t="shared" si="14"/>
        <v>1</v>
      </c>
      <c r="H46" s="633"/>
      <c r="I46" s="20">
        <f t="shared" si="15"/>
        <v>1</v>
      </c>
      <c r="J46" s="633"/>
      <c r="K46" s="20">
        <f t="shared" si="16"/>
        <v>1</v>
      </c>
      <c r="L46" s="633"/>
      <c r="M46" s="20">
        <f t="shared" si="17"/>
        <v>1</v>
      </c>
      <c r="N46" s="633"/>
      <c r="O46" s="20">
        <f t="shared" si="18"/>
        <v>1</v>
      </c>
      <c r="P46" s="633"/>
      <c r="Q46" s="20">
        <f t="shared" si="19"/>
        <v>1</v>
      </c>
      <c r="R46" s="20">
        <f t="shared" si="20"/>
        <v>0</v>
      </c>
      <c r="S46" s="306">
        <f t="shared" si="11"/>
        <v>0</v>
      </c>
    </row>
    <row r="47" spans="1:19">
      <c r="A47" s="140"/>
      <c r="B47" s="51"/>
      <c r="C47" s="20">
        <f t="shared" si="12"/>
        <v>1</v>
      </c>
      <c r="D47" s="633"/>
      <c r="E47" s="20">
        <f t="shared" si="13"/>
        <v>1</v>
      </c>
      <c r="F47" s="633"/>
      <c r="G47" s="20">
        <f t="shared" si="14"/>
        <v>1</v>
      </c>
      <c r="H47" s="633"/>
      <c r="I47" s="20">
        <f t="shared" si="15"/>
        <v>1</v>
      </c>
      <c r="J47" s="633"/>
      <c r="K47" s="20">
        <f t="shared" si="16"/>
        <v>1</v>
      </c>
      <c r="L47" s="633"/>
      <c r="M47" s="20">
        <f t="shared" si="17"/>
        <v>1</v>
      </c>
      <c r="N47" s="633"/>
      <c r="O47" s="20">
        <f t="shared" si="18"/>
        <v>1</v>
      </c>
      <c r="P47" s="633"/>
      <c r="Q47" s="20">
        <f t="shared" si="19"/>
        <v>1</v>
      </c>
      <c r="R47" s="20">
        <f t="shared" si="20"/>
        <v>0</v>
      </c>
      <c r="S47" s="306">
        <f t="shared" si="11"/>
        <v>0</v>
      </c>
    </row>
    <row r="48" spans="1:19">
      <c r="A48" s="140"/>
      <c r="B48" s="51"/>
      <c r="C48" s="20">
        <f t="shared" si="12"/>
        <v>1</v>
      </c>
      <c r="D48" s="633"/>
      <c r="E48" s="20">
        <f t="shared" si="13"/>
        <v>1</v>
      </c>
      <c r="F48" s="633"/>
      <c r="G48" s="20">
        <f t="shared" si="14"/>
        <v>1</v>
      </c>
      <c r="H48" s="633"/>
      <c r="I48" s="20">
        <f t="shared" si="15"/>
        <v>1</v>
      </c>
      <c r="J48" s="633"/>
      <c r="K48" s="20">
        <f t="shared" si="16"/>
        <v>1</v>
      </c>
      <c r="L48" s="633"/>
      <c r="M48" s="20">
        <f t="shared" si="17"/>
        <v>1</v>
      </c>
      <c r="N48" s="633"/>
      <c r="O48" s="20">
        <f t="shared" si="18"/>
        <v>1</v>
      </c>
      <c r="P48" s="633"/>
      <c r="Q48" s="20">
        <f t="shared" si="19"/>
        <v>1</v>
      </c>
      <c r="R48" s="20">
        <f t="shared" si="20"/>
        <v>0</v>
      </c>
      <c r="S48" s="306">
        <f t="shared" si="11"/>
        <v>0</v>
      </c>
    </row>
    <row r="49" spans="1:19">
      <c r="A49" s="140"/>
      <c r="B49" s="51"/>
      <c r="C49" s="20">
        <f t="shared" si="12"/>
        <v>1</v>
      </c>
      <c r="D49" s="633"/>
      <c r="E49" s="20">
        <f t="shared" si="13"/>
        <v>1</v>
      </c>
      <c r="F49" s="633"/>
      <c r="G49" s="20">
        <f t="shared" si="14"/>
        <v>1</v>
      </c>
      <c r="H49" s="633"/>
      <c r="I49" s="20">
        <f t="shared" si="15"/>
        <v>1</v>
      </c>
      <c r="J49" s="633"/>
      <c r="K49" s="20">
        <f t="shared" si="16"/>
        <v>1</v>
      </c>
      <c r="L49" s="633"/>
      <c r="M49" s="20">
        <f t="shared" si="17"/>
        <v>1</v>
      </c>
      <c r="N49" s="633"/>
      <c r="O49" s="20">
        <f t="shared" si="18"/>
        <v>1</v>
      </c>
      <c r="P49" s="633"/>
      <c r="Q49" s="20">
        <f t="shared" si="19"/>
        <v>1</v>
      </c>
      <c r="R49" s="20">
        <f t="shared" si="20"/>
        <v>0</v>
      </c>
      <c r="S49" s="306">
        <f t="shared" si="11"/>
        <v>0</v>
      </c>
    </row>
    <row r="50" spans="1:19">
      <c r="A50" s="140"/>
      <c r="B50" s="51"/>
      <c r="C50" s="20">
        <f t="shared" si="12"/>
        <v>1</v>
      </c>
      <c r="D50" s="633"/>
      <c r="E50" s="20">
        <f t="shared" si="13"/>
        <v>1</v>
      </c>
      <c r="F50" s="633"/>
      <c r="G50" s="20">
        <f t="shared" si="14"/>
        <v>1</v>
      </c>
      <c r="H50" s="633"/>
      <c r="I50" s="20">
        <f t="shared" si="15"/>
        <v>1</v>
      </c>
      <c r="J50" s="633"/>
      <c r="K50" s="20">
        <f t="shared" si="16"/>
        <v>1</v>
      </c>
      <c r="L50" s="633"/>
      <c r="M50" s="20">
        <f t="shared" si="17"/>
        <v>1</v>
      </c>
      <c r="N50" s="633"/>
      <c r="O50" s="20">
        <f t="shared" si="18"/>
        <v>1</v>
      </c>
      <c r="P50" s="633"/>
      <c r="Q50" s="20">
        <f t="shared" si="19"/>
        <v>1</v>
      </c>
      <c r="R50" s="20">
        <f t="shared" si="20"/>
        <v>0</v>
      </c>
      <c r="S50" s="306">
        <f t="shared" si="11"/>
        <v>0</v>
      </c>
    </row>
    <row r="51" spans="1:19">
      <c r="A51" s="140"/>
      <c r="B51" s="51"/>
      <c r="C51" s="20">
        <f t="shared" si="12"/>
        <v>1</v>
      </c>
      <c r="D51" s="633"/>
      <c r="E51" s="20">
        <f t="shared" si="13"/>
        <v>1</v>
      </c>
      <c r="F51" s="633"/>
      <c r="G51" s="20">
        <f t="shared" si="14"/>
        <v>1</v>
      </c>
      <c r="H51" s="633"/>
      <c r="I51" s="20">
        <f t="shared" si="15"/>
        <v>1</v>
      </c>
      <c r="J51" s="633"/>
      <c r="K51" s="20">
        <f t="shared" si="16"/>
        <v>1</v>
      </c>
      <c r="L51" s="633"/>
      <c r="M51" s="20">
        <f t="shared" si="17"/>
        <v>1</v>
      </c>
      <c r="N51" s="633"/>
      <c r="O51" s="20">
        <f t="shared" si="18"/>
        <v>1</v>
      </c>
      <c r="P51" s="633"/>
      <c r="Q51" s="20">
        <f t="shared" si="19"/>
        <v>1</v>
      </c>
      <c r="R51" s="20">
        <f t="shared" si="20"/>
        <v>0</v>
      </c>
      <c r="S51" s="306">
        <f t="shared" si="11"/>
        <v>0</v>
      </c>
    </row>
    <row r="52" spans="1:19">
      <c r="A52" s="140"/>
      <c r="B52" s="51"/>
      <c r="C52" s="20">
        <f t="shared" si="12"/>
        <v>1</v>
      </c>
      <c r="D52" s="633"/>
      <c r="E52" s="20">
        <f t="shared" si="13"/>
        <v>1</v>
      </c>
      <c r="F52" s="633"/>
      <c r="G52" s="20">
        <f t="shared" si="14"/>
        <v>1</v>
      </c>
      <c r="H52" s="633"/>
      <c r="I52" s="20">
        <f t="shared" si="15"/>
        <v>1</v>
      </c>
      <c r="J52" s="633"/>
      <c r="K52" s="20">
        <f t="shared" si="16"/>
        <v>1</v>
      </c>
      <c r="L52" s="633"/>
      <c r="M52" s="20">
        <f t="shared" si="17"/>
        <v>1</v>
      </c>
      <c r="N52" s="633"/>
      <c r="O52" s="20">
        <f t="shared" si="18"/>
        <v>1</v>
      </c>
      <c r="P52" s="633"/>
      <c r="Q52" s="20">
        <f t="shared" si="19"/>
        <v>1</v>
      </c>
      <c r="R52" s="20">
        <f t="shared" si="20"/>
        <v>0</v>
      </c>
      <c r="S52" s="306">
        <f t="shared" si="11"/>
        <v>0</v>
      </c>
    </row>
    <row r="53" spans="1:19">
      <c r="A53" s="140"/>
      <c r="B53" s="51"/>
      <c r="C53" s="20">
        <f t="shared" si="12"/>
        <v>1</v>
      </c>
      <c r="D53" s="633"/>
      <c r="E53" s="20">
        <f t="shared" si="13"/>
        <v>1</v>
      </c>
      <c r="F53" s="633"/>
      <c r="G53" s="20">
        <f t="shared" si="14"/>
        <v>1</v>
      </c>
      <c r="H53" s="633"/>
      <c r="I53" s="20">
        <f t="shared" si="15"/>
        <v>1</v>
      </c>
      <c r="J53" s="633"/>
      <c r="K53" s="20">
        <f t="shared" si="16"/>
        <v>1</v>
      </c>
      <c r="L53" s="633"/>
      <c r="M53" s="20">
        <f t="shared" si="17"/>
        <v>1</v>
      </c>
      <c r="N53" s="633"/>
      <c r="O53" s="20">
        <f t="shared" si="18"/>
        <v>1</v>
      </c>
      <c r="P53" s="633"/>
      <c r="Q53" s="20">
        <f t="shared" si="19"/>
        <v>1</v>
      </c>
      <c r="R53" s="20">
        <f t="shared" si="20"/>
        <v>0</v>
      </c>
      <c r="S53" s="306">
        <f t="shared" si="11"/>
        <v>0</v>
      </c>
    </row>
    <row r="54" spans="1:19">
      <c r="A54" s="140"/>
      <c r="B54" s="51"/>
      <c r="C54" s="20">
        <f t="shared" si="12"/>
        <v>1</v>
      </c>
      <c r="D54" s="633"/>
      <c r="E54" s="20">
        <f t="shared" si="13"/>
        <v>1</v>
      </c>
      <c r="F54" s="633"/>
      <c r="G54" s="20">
        <f t="shared" si="14"/>
        <v>1</v>
      </c>
      <c r="H54" s="633"/>
      <c r="I54" s="20">
        <f t="shared" si="15"/>
        <v>1</v>
      </c>
      <c r="J54" s="633"/>
      <c r="K54" s="20">
        <f t="shared" si="16"/>
        <v>1</v>
      </c>
      <c r="L54" s="633"/>
      <c r="M54" s="20">
        <f t="shared" si="17"/>
        <v>1</v>
      </c>
      <c r="N54" s="633"/>
      <c r="O54" s="20">
        <f t="shared" si="18"/>
        <v>1</v>
      </c>
      <c r="P54" s="633"/>
      <c r="Q54" s="20">
        <f t="shared" si="19"/>
        <v>1</v>
      </c>
      <c r="R54" s="20">
        <f t="shared" si="20"/>
        <v>0</v>
      </c>
      <c r="S54" s="306">
        <f t="shared" si="11"/>
        <v>0</v>
      </c>
    </row>
    <row r="55" spans="1:19">
      <c r="A55" s="140"/>
      <c r="B55" s="51"/>
      <c r="C55" s="20">
        <f t="shared" si="12"/>
        <v>1</v>
      </c>
      <c r="D55" s="633"/>
      <c r="E55" s="20">
        <f t="shared" si="13"/>
        <v>1</v>
      </c>
      <c r="F55" s="633"/>
      <c r="G55" s="20">
        <f t="shared" si="14"/>
        <v>1</v>
      </c>
      <c r="H55" s="633"/>
      <c r="I55" s="20">
        <f t="shared" si="15"/>
        <v>1</v>
      </c>
      <c r="J55" s="633"/>
      <c r="K55" s="20">
        <f t="shared" si="16"/>
        <v>1</v>
      </c>
      <c r="L55" s="633"/>
      <c r="M55" s="20">
        <f t="shared" si="17"/>
        <v>1</v>
      </c>
      <c r="N55" s="633"/>
      <c r="O55" s="20">
        <f t="shared" si="18"/>
        <v>1</v>
      </c>
      <c r="P55" s="633"/>
      <c r="Q55" s="20">
        <f t="shared" si="19"/>
        <v>1</v>
      </c>
      <c r="R55" s="20">
        <f t="shared" si="20"/>
        <v>0</v>
      </c>
      <c r="S55" s="306">
        <f t="shared" ref="S55:S77" si="21">ROUND(R55*B55/10000,0)</f>
        <v>0</v>
      </c>
    </row>
    <row r="56" spans="1:19">
      <c r="A56" s="140"/>
      <c r="B56" s="51"/>
      <c r="C56" s="20">
        <f t="shared" si="12"/>
        <v>1</v>
      </c>
      <c r="D56" s="633"/>
      <c r="E56" s="20">
        <f t="shared" si="13"/>
        <v>1</v>
      </c>
      <c r="F56" s="633"/>
      <c r="G56" s="20">
        <f t="shared" si="14"/>
        <v>1</v>
      </c>
      <c r="H56" s="633"/>
      <c r="I56" s="20">
        <f t="shared" si="15"/>
        <v>1</v>
      </c>
      <c r="J56" s="633"/>
      <c r="K56" s="20">
        <f t="shared" si="16"/>
        <v>1</v>
      </c>
      <c r="L56" s="633"/>
      <c r="M56" s="20">
        <f t="shared" si="17"/>
        <v>1</v>
      </c>
      <c r="N56" s="633"/>
      <c r="O56" s="20">
        <f t="shared" si="18"/>
        <v>1</v>
      </c>
      <c r="P56" s="633"/>
      <c r="Q56" s="20">
        <f t="shared" si="19"/>
        <v>1</v>
      </c>
      <c r="R56" s="20">
        <f t="shared" si="20"/>
        <v>0</v>
      </c>
      <c r="S56" s="306">
        <f t="shared" si="21"/>
        <v>0</v>
      </c>
    </row>
    <row r="57" spans="1:19">
      <c r="A57" s="140"/>
      <c r="B57" s="51"/>
      <c r="C57" s="20">
        <f t="shared" si="12"/>
        <v>1</v>
      </c>
      <c r="D57" s="633"/>
      <c r="E57" s="20">
        <f t="shared" si="13"/>
        <v>1</v>
      </c>
      <c r="F57" s="633"/>
      <c r="G57" s="20">
        <f t="shared" si="14"/>
        <v>1</v>
      </c>
      <c r="H57" s="633"/>
      <c r="I57" s="20">
        <f t="shared" si="15"/>
        <v>1</v>
      </c>
      <c r="J57" s="633"/>
      <c r="K57" s="20">
        <f t="shared" si="16"/>
        <v>1</v>
      </c>
      <c r="L57" s="633"/>
      <c r="M57" s="20">
        <f t="shared" si="17"/>
        <v>1</v>
      </c>
      <c r="N57" s="633"/>
      <c r="O57" s="20">
        <f t="shared" si="18"/>
        <v>1</v>
      </c>
      <c r="P57" s="633"/>
      <c r="Q57" s="20">
        <f t="shared" si="19"/>
        <v>1</v>
      </c>
      <c r="R57" s="20">
        <f t="shared" si="20"/>
        <v>0</v>
      </c>
      <c r="S57" s="306">
        <f t="shared" si="21"/>
        <v>0</v>
      </c>
    </row>
    <row r="58" spans="1:19">
      <c r="A58" s="140"/>
      <c r="B58" s="51"/>
      <c r="C58" s="20">
        <f t="shared" si="12"/>
        <v>1</v>
      </c>
      <c r="D58" s="633"/>
      <c r="E58" s="20">
        <f t="shared" si="13"/>
        <v>1</v>
      </c>
      <c r="F58" s="633"/>
      <c r="G58" s="20">
        <f t="shared" si="14"/>
        <v>1</v>
      </c>
      <c r="H58" s="633"/>
      <c r="I58" s="20">
        <f t="shared" si="15"/>
        <v>1</v>
      </c>
      <c r="J58" s="633"/>
      <c r="K58" s="20">
        <f t="shared" si="16"/>
        <v>1</v>
      </c>
      <c r="L58" s="633"/>
      <c r="M58" s="20">
        <f t="shared" si="17"/>
        <v>1</v>
      </c>
      <c r="N58" s="633"/>
      <c r="O58" s="20">
        <f t="shared" si="18"/>
        <v>1</v>
      </c>
      <c r="P58" s="633"/>
      <c r="Q58" s="20">
        <f t="shared" si="19"/>
        <v>1</v>
      </c>
      <c r="R58" s="20">
        <f t="shared" si="20"/>
        <v>0</v>
      </c>
      <c r="S58" s="306">
        <f t="shared" si="21"/>
        <v>0</v>
      </c>
    </row>
    <row r="59" spans="1:19">
      <c r="A59" s="140"/>
      <c r="B59" s="51"/>
      <c r="C59" s="20">
        <f t="shared" si="12"/>
        <v>1</v>
      </c>
      <c r="D59" s="633"/>
      <c r="E59" s="20">
        <f t="shared" si="13"/>
        <v>1</v>
      </c>
      <c r="F59" s="633"/>
      <c r="G59" s="20">
        <f t="shared" si="14"/>
        <v>1</v>
      </c>
      <c r="H59" s="633"/>
      <c r="I59" s="20">
        <f t="shared" si="15"/>
        <v>1</v>
      </c>
      <c r="J59" s="633"/>
      <c r="K59" s="20">
        <f t="shared" si="16"/>
        <v>1</v>
      </c>
      <c r="L59" s="633"/>
      <c r="M59" s="20">
        <f t="shared" si="17"/>
        <v>1</v>
      </c>
      <c r="N59" s="633"/>
      <c r="O59" s="20">
        <f t="shared" si="18"/>
        <v>1</v>
      </c>
      <c r="P59" s="633"/>
      <c r="Q59" s="20">
        <f t="shared" si="19"/>
        <v>1</v>
      </c>
      <c r="R59" s="20">
        <f t="shared" si="20"/>
        <v>0</v>
      </c>
      <c r="S59" s="306">
        <f t="shared" si="21"/>
        <v>0</v>
      </c>
    </row>
    <row r="60" spans="1:19">
      <c r="A60" s="140"/>
      <c r="B60" s="51"/>
      <c r="C60" s="20">
        <f t="shared" si="12"/>
        <v>1</v>
      </c>
      <c r="D60" s="633"/>
      <c r="E60" s="20">
        <f t="shared" si="13"/>
        <v>1</v>
      </c>
      <c r="F60" s="633"/>
      <c r="G60" s="20">
        <f t="shared" si="14"/>
        <v>1</v>
      </c>
      <c r="H60" s="633"/>
      <c r="I60" s="20">
        <f t="shared" si="15"/>
        <v>1</v>
      </c>
      <c r="J60" s="633"/>
      <c r="K60" s="20">
        <f t="shared" si="16"/>
        <v>1</v>
      </c>
      <c r="L60" s="633"/>
      <c r="M60" s="20">
        <f t="shared" si="17"/>
        <v>1</v>
      </c>
      <c r="N60" s="633"/>
      <c r="O60" s="20">
        <f t="shared" si="18"/>
        <v>1</v>
      </c>
      <c r="P60" s="633"/>
      <c r="Q60" s="20">
        <f t="shared" si="19"/>
        <v>1</v>
      </c>
      <c r="R60" s="20">
        <f t="shared" si="20"/>
        <v>0</v>
      </c>
      <c r="S60" s="306">
        <f t="shared" si="21"/>
        <v>0</v>
      </c>
    </row>
    <row r="61" spans="1:19">
      <c r="A61" s="140"/>
      <c r="B61" s="51"/>
      <c r="C61" s="20">
        <f t="shared" si="12"/>
        <v>1</v>
      </c>
      <c r="D61" s="633"/>
      <c r="E61" s="20">
        <f t="shared" si="13"/>
        <v>1</v>
      </c>
      <c r="F61" s="633"/>
      <c r="G61" s="20">
        <f t="shared" si="14"/>
        <v>1</v>
      </c>
      <c r="H61" s="633"/>
      <c r="I61" s="20">
        <f t="shared" si="15"/>
        <v>1</v>
      </c>
      <c r="J61" s="633"/>
      <c r="K61" s="20">
        <f t="shared" si="16"/>
        <v>1</v>
      </c>
      <c r="L61" s="633"/>
      <c r="M61" s="20">
        <f t="shared" si="17"/>
        <v>1</v>
      </c>
      <c r="N61" s="633"/>
      <c r="O61" s="20">
        <f t="shared" si="18"/>
        <v>1</v>
      </c>
      <c r="P61" s="633"/>
      <c r="Q61" s="20">
        <f t="shared" si="19"/>
        <v>1</v>
      </c>
      <c r="R61" s="20">
        <f t="shared" si="20"/>
        <v>0</v>
      </c>
      <c r="S61" s="306">
        <f t="shared" si="21"/>
        <v>0</v>
      </c>
    </row>
    <row r="62" spans="1:19">
      <c r="A62" s="140"/>
      <c r="B62" s="51"/>
      <c r="C62" s="20">
        <f t="shared" si="12"/>
        <v>1</v>
      </c>
      <c r="D62" s="633"/>
      <c r="E62" s="20">
        <f t="shared" si="13"/>
        <v>1</v>
      </c>
      <c r="F62" s="633"/>
      <c r="G62" s="20">
        <f t="shared" si="14"/>
        <v>1</v>
      </c>
      <c r="H62" s="633"/>
      <c r="I62" s="20">
        <f t="shared" si="15"/>
        <v>1</v>
      </c>
      <c r="J62" s="633"/>
      <c r="K62" s="20">
        <f t="shared" si="16"/>
        <v>1</v>
      </c>
      <c r="L62" s="633"/>
      <c r="M62" s="20">
        <f t="shared" si="17"/>
        <v>1</v>
      </c>
      <c r="N62" s="633"/>
      <c r="O62" s="20">
        <f t="shared" si="18"/>
        <v>1</v>
      </c>
      <c r="P62" s="633"/>
      <c r="Q62" s="20">
        <f t="shared" si="19"/>
        <v>1</v>
      </c>
      <c r="R62" s="20">
        <f t="shared" si="20"/>
        <v>0</v>
      </c>
      <c r="S62" s="306">
        <f t="shared" si="21"/>
        <v>0</v>
      </c>
    </row>
    <row r="63" spans="1:19">
      <c r="A63" s="140"/>
      <c r="B63" s="51"/>
      <c r="C63" s="20">
        <f t="shared" si="12"/>
        <v>1</v>
      </c>
      <c r="D63" s="633"/>
      <c r="E63" s="20">
        <f t="shared" si="13"/>
        <v>1</v>
      </c>
      <c r="F63" s="633"/>
      <c r="G63" s="20">
        <f t="shared" si="14"/>
        <v>1</v>
      </c>
      <c r="H63" s="633"/>
      <c r="I63" s="20">
        <f t="shared" si="15"/>
        <v>1</v>
      </c>
      <c r="J63" s="633"/>
      <c r="K63" s="20">
        <f t="shared" si="16"/>
        <v>1</v>
      </c>
      <c r="L63" s="633"/>
      <c r="M63" s="20">
        <f t="shared" si="17"/>
        <v>1</v>
      </c>
      <c r="N63" s="633"/>
      <c r="O63" s="20">
        <f t="shared" si="18"/>
        <v>1</v>
      </c>
      <c r="P63" s="633"/>
      <c r="Q63" s="20">
        <f t="shared" si="19"/>
        <v>1</v>
      </c>
      <c r="R63" s="20">
        <f t="shared" si="20"/>
        <v>0</v>
      </c>
      <c r="S63" s="306">
        <f t="shared" si="21"/>
        <v>0</v>
      </c>
    </row>
    <row r="64" spans="1:19">
      <c r="A64" s="140"/>
      <c r="B64" s="51"/>
      <c r="C64" s="20">
        <f t="shared" si="12"/>
        <v>1</v>
      </c>
      <c r="D64" s="633"/>
      <c r="E64" s="20">
        <f t="shared" si="13"/>
        <v>1</v>
      </c>
      <c r="F64" s="633"/>
      <c r="G64" s="20">
        <f t="shared" si="14"/>
        <v>1</v>
      </c>
      <c r="H64" s="633"/>
      <c r="I64" s="20">
        <f t="shared" si="15"/>
        <v>1</v>
      </c>
      <c r="J64" s="633"/>
      <c r="K64" s="20">
        <f t="shared" si="16"/>
        <v>1</v>
      </c>
      <c r="L64" s="633"/>
      <c r="M64" s="20">
        <f t="shared" si="17"/>
        <v>1</v>
      </c>
      <c r="N64" s="633"/>
      <c r="O64" s="20">
        <f t="shared" si="18"/>
        <v>1</v>
      </c>
      <c r="P64" s="633"/>
      <c r="Q64" s="20">
        <f t="shared" si="19"/>
        <v>1</v>
      </c>
      <c r="R64" s="20">
        <f t="shared" si="20"/>
        <v>0</v>
      </c>
      <c r="S64" s="306">
        <f t="shared" si="21"/>
        <v>0</v>
      </c>
    </row>
    <row r="65" spans="1:19">
      <c r="A65" s="140"/>
      <c r="B65" s="51"/>
      <c r="C65" s="20">
        <f t="shared" si="12"/>
        <v>1</v>
      </c>
      <c r="D65" s="633"/>
      <c r="E65" s="20">
        <f t="shared" si="13"/>
        <v>1</v>
      </c>
      <c r="F65" s="633"/>
      <c r="G65" s="20">
        <f t="shared" si="14"/>
        <v>1</v>
      </c>
      <c r="H65" s="633"/>
      <c r="I65" s="20">
        <f t="shared" si="15"/>
        <v>1</v>
      </c>
      <c r="J65" s="633"/>
      <c r="K65" s="20">
        <f t="shared" si="16"/>
        <v>1</v>
      </c>
      <c r="L65" s="633"/>
      <c r="M65" s="20">
        <f t="shared" si="17"/>
        <v>1</v>
      </c>
      <c r="N65" s="633"/>
      <c r="O65" s="20">
        <f t="shared" si="18"/>
        <v>1</v>
      </c>
      <c r="P65" s="633"/>
      <c r="Q65" s="20">
        <f t="shared" si="19"/>
        <v>1</v>
      </c>
      <c r="R65" s="20">
        <f t="shared" si="20"/>
        <v>0</v>
      </c>
      <c r="S65" s="306">
        <f t="shared" si="21"/>
        <v>0</v>
      </c>
    </row>
    <row r="66" spans="1:19">
      <c r="A66" s="140"/>
      <c r="B66" s="51"/>
      <c r="C66" s="20">
        <f t="shared" si="12"/>
        <v>1</v>
      </c>
      <c r="D66" s="633"/>
      <c r="E66" s="20">
        <f t="shared" si="13"/>
        <v>1</v>
      </c>
      <c r="F66" s="633"/>
      <c r="G66" s="20">
        <f t="shared" si="14"/>
        <v>1</v>
      </c>
      <c r="H66" s="633"/>
      <c r="I66" s="20">
        <f t="shared" si="15"/>
        <v>1</v>
      </c>
      <c r="J66" s="633"/>
      <c r="K66" s="20">
        <f t="shared" si="16"/>
        <v>1</v>
      </c>
      <c r="L66" s="633"/>
      <c r="M66" s="20">
        <f t="shared" si="17"/>
        <v>1</v>
      </c>
      <c r="N66" s="633"/>
      <c r="O66" s="20">
        <f t="shared" si="18"/>
        <v>1</v>
      </c>
      <c r="P66" s="633"/>
      <c r="Q66" s="20">
        <f t="shared" si="19"/>
        <v>1</v>
      </c>
      <c r="R66" s="20">
        <f t="shared" si="20"/>
        <v>0</v>
      </c>
      <c r="S66" s="306">
        <f t="shared" si="21"/>
        <v>0</v>
      </c>
    </row>
    <row r="67" spans="1:19">
      <c r="A67" s="140"/>
      <c r="B67" s="51"/>
      <c r="C67" s="20">
        <f t="shared" si="12"/>
        <v>1</v>
      </c>
      <c r="D67" s="633"/>
      <c r="E67" s="20">
        <f t="shared" si="13"/>
        <v>1</v>
      </c>
      <c r="F67" s="633"/>
      <c r="G67" s="20">
        <f t="shared" si="14"/>
        <v>1</v>
      </c>
      <c r="H67" s="633"/>
      <c r="I67" s="20">
        <f t="shared" si="15"/>
        <v>1</v>
      </c>
      <c r="J67" s="633"/>
      <c r="K67" s="20">
        <f t="shared" si="16"/>
        <v>1</v>
      </c>
      <c r="L67" s="633"/>
      <c r="M67" s="20">
        <f t="shared" si="17"/>
        <v>1</v>
      </c>
      <c r="N67" s="633"/>
      <c r="O67" s="20">
        <f t="shared" si="18"/>
        <v>1</v>
      </c>
      <c r="P67" s="633"/>
      <c r="Q67" s="20">
        <f t="shared" si="19"/>
        <v>1</v>
      </c>
      <c r="R67" s="20">
        <f t="shared" si="20"/>
        <v>0</v>
      </c>
      <c r="S67" s="306">
        <f t="shared" si="21"/>
        <v>0</v>
      </c>
    </row>
    <row r="68" spans="1:19">
      <c r="A68" s="140"/>
      <c r="B68" s="51"/>
      <c r="C68" s="20">
        <f t="shared" si="12"/>
        <v>1</v>
      </c>
      <c r="D68" s="633"/>
      <c r="E68" s="20">
        <f t="shared" si="13"/>
        <v>1</v>
      </c>
      <c r="F68" s="633"/>
      <c r="G68" s="20">
        <f t="shared" si="14"/>
        <v>1</v>
      </c>
      <c r="H68" s="633"/>
      <c r="I68" s="20">
        <f t="shared" si="15"/>
        <v>1</v>
      </c>
      <c r="J68" s="633"/>
      <c r="K68" s="20">
        <f t="shared" si="16"/>
        <v>1</v>
      </c>
      <c r="L68" s="633"/>
      <c r="M68" s="20">
        <f t="shared" si="17"/>
        <v>1</v>
      </c>
      <c r="N68" s="633"/>
      <c r="O68" s="20">
        <f t="shared" si="18"/>
        <v>1</v>
      </c>
      <c r="P68" s="633"/>
      <c r="Q68" s="20">
        <f t="shared" si="19"/>
        <v>1</v>
      </c>
      <c r="R68" s="20">
        <f t="shared" si="20"/>
        <v>0</v>
      </c>
      <c r="S68" s="306">
        <f t="shared" si="21"/>
        <v>0</v>
      </c>
    </row>
    <row r="69" spans="1:19">
      <c r="A69" s="140"/>
      <c r="B69" s="51"/>
      <c r="C69" s="20">
        <f t="shared" si="12"/>
        <v>1</v>
      </c>
      <c r="D69" s="633"/>
      <c r="E69" s="20">
        <f t="shared" si="13"/>
        <v>1</v>
      </c>
      <c r="F69" s="633"/>
      <c r="G69" s="20">
        <f t="shared" si="14"/>
        <v>1</v>
      </c>
      <c r="H69" s="633"/>
      <c r="I69" s="20">
        <f t="shared" si="15"/>
        <v>1</v>
      </c>
      <c r="J69" s="633"/>
      <c r="K69" s="20">
        <f t="shared" si="16"/>
        <v>1</v>
      </c>
      <c r="L69" s="633"/>
      <c r="M69" s="20">
        <f t="shared" si="17"/>
        <v>1</v>
      </c>
      <c r="N69" s="633"/>
      <c r="O69" s="20">
        <f t="shared" si="18"/>
        <v>1</v>
      </c>
      <c r="P69" s="633"/>
      <c r="Q69" s="20">
        <f t="shared" si="19"/>
        <v>1</v>
      </c>
      <c r="R69" s="20">
        <f t="shared" si="20"/>
        <v>0</v>
      </c>
      <c r="S69" s="306">
        <f t="shared" si="21"/>
        <v>0</v>
      </c>
    </row>
    <row r="70" spans="1:19">
      <c r="A70" s="140"/>
      <c r="B70" s="51"/>
      <c r="C70" s="20">
        <f t="shared" si="12"/>
        <v>1</v>
      </c>
      <c r="D70" s="633"/>
      <c r="E70" s="20">
        <f t="shared" si="13"/>
        <v>1</v>
      </c>
      <c r="F70" s="633"/>
      <c r="G70" s="20">
        <f t="shared" si="14"/>
        <v>1</v>
      </c>
      <c r="H70" s="633"/>
      <c r="I70" s="20">
        <f t="shared" si="15"/>
        <v>1</v>
      </c>
      <c r="J70" s="633"/>
      <c r="K70" s="20">
        <f t="shared" si="16"/>
        <v>1</v>
      </c>
      <c r="L70" s="633"/>
      <c r="M70" s="20">
        <f t="shared" si="17"/>
        <v>1</v>
      </c>
      <c r="N70" s="633"/>
      <c r="O70" s="20">
        <f t="shared" si="18"/>
        <v>1</v>
      </c>
      <c r="P70" s="633"/>
      <c r="Q70" s="20">
        <f t="shared" si="19"/>
        <v>1</v>
      </c>
      <c r="R70" s="20">
        <f t="shared" si="20"/>
        <v>0</v>
      </c>
      <c r="S70" s="306">
        <f t="shared" si="21"/>
        <v>0</v>
      </c>
    </row>
    <row r="71" spans="1:19">
      <c r="A71" s="140"/>
      <c r="B71" s="51"/>
      <c r="C71" s="20">
        <f t="shared" si="12"/>
        <v>1</v>
      </c>
      <c r="D71" s="633"/>
      <c r="E71" s="20">
        <f t="shared" si="13"/>
        <v>1</v>
      </c>
      <c r="F71" s="633"/>
      <c r="G71" s="20">
        <f t="shared" si="14"/>
        <v>1</v>
      </c>
      <c r="H71" s="633"/>
      <c r="I71" s="20">
        <f t="shared" si="15"/>
        <v>1</v>
      </c>
      <c r="J71" s="633"/>
      <c r="K71" s="20">
        <f t="shared" si="16"/>
        <v>1</v>
      </c>
      <c r="L71" s="633"/>
      <c r="M71" s="20">
        <f t="shared" si="17"/>
        <v>1</v>
      </c>
      <c r="N71" s="633"/>
      <c r="O71" s="20">
        <f t="shared" si="18"/>
        <v>1</v>
      </c>
      <c r="P71" s="633"/>
      <c r="Q71" s="20">
        <f t="shared" si="19"/>
        <v>1</v>
      </c>
      <c r="R71" s="20">
        <f t="shared" si="20"/>
        <v>0</v>
      </c>
      <c r="S71" s="306">
        <f t="shared" si="21"/>
        <v>0</v>
      </c>
    </row>
    <row r="72" spans="1:19">
      <c r="A72" s="140"/>
      <c r="B72" s="51"/>
      <c r="C72" s="20">
        <f t="shared" si="12"/>
        <v>1</v>
      </c>
      <c r="D72" s="633"/>
      <c r="E72" s="20">
        <f t="shared" si="13"/>
        <v>1</v>
      </c>
      <c r="F72" s="633"/>
      <c r="G72" s="20">
        <f t="shared" si="14"/>
        <v>1</v>
      </c>
      <c r="H72" s="633"/>
      <c r="I72" s="20">
        <f t="shared" si="15"/>
        <v>1</v>
      </c>
      <c r="J72" s="633"/>
      <c r="K72" s="20">
        <f t="shared" si="16"/>
        <v>1</v>
      </c>
      <c r="L72" s="633"/>
      <c r="M72" s="20">
        <f t="shared" si="17"/>
        <v>1</v>
      </c>
      <c r="N72" s="633"/>
      <c r="O72" s="20">
        <f t="shared" si="18"/>
        <v>1</v>
      </c>
      <c r="P72" s="633"/>
      <c r="Q72" s="20">
        <f t="shared" si="19"/>
        <v>1</v>
      </c>
      <c r="R72" s="20">
        <f t="shared" si="20"/>
        <v>0</v>
      </c>
      <c r="S72" s="306">
        <f t="shared" si="21"/>
        <v>0</v>
      </c>
    </row>
    <row r="73" spans="1:19">
      <c r="A73" s="140"/>
      <c r="B73" s="51"/>
      <c r="C73" s="20">
        <f t="shared" si="12"/>
        <v>1</v>
      </c>
      <c r="D73" s="633"/>
      <c r="E73" s="20">
        <f t="shared" si="13"/>
        <v>1</v>
      </c>
      <c r="F73" s="633"/>
      <c r="G73" s="20">
        <f t="shared" si="14"/>
        <v>1</v>
      </c>
      <c r="H73" s="633"/>
      <c r="I73" s="20">
        <f t="shared" si="15"/>
        <v>1</v>
      </c>
      <c r="J73" s="633"/>
      <c r="K73" s="20">
        <f t="shared" si="16"/>
        <v>1</v>
      </c>
      <c r="L73" s="633"/>
      <c r="M73" s="20">
        <f t="shared" si="17"/>
        <v>1</v>
      </c>
      <c r="N73" s="633"/>
      <c r="O73" s="20">
        <f t="shared" si="18"/>
        <v>1</v>
      </c>
      <c r="P73" s="633"/>
      <c r="Q73" s="20">
        <f t="shared" si="19"/>
        <v>1</v>
      </c>
      <c r="R73" s="20">
        <f t="shared" si="20"/>
        <v>0</v>
      </c>
      <c r="S73" s="306">
        <f t="shared" si="21"/>
        <v>0</v>
      </c>
    </row>
    <row r="74" spans="1:19">
      <c r="A74" s="140"/>
      <c r="B74" s="51"/>
      <c r="C74" s="20">
        <f t="shared" si="12"/>
        <v>1</v>
      </c>
      <c r="D74" s="633"/>
      <c r="E74" s="20">
        <f t="shared" si="13"/>
        <v>1</v>
      </c>
      <c r="F74" s="633"/>
      <c r="G74" s="20">
        <f t="shared" si="14"/>
        <v>1</v>
      </c>
      <c r="H74" s="633"/>
      <c r="I74" s="20">
        <f t="shared" si="15"/>
        <v>1</v>
      </c>
      <c r="J74" s="633"/>
      <c r="K74" s="20">
        <f t="shared" si="16"/>
        <v>1</v>
      </c>
      <c r="L74" s="633"/>
      <c r="M74" s="20">
        <f t="shared" si="17"/>
        <v>1</v>
      </c>
      <c r="N74" s="633"/>
      <c r="O74" s="20">
        <f t="shared" si="18"/>
        <v>1</v>
      </c>
      <c r="P74" s="633"/>
      <c r="Q74" s="20">
        <f t="shared" si="19"/>
        <v>1</v>
      </c>
      <c r="R74" s="20">
        <f t="shared" si="20"/>
        <v>0</v>
      </c>
      <c r="S74" s="306">
        <f t="shared" si="21"/>
        <v>0</v>
      </c>
    </row>
    <row r="75" spans="1:19">
      <c r="A75" s="140"/>
      <c r="B75" s="51"/>
      <c r="C75" s="20">
        <f t="shared" si="12"/>
        <v>1</v>
      </c>
      <c r="D75" s="633"/>
      <c r="E75" s="20">
        <f t="shared" si="13"/>
        <v>1</v>
      </c>
      <c r="F75" s="633"/>
      <c r="G75" s="20">
        <f t="shared" si="14"/>
        <v>1</v>
      </c>
      <c r="H75" s="633"/>
      <c r="I75" s="20">
        <f t="shared" si="15"/>
        <v>1</v>
      </c>
      <c r="J75" s="633"/>
      <c r="K75" s="20">
        <f t="shared" si="16"/>
        <v>1</v>
      </c>
      <c r="L75" s="633"/>
      <c r="M75" s="20">
        <f t="shared" si="17"/>
        <v>1</v>
      </c>
      <c r="N75" s="633"/>
      <c r="O75" s="20">
        <f t="shared" si="18"/>
        <v>1</v>
      </c>
      <c r="P75" s="633"/>
      <c r="Q75" s="20">
        <f t="shared" si="19"/>
        <v>1</v>
      </c>
      <c r="R75" s="20">
        <f t="shared" si="20"/>
        <v>0</v>
      </c>
      <c r="S75" s="306">
        <f t="shared" si="21"/>
        <v>0</v>
      </c>
    </row>
    <row r="76" spans="1:19">
      <c r="A76" s="140"/>
      <c r="B76" s="51"/>
      <c r="C76" s="20">
        <f t="shared" si="12"/>
        <v>1</v>
      </c>
      <c r="D76" s="633"/>
      <c r="E76" s="20">
        <f t="shared" si="13"/>
        <v>1</v>
      </c>
      <c r="F76" s="633"/>
      <c r="G76" s="20">
        <f t="shared" si="14"/>
        <v>1</v>
      </c>
      <c r="H76" s="633"/>
      <c r="I76" s="20">
        <f t="shared" si="15"/>
        <v>1</v>
      </c>
      <c r="J76" s="633"/>
      <c r="K76" s="20">
        <f t="shared" si="16"/>
        <v>1</v>
      </c>
      <c r="L76" s="633"/>
      <c r="M76" s="20">
        <f t="shared" si="17"/>
        <v>1</v>
      </c>
      <c r="N76" s="633"/>
      <c r="O76" s="20">
        <f t="shared" si="18"/>
        <v>1</v>
      </c>
      <c r="P76" s="633"/>
      <c r="Q76" s="20">
        <f t="shared" si="19"/>
        <v>1</v>
      </c>
      <c r="R76" s="20">
        <f t="shared" si="20"/>
        <v>0</v>
      </c>
      <c r="S76" s="306">
        <f t="shared" si="21"/>
        <v>0</v>
      </c>
    </row>
    <row r="77" spans="1:19">
      <c r="A77" s="140"/>
      <c r="B77" s="51"/>
      <c r="C77" s="20">
        <f t="shared" si="12"/>
        <v>1</v>
      </c>
      <c r="D77" s="633"/>
      <c r="E77" s="20">
        <f t="shared" si="13"/>
        <v>1</v>
      </c>
      <c r="F77" s="633"/>
      <c r="G77" s="20">
        <f t="shared" si="14"/>
        <v>1</v>
      </c>
      <c r="H77" s="633"/>
      <c r="I77" s="20">
        <f t="shared" si="15"/>
        <v>1</v>
      </c>
      <c r="J77" s="633"/>
      <c r="K77" s="20">
        <f t="shared" si="16"/>
        <v>1</v>
      </c>
      <c r="L77" s="633"/>
      <c r="M77" s="20">
        <f t="shared" si="17"/>
        <v>1</v>
      </c>
      <c r="N77" s="633"/>
      <c r="O77" s="20">
        <f t="shared" si="18"/>
        <v>1</v>
      </c>
      <c r="P77" s="633"/>
      <c r="Q77" s="20">
        <f t="shared" si="19"/>
        <v>1</v>
      </c>
      <c r="R77" s="20">
        <f t="shared" si="20"/>
        <v>0</v>
      </c>
      <c r="S77" s="306">
        <f t="shared" si="21"/>
        <v>0</v>
      </c>
    </row>
    <row r="78" spans="1:19">
      <c r="A78" s="140"/>
      <c r="B78" s="51"/>
      <c r="C78" s="20">
        <f t="shared" si="12"/>
        <v>1</v>
      </c>
      <c r="D78" s="633"/>
      <c r="E78" s="20">
        <f t="shared" si="13"/>
        <v>1</v>
      </c>
      <c r="F78" s="633"/>
      <c r="G78" s="20">
        <f t="shared" si="14"/>
        <v>1</v>
      </c>
      <c r="H78" s="633"/>
      <c r="I78" s="20">
        <f t="shared" si="15"/>
        <v>1</v>
      </c>
      <c r="J78" s="633"/>
      <c r="K78" s="20">
        <f t="shared" si="16"/>
        <v>1</v>
      </c>
      <c r="L78" s="633"/>
      <c r="M78" s="20">
        <f t="shared" si="17"/>
        <v>1</v>
      </c>
      <c r="N78" s="633"/>
      <c r="O78" s="20">
        <f t="shared" si="18"/>
        <v>1</v>
      </c>
      <c r="P78" s="633"/>
      <c r="Q78" s="20">
        <f t="shared" si="19"/>
        <v>1</v>
      </c>
      <c r="R78" s="20">
        <f t="shared" si="20"/>
        <v>0</v>
      </c>
      <c r="S78" s="306">
        <f t="shared" ref="S78:S122" si="22">ROUND(R78*B78/10000,0)</f>
        <v>0</v>
      </c>
    </row>
    <row r="79" spans="1:19">
      <c r="A79" s="140"/>
      <c r="B79" s="51"/>
      <c r="C79" s="20">
        <f t="shared" si="12"/>
        <v>1</v>
      </c>
      <c r="D79" s="633"/>
      <c r="E79" s="20">
        <f t="shared" si="13"/>
        <v>1</v>
      </c>
      <c r="F79" s="633"/>
      <c r="G79" s="20">
        <f t="shared" si="14"/>
        <v>1</v>
      </c>
      <c r="H79" s="633"/>
      <c r="I79" s="20">
        <f t="shared" si="15"/>
        <v>1</v>
      </c>
      <c r="J79" s="633"/>
      <c r="K79" s="20">
        <f t="shared" si="16"/>
        <v>1</v>
      </c>
      <c r="L79" s="633"/>
      <c r="M79" s="20">
        <f t="shared" si="17"/>
        <v>1</v>
      </c>
      <c r="N79" s="633"/>
      <c r="O79" s="20">
        <f t="shared" si="18"/>
        <v>1</v>
      </c>
      <c r="P79" s="633"/>
      <c r="Q79" s="20">
        <f t="shared" si="19"/>
        <v>1</v>
      </c>
      <c r="R79" s="20">
        <f t="shared" si="20"/>
        <v>0</v>
      </c>
      <c r="S79" s="306">
        <f t="shared" si="22"/>
        <v>0</v>
      </c>
    </row>
    <row r="80" spans="1:19">
      <c r="A80" s="140"/>
      <c r="B80" s="51"/>
      <c r="C80" s="20">
        <f t="shared" si="12"/>
        <v>1</v>
      </c>
      <c r="D80" s="633"/>
      <c r="E80" s="20">
        <f t="shared" si="13"/>
        <v>1</v>
      </c>
      <c r="F80" s="633"/>
      <c r="G80" s="20">
        <f t="shared" si="14"/>
        <v>1</v>
      </c>
      <c r="H80" s="633"/>
      <c r="I80" s="20">
        <f t="shared" si="15"/>
        <v>1</v>
      </c>
      <c r="J80" s="633"/>
      <c r="K80" s="20">
        <f t="shared" si="16"/>
        <v>1</v>
      </c>
      <c r="L80" s="633"/>
      <c r="M80" s="20">
        <f t="shared" si="17"/>
        <v>1</v>
      </c>
      <c r="N80" s="633"/>
      <c r="O80" s="20">
        <f t="shared" si="18"/>
        <v>1</v>
      </c>
      <c r="P80" s="633"/>
      <c r="Q80" s="20">
        <f t="shared" si="19"/>
        <v>1</v>
      </c>
      <c r="R80" s="20">
        <f t="shared" si="20"/>
        <v>0</v>
      </c>
      <c r="S80" s="306">
        <f t="shared" si="22"/>
        <v>0</v>
      </c>
    </row>
    <row r="81" spans="1:19">
      <c r="A81" s="140"/>
      <c r="B81" s="51"/>
      <c r="C81" s="20">
        <f t="shared" si="12"/>
        <v>1</v>
      </c>
      <c r="D81" s="633"/>
      <c r="E81" s="20">
        <f t="shared" si="13"/>
        <v>1</v>
      </c>
      <c r="F81" s="633"/>
      <c r="G81" s="20">
        <f t="shared" si="14"/>
        <v>1</v>
      </c>
      <c r="H81" s="633"/>
      <c r="I81" s="20">
        <f t="shared" si="15"/>
        <v>1</v>
      </c>
      <c r="J81" s="633"/>
      <c r="K81" s="20">
        <f t="shared" si="16"/>
        <v>1</v>
      </c>
      <c r="L81" s="633"/>
      <c r="M81" s="20">
        <f t="shared" si="17"/>
        <v>1</v>
      </c>
      <c r="N81" s="633"/>
      <c r="O81" s="20">
        <f t="shared" si="18"/>
        <v>1</v>
      </c>
      <c r="P81" s="633"/>
      <c r="Q81" s="20">
        <f t="shared" si="19"/>
        <v>1</v>
      </c>
      <c r="R81" s="20">
        <f t="shared" si="20"/>
        <v>0</v>
      </c>
      <c r="S81" s="306">
        <f t="shared" si="22"/>
        <v>0</v>
      </c>
    </row>
    <row r="82" spans="1:19">
      <c r="A82" s="140"/>
      <c r="B82" s="51"/>
      <c r="C82" s="20">
        <f t="shared" si="12"/>
        <v>1</v>
      </c>
      <c r="D82" s="633"/>
      <c r="E82" s="20">
        <f t="shared" si="13"/>
        <v>1</v>
      </c>
      <c r="F82" s="633"/>
      <c r="G82" s="20">
        <f t="shared" si="14"/>
        <v>1</v>
      </c>
      <c r="H82" s="633"/>
      <c r="I82" s="20">
        <f t="shared" si="15"/>
        <v>1</v>
      </c>
      <c r="J82" s="633"/>
      <c r="K82" s="20">
        <f t="shared" si="16"/>
        <v>1</v>
      </c>
      <c r="L82" s="633"/>
      <c r="M82" s="20">
        <f t="shared" si="17"/>
        <v>1</v>
      </c>
      <c r="N82" s="633"/>
      <c r="O82" s="20">
        <f t="shared" si="18"/>
        <v>1</v>
      </c>
      <c r="P82" s="633"/>
      <c r="Q82" s="20">
        <f t="shared" si="19"/>
        <v>1</v>
      </c>
      <c r="R82" s="20">
        <f t="shared" si="20"/>
        <v>0</v>
      </c>
      <c r="S82" s="306">
        <f t="shared" si="22"/>
        <v>0</v>
      </c>
    </row>
    <row r="83" spans="1:19">
      <c r="A83" s="140"/>
      <c r="B83" s="51"/>
      <c r="C83" s="20">
        <f t="shared" si="12"/>
        <v>1</v>
      </c>
      <c r="D83" s="633"/>
      <c r="E83" s="20">
        <f t="shared" si="13"/>
        <v>1</v>
      </c>
      <c r="F83" s="633"/>
      <c r="G83" s="20">
        <f t="shared" si="14"/>
        <v>1</v>
      </c>
      <c r="H83" s="633"/>
      <c r="I83" s="20">
        <f t="shared" si="15"/>
        <v>1</v>
      </c>
      <c r="J83" s="633"/>
      <c r="K83" s="20">
        <f t="shared" si="16"/>
        <v>1</v>
      </c>
      <c r="L83" s="633"/>
      <c r="M83" s="20">
        <f t="shared" si="17"/>
        <v>1</v>
      </c>
      <c r="N83" s="633"/>
      <c r="O83" s="20">
        <f t="shared" si="18"/>
        <v>1</v>
      </c>
      <c r="P83" s="633"/>
      <c r="Q83" s="20">
        <f t="shared" si="19"/>
        <v>1</v>
      </c>
      <c r="R83" s="20">
        <f t="shared" si="20"/>
        <v>0</v>
      </c>
      <c r="S83" s="306">
        <f t="shared" si="22"/>
        <v>0</v>
      </c>
    </row>
    <row r="84" spans="1:19">
      <c r="A84" s="140"/>
      <c r="B84" s="51"/>
      <c r="C84" s="20">
        <f t="shared" si="12"/>
        <v>1</v>
      </c>
      <c r="D84" s="633"/>
      <c r="E84" s="20">
        <f t="shared" si="13"/>
        <v>1</v>
      </c>
      <c r="F84" s="633"/>
      <c r="G84" s="20">
        <f t="shared" si="14"/>
        <v>1</v>
      </c>
      <c r="H84" s="633"/>
      <c r="I84" s="20">
        <f t="shared" si="15"/>
        <v>1</v>
      </c>
      <c r="J84" s="633"/>
      <c r="K84" s="20">
        <f t="shared" si="16"/>
        <v>1</v>
      </c>
      <c r="L84" s="633"/>
      <c r="M84" s="20">
        <f t="shared" si="17"/>
        <v>1</v>
      </c>
      <c r="N84" s="633"/>
      <c r="O84" s="20">
        <f t="shared" si="18"/>
        <v>1</v>
      </c>
      <c r="P84" s="633"/>
      <c r="Q84" s="20">
        <f t="shared" si="19"/>
        <v>1</v>
      </c>
      <c r="R84" s="20">
        <f t="shared" si="20"/>
        <v>0</v>
      </c>
      <c r="S84" s="306">
        <f t="shared" si="22"/>
        <v>0</v>
      </c>
    </row>
    <row r="85" spans="1:19">
      <c r="A85" s="140"/>
      <c r="B85" s="51"/>
      <c r="C85" s="20">
        <f t="shared" si="12"/>
        <v>1</v>
      </c>
      <c r="D85" s="633"/>
      <c r="E85" s="20">
        <f t="shared" si="13"/>
        <v>1</v>
      </c>
      <c r="F85" s="633"/>
      <c r="G85" s="20">
        <f t="shared" si="14"/>
        <v>1</v>
      </c>
      <c r="H85" s="633"/>
      <c r="I85" s="20">
        <f t="shared" si="15"/>
        <v>1</v>
      </c>
      <c r="J85" s="633"/>
      <c r="K85" s="20">
        <f t="shared" si="16"/>
        <v>1</v>
      </c>
      <c r="L85" s="633"/>
      <c r="M85" s="20">
        <f t="shared" si="17"/>
        <v>1</v>
      </c>
      <c r="N85" s="633"/>
      <c r="O85" s="20">
        <f t="shared" si="18"/>
        <v>1</v>
      </c>
      <c r="P85" s="633"/>
      <c r="Q85" s="20">
        <f t="shared" si="19"/>
        <v>1</v>
      </c>
      <c r="R85" s="20">
        <f t="shared" si="20"/>
        <v>0</v>
      </c>
      <c r="S85" s="306">
        <f t="shared" si="22"/>
        <v>0</v>
      </c>
    </row>
    <row r="86" spans="1:19">
      <c r="A86" s="140"/>
      <c r="B86" s="51"/>
      <c r="C86" s="20">
        <f t="shared" si="12"/>
        <v>1</v>
      </c>
      <c r="D86" s="633"/>
      <c r="E86" s="20">
        <f t="shared" si="13"/>
        <v>1</v>
      </c>
      <c r="F86" s="633"/>
      <c r="G86" s="20">
        <f t="shared" si="14"/>
        <v>1</v>
      </c>
      <c r="H86" s="633"/>
      <c r="I86" s="20">
        <f t="shared" si="15"/>
        <v>1</v>
      </c>
      <c r="J86" s="633"/>
      <c r="K86" s="20">
        <f t="shared" si="16"/>
        <v>1</v>
      </c>
      <c r="L86" s="633"/>
      <c r="M86" s="20">
        <f t="shared" si="17"/>
        <v>1</v>
      </c>
      <c r="N86" s="633"/>
      <c r="O86" s="20">
        <f t="shared" si="18"/>
        <v>1</v>
      </c>
      <c r="P86" s="633"/>
      <c r="Q86" s="20">
        <f t="shared" si="19"/>
        <v>1</v>
      </c>
      <c r="R86" s="20">
        <f t="shared" si="20"/>
        <v>0</v>
      </c>
      <c r="S86" s="306">
        <f t="shared" si="22"/>
        <v>0</v>
      </c>
    </row>
    <row r="87" spans="1:19">
      <c r="A87" s="140"/>
      <c r="B87" s="51"/>
      <c r="C87" s="20">
        <f t="shared" si="12"/>
        <v>1</v>
      </c>
      <c r="D87" s="633"/>
      <c r="E87" s="20">
        <f t="shared" si="13"/>
        <v>1</v>
      </c>
      <c r="F87" s="633"/>
      <c r="G87" s="20">
        <f t="shared" si="14"/>
        <v>1</v>
      </c>
      <c r="H87" s="633"/>
      <c r="I87" s="20">
        <f t="shared" si="15"/>
        <v>1</v>
      </c>
      <c r="J87" s="633"/>
      <c r="K87" s="20">
        <f t="shared" si="16"/>
        <v>1</v>
      </c>
      <c r="L87" s="633"/>
      <c r="M87" s="20">
        <f t="shared" si="17"/>
        <v>1</v>
      </c>
      <c r="N87" s="633"/>
      <c r="O87" s="20">
        <f t="shared" si="18"/>
        <v>1</v>
      </c>
      <c r="P87" s="633"/>
      <c r="Q87" s="20">
        <f t="shared" si="19"/>
        <v>1</v>
      </c>
      <c r="R87" s="20">
        <f t="shared" si="20"/>
        <v>0</v>
      </c>
      <c r="S87" s="306">
        <f t="shared" si="22"/>
        <v>0</v>
      </c>
    </row>
    <row r="88" spans="1:19">
      <c r="A88" s="140"/>
      <c r="B88" s="51"/>
      <c r="C88" s="20">
        <f t="shared" si="12"/>
        <v>1</v>
      </c>
      <c r="D88" s="633"/>
      <c r="E88" s="20">
        <f t="shared" si="13"/>
        <v>1</v>
      </c>
      <c r="F88" s="633"/>
      <c r="G88" s="20">
        <f t="shared" si="14"/>
        <v>1</v>
      </c>
      <c r="H88" s="633"/>
      <c r="I88" s="20">
        <f t="shared" si="15"/>
        <v>1</v>
      </c>
      <c r="J88" s="633"/>
      <c r="K88" s="20">
        <f t="shared" si="16"/>
        <v>1</v>
      </c>
      <c r="L88" s="633"/>
      <c r="M88" s="20">
        <f t="shared" si="17"/>
        <v>1</v>
      </c>
      <c r="N88" s="633"/>
      <c r="O88" s="20">
        <f t="shared" si="18"/>
        <v>1</v>
      </c>
      <c r="P88" s="633"/>
      <c r="Q88" s="20">
        <f t="shared" si="19"/>
        <v>1</v>
      </c>
      <c r="R88" s="20">
        <f t="shared" si="20"/>
        <v>0</v>
      </c>
      <c r="S88" s="306">
        <f t="shared" si="22"/>
        <v>0</v>
      </c>
    </row>
    <row r="89" spans="1:19">
      <c r="A89" s="140"/>
      <c r="B89" s="51"/>
      <c r="C89" s="20">
        <f t="shared" si="12"/>
        <v>1</v>
      </c>
      <c r="D89" s="633"/>
      <c r="E89" s="20">
        <f t="shared" si="13"/>
        <v>1</v>
      </c>
      <c r="F89" s="633"/>
      <c r="G89" s="20">
        <f t="shared" si="14"/>
        <v>1</v>
      </c>
      <c r="H89" s="633"/>
      <c r="I89" s="20">
        <f t="shared" si="15"/>
        <v>1</v>
      </c>
      <c r="J89" s="633"/>
      <c r="K89" s="20">
        <f t="shared" si="16"/>
        <v>1</v>
      </c>
      <c r="L89" s="633"/>
      <c r="M89" s="20">
        <f t="shared" si="17"/>
        <v>1</v>
      </c>
      <c r="N89" s="633"/>
      <c r="O89" s="20">
        <f t="shared" si="18"/>
        <v>1</v>
      </c>
      <c r="P89" s="633"/>
      <c r="Q89" s="20">
        <f t="shared" si="19"/>
        <v>1</v>
      </c>
      <c r="R89" s="20">
        <f t="shared" si="20"/>
        <v>0</v>
      </c>
      <c r="S89" s="306">
        <f t="shared" si="22"/>
        <v>0</v>
      </c>
    </row>
    <row r="90" spans="1:19">
      <c r="A90" s="140"/>
      <c r="B90" s="51"/>
      <c r="C90" s="20">
        <f t="shared" ref="C90:C153" si="23">IF(B90="",1,(LOOKUP(B90,$3:$3,$4:$4)-LOOKUP($B$24,$3:$3,$4:$4)+100)/100)</f>
        <v>1</v>
      </c>
      <c r="D90" s="633"/>
      <c r="E90" s="20">
        <f t="shared" ref="E90:E153" si="24">(SUMIF($5:$5,D90,$6:$6)-SUMIF($5:$5,$D$24,$6:$6)+100)/100</f>
        <v>1</v>
      </c>
      <c r="F90" s="633"/>
      <c r="G90" s="20">
        <f t="shared" ref="G90:G153" si="25">(SUMIF($7:$7,F90,$8:$8)-SUMIF($7:$7,$F$24,$8:$8)+100)/100</f>
        <v>1</v>
      </c>
      <c r="H90" s="633"/>
      <c r="I90" s="20">
        <f t="shared" ref="I90:I153" si="26">(SUMIF($9:$9,H90,$10:$10)-SUMIF($9:$9,$H$24,$10:$10)+100)/100</f>
        <v>1</v>
      </c>
      <c r="J90" s="633"/>
      <c r="K90" s="20">
        <f t="shared" ref="K90:K153" si="27">(SUMIF($11:$11,J90,$12:$12)-SUMIF($11:$11,$J$24,$12:$12)+100)/100</f>
        <v>1</v>
      </c>
      <c r="L90" s="633"/>
      <c r="M90" s="20">
        <f t="shared" ref="M90:M153" si="28">(SUMIF($13:$13,L90,$14:$14)-SUMIF($13:$13,$L$24,$14:$14)+100)/100</f>
        <v>1</v>
      </c>
      <c r="N90" s="633"/>
      <c r="O90" s="20">
        <f t="shared" ref="O90:O153" si="29">(SUMIF($15:$15,N90,$16:$16)-SUMIF($15:$15,$N$24,$16:$16)+100)/100</f>
        <v>1</v>
      </c>
      <c r="P90" s="633"/>
      <c r="Q90" s="20">
        <f t="shared" ref="Q90:Q153" si="30">(SUMIF($17:$17,P90,$18:$18)-SUMIF($17:$17,$P$24,$18:$18)+100)/100</f>
        <v>1</v>
      </c>
      <c r="R90" s="20">
        <f t="shared" ref="R90:R153" si="31">IF(B90="",0,ROUND($R$24*C90*E90*G90*I90*K90*M90*O90*Q90,0))</f>
        <v>0</v>
      </c>
      <c r="S90" s="306">
        <f t="shared" si="22"/>
        <v>0</v>
      </c>
    </row>
    <row r="91" spans="1:19">
      <c r="A91" s="140"/>
      <c r="B91" s="51"/>
      <c r="C91" s="20">
        <f t="shared" si="23"/>
        <v>1</v>
      </c>
      <c r="D91" s="633"/>
      <c r="E91" s="20">
        <f t="shared" si="24"/>
        <v>1</v>
      </c>
      <c r="F91" s="633"/>
      <c r="G91" s="20">
        <f t="shared" si="25"/>
        <v>1</v>
      </c>
      <c r="H91" s="633"/>
      <c r="I91" s="20">
        <f t="shared" si="26"/>
        <v>1</v>
      </c>
      <c r="J91" s="633"/>
      <c r="K91" s="20">
        <f t="shared" si="27"/>
        <v>1</v>
      </c>
      <c r="L91" s="633"/>
      <c r="M91" s="20">
        <f t="shared" si="28"/>
        <v>1</v>
      </c>
      <c r="N91" s="633"/>
      <c r="O91" s="20">
        <f t="shared" si="29"/>
        <v>1</v>
      </c>
      <c r="P91" s="633"/>
      <c r="Q91" s="20">
        <f t="shared" si="30"/>
        <v>1</v>
      </c>
      <c r="R91" s="20">
        <f t="shared" si="31"/>
        <v>0</v>
      </c>
      <c r="S91" s="306">
        <f t="shared" si="22"/>
        <v>0</v>
      </c>
    </row>
    <row r="92" spans="1:19">
      <c r="A92" s="140"/>
      <c r="B92" s="51"/>
      <c r="C92" s="20">
        <f t="shared" si="23"/>
        <v>1</v>
      </c>
      <c r="D92" s="633"/>
      <c r="E92" s="20">
        <f t="shared" si="24"/>
        <v>1</v>
      </c>
      <c r="F92" s="633"/>
      <c r="G92" s="20">
        <f t="shared" si="25"/>
        <v>1</v>
      </c>
      <c r="H92" s="633"/>
      <c r="I92" s="20">
        <f t="shared" si="26"/>
        <v>1</v>
      </c>
      <c r="J92" s="633"/>
      <c r="K92" s="20">
        <f t="shared" si="27"/>
        <v>1</v>
      </c>
      <c r="L92" s="633"/>
      <c r="M92" s="20">
        <f t="shared" si="28"/>
        <v>1</v>
      </c>
      <c r="N92" s="633"/>
      <c r="O92" s="20">
        <f t="shared" si="29"/>
        <v>1</v>
      </c>
      <c r="P92" s="633"/>
      <c r="Q92" s="20">
        <f t="shared" si="30"/>
        <v>1</v>
      </c>
      <c r="R92" s="20">
        <f t="shared" si="31"/>
        <v>0</v>
      </c>
      <c r="S92" s="306">
        <f t="shared" si="22"/>
        <v>0</v>
      </c>
    </row>
    <row r="93" spans="1:19">
      <c r="A93" s="140"/>
      <c r="B93" s="51"/>
      <c r="C93" s="20">
        <f t="shared" si="23"/>
        <v>1</v>
      </c>
      <c r="D93" s="633"/>
      <c r="E93" s="20">
        <f t="shared" si="24"/>
        <v>1</v>
      </c>
      <c r="F93" s="633"/>
      <c r="G93" s="20">
        <f t="shared" si="25"/>
        <v>1</v>
      </c>
      <c r="H93" s="633"/>
      <c r="I93" s="20">
        <f t="shared" si="26"/>
        <v>1</v>
      </c>
      <c r="J93" s="633"/>
      <c r="K93" s="20">
        <f t="shared" si="27"/>
        <v>1</v>
      </c>
      <c r="L93" s="633"/>
      <c r="M93" s="20">
        <f t="shared" si="28"/>
        <v>1</v>
      </c>
      <c r="N93" s="633"/>
      <c r="O93" s="20">
        <f t="shared" si="29"/>
        <v>1</v>
      </c>
      <c r="P93" s="633"/>
      <c r="Q93" s="20">
        <f t="shared" si="30"/>
        <v>1</v>
      </c>
      <c r="R93" s="20">
        <f t="shared" si="31"/>
        <v>0</v>
      </c>
      <c r="S93" s="306">
        <f t="shared" si="22"/>
        <v>0</v>
      </c>
    </row>
    <row r="94" spans="1:19">
      <c r="A94" s="140"/>
      <c r="B94" s="51"/>
      <c r="C94" s="20">
        <f t="shared" si="23"/>
        <v>1</v>
      </c>
      <c r="D94" s="633"/>
      <c r="E94" s="20">
        <f t="shared" si="24"/>
        <v>1</v>
      </c>
      <c r="F94" s="633"/>
      <c r="G94" s="20">
        <f t="shared" si="25"/>
        <v>1</v>
      </c>
      <c r="H94" s="633"/>
      <c r="I94" s="20">
        <f t="shared" si="26"/>
        <v>1</v>
      </c>
      <c r="J94" s="633"/>
      <c r="K94" s="20">
        <f t="shared" si="27"/>
        <v>1</v>
      </c>
      <c r="L94" s="633"/>
      <c r="M94" s="20">
        <f t="shared" si="28"/>
        <v>1</v>
      </c>
      <c r="N94" s="633"/>
      <c r="O94" s="20">
        <f t="shared" si="29"/>
        <v>1</v>
      </c>
      <c r="P94" s="633"/>
      <c r="Q94" s="20">
        <f t="shared" si="30"/>
        <v>1</v>
      </c>
      <c r="R94" s="20">
        <f t="shared" si="31"/>
        <v>0</v>
      </c>
      <c r="S94" s="306">
        <f t="shared" si="22"/>
        <v>0</v>
      </c>
    </row>
    <row r="95" spans="1:19">
      <c r="A95" s="140"/>
      <c r="B95" s="51"/>
      <c r="C95" s="20">
        <f t="shared" si="23"/>
        <v>1</v>
      </c>
      <c r="D95" s="633"/>
      <c r="E95" s="20">
        <f t="shared" si="24"/>
        <v>1</v>
      </c>
      <c r="F95" s="633"/>
      <c r="G95" s="20">
        <f t="shared" si="25"/>
        <v>1</v>
      </c>
      <c r="H95" s="633"/>
      <c r="I95" s="20">
        <f t="shared" si="26"/>
        <v>1</v>
      </c>
      <c r="J95" s="633"/>
      <c r="K95" s="20">
        <f t="shared" si="27"/>
        <v>1</v>
      </c>
      <c r="L95" s="633"/>
      <c r="M95" s="20">
        <f t="shared" si="28"/>
        <v>1</v>
      </c>
      <c r="N95" s="633"/>
      <c r="O95" s="20">
        <f t="shared" si="29"/>
        <v>1</v>
      </c>
      <c r="P95" s="633"/>
      <c r="Q95" s="20">
        <f t="shared" si="30"/>
        <v>1</v>
      </c>
      <c r="R95" s="20">
        <f t="shared" si="31"/>
        <v>0</v>
      </c>
      <c r="S95" s="306">
        <f t="shared" si="22"/>
        <v>0</v>
      </c>
    </row>
    <row r="96" spans="1:19">
      <c r="A96" s="140"/>
      <c r="B96" s="51"/>
      <c r="C96" s="20">
        <f t="shared" si="23"/>
        <v>1</v>
      </c>
      <c r="D96" s="633"/>
      <c r="E96" s="20">
        <f t="shared" si="24"/>
        <v>1</v>
      </c>
      <c r="F96" s="633"/>
      <c r="G96" s="20">
        <f t="shared" si="25"/>
        <v>1</v>
      </c>
      <c r="H96" s="633"/>
      <c r="I96" s="20">
        <f t="shared" si="26"/>
        <v>1</v>
      </c>
      <c r="J96" s="633"/>
      <c r="K96" s="20">
        <f t="shared" si="27"/>
        <v>1</v>
      </c>
      <c r="L96" s="633"/>
      <c r="M96" s="20">
        <f t="shared" si="28"/>
        <v>1</v>
      </c>
      <c r="N96" s="633"/>
      <c r="O96" s="20">
        <f t="shared" si="29"/>
        <v>1</v>
      </c>
      <c r="P96" s="633"/>
      <c r="Q96" s="20">
        <f t="shared" si="30"/>
        <v>1</v>
      </c>
      <c r="R96" s="20">
        <f t="shared" si="31"/>
        <v>0</v>
      </c>
      <c r="S96" s="306">
        <f t="shared" si="22"/>
        <v>0</v>
      </c>
    </row>
    <row r="97" spans="1:19">
      <c r="A97" s="140"/>
      <c r="B97" s="51"/>
      <c r="C97" s="20">
        <f t="shared" si="23"/>
        <v>1</v>
      </c>
      <c r="D97" s="633"/>
      <c r="E97" s="20">
        <f t="shared" si="24"/>
        <v>1</v>
      </c>
      <c r="F97" s="633"/>
      <c r="G97" s="20">
        <f t="shared" si="25"/>
        <v>1</v>
      </c>
      <c r="H97" s="633"/>
      <c r="I97" s="20">
        <f t="shared" si="26"/>
        <v>1</v>
      </c>
      <c r="J97" s="633"/>
      <c r="K97" s="20">
        <f t="shared" si="27"/>
        <v>1</v>
      </c>
      <c r="L97" s="633"/>
      <c r="M97" s="20">
        <f t="shared" si="28"/>
        <v>1</v>
      </c>
      <c r="N97" s="633"/>
      <c r="O97" s="20">
        <f t="shared" si="29"/>
        <v>1</v>
      </c>
      <c r="P97" s="633"/>
      <c r="Q97" s="20">
        <f t="shared" si="30"/>
        <v>1</v>
      </c>
      <c r="R97" s="20">
        <f t="shared" si="31"/>
        <v>0</v>
      </c>
      <c r="S97" s="306">
        <f t="shared" si="22"/>
        <v>0</v>
      </c>
    </row>
    <row r="98" spans="1:19">
      <c r="A98" s="140"/>
      <c r="B98" s="51"/>
      <c r="C98" s="20">
        <f t="shared" si="23"/>
        <v>1</v>
      </c>
      <c r="D98" s="633"/>
      <c r="E98" s="20">
        <f t="shared" si="24"/>
        <v>1</v>
      </c>
      <c r="F98" s="633"/>
      <c r="G98" s="20">
        <f t="shared" si="25"/>
        <v>1</v>
      </c>
      <c r="H98" s="633"/>
      <c r="I98" s="20">
        <f t="shared" si="26"/>
        <v>1</v>
      </c>
      <c r="J98" s="633"/>
      <c r="K98" s="20">
        <f t="shared" si="27"/>
        <v>1</v>
      </c>
      <c r="L98" s="633"/>
      <c r="M98" s="20">
        <f t="shared" si="28"/>
        <v>1</v>
      </c>
      <c r="N98" s="633"/>
      <c r="O98" s="20">
        <f t="shared" si="29"/>
        <v>1</v>
      </c>
      <c r="P98" s="633"/>
      <c r="Q98" s="20">
        <f t="shared" si="30"/>
        <v>1</v>
      </c>
      <c r="R98" s="20">
        <f t="shared" si="31"/>
        <v>0</v>
      </c>
      <c r="S98" s="306">
        <f t="shared" si="22"/>
        <v>0</v>
      </c>
    </row>
    <row r="99" spans="1:19">
      <c r="A99" s="140"/>
      <c r="B99" s="51"/>
      <c r="C99" s="20">
        <f t="shared" si="23"/>
        <v>1</v>
      </c>
      <c r="D99" s="633"/>
      <c r="E99" s="20">
        <f t="shared" si="24"/>
        <v>1</v>
      </c>
      <c r="F99" s="633"/>
      <c r="G99" s="20">
        <f t="shared" si="25"/>
        <v>1</v>
      </c>
      <c r="H99" s="633"/>
      <c r="I99" s="20">
        <f t="shared" si="26"/>
        <v>1</v>
      </c>
      <c r="J99" s="633"/>
      <c r="K99" s="20">
        <f t="shared" si="27"/>
        <v>1</v>
      </c>
      <c r="L99" s="633"/>
      <c r="M99" s="20">
        <f t="shared" si="28"/>
        <v>1</v>
      </c>
      <c r="N99" s="633"/>
      <c r="O99" s="20">
        <f t="shared" si="29"/>
        <v>1</v>
      </c>
      <c r="P99" s="633"/>
      <c r="Q99" s="20">
        <f t="shared" si="30"/>
        <v>1</v>
      </c>
      <c r="R99" s="20">
        <f t="shared" si="31"/>
        <v>0</v>
      </c>
      <c r="S99" s="306">
        <f t="shared" si="22"/>
        <v>0</v>
      </c>
    </row>
    <row r="100" spans="1:19">
      <c r="A100" s="140"/>
      <c r="B100" s="51"/>
      <c r="C100" s="20">
        <f t="shared" si="23"/>
        <v>1</v>
      </c>
      <c r="D100" s="633"/>
      <c r="E100" s="20">
        <f t="shared" si="24"/>
        <v>1</v>
      </c>
      <c r="F100" s="633"/>
      <c r="G100" s="20">
        <f t="shared" si="25"/>
        <v>1</v>
      </c>
      <c r="H100" s="633"/>
      <c r="I100" s="20">
        <f t="shared" si="26"/>
        <v>1</v>
      </c>
      <c r="J100" s="633"/>
      <c r="K100" s="20">
        <f t="shared" si="27"/>
        <v>1</v>
      </c>
      <c r="L100" s="633"/>
      <c r="M100" s="20">
        <f t="shared" si="28"/>
        <v>1</v>
      </c>
      <c r="N100" s="633"/>
      <c r="O100" s="20">
        <f t="shared" si="29"/>
        <v>1</v>
      </c>
      <c r="P100" s="633"/>
      <c r="Q100" s="20">
        <f t="shared" si="30"/>
        <v>1</v>
      </c>
      <c r="R100" s="20">
        <f t="shared" si="31"/>
        <v>0</v>
      </c>
      <c r="S100" s="306">
        <f t="shared" si="22"/>
        <v>0</v>
      </c>
    </row>
    <row r="101" spans="1:19">
      <c r="A101" s="140"/>
      <c r="B101" s="51"/>
      <c r="C101" s="20">
        <f t="shared" si="23"/>
        <v>1</v>
      </c>
      <c r="D101" s="633"/>
      <c r="E101" s="20">
        <f t="shared" si="24"/>
        <v>1</v>
      </c>
      <c r="F101" s="633"/>
      <c r="G101" s="20">
        <f t="shared" si="25"/>
        <v>1</v>
      </c>
      <c r="H101" s="633"/>
      <c r="I101" s="20">
        <f t="shared" si="26"/>
        <v>1</v>
      </c>
      <c r="J101" s="633"/>
      <c r="K101" s="20">
        <f t="shared" si="27"/>
        <v>1</v>
      </c>
      <c r="L101" s="633"/>
      <c r="M101" s="20">
        <f t="shared" si="28"/>
        <v>1</v>
      </c>
      <c r="N101" s="633"/>
      <c r="O101" s="20">
        <f t="shared" si="29"/>
        <v>1</v>
      </c>
      <c r="P101" s="633"/>
      <c r="Q101" s="20">
        <f t="shared" si="30"/>
        <v>1</v>
      </c>
      <c r="R101" s="20">
        <f t="shared" si="31"/>
        <v>0</v>
      </c>
      <c r="S101" s="306">
        <f t="shared" si="22"/>
        <v>0</v>
      </c>
    </row>
    <row r="102" spans="1:19">
      <c r="A102" s="140"/>
      <c r="B102" s="51"/>
      <c r="C102" s="20">
        <f t="shared" si="23"/>
        <v>1</v>
      </c>
      <c r="D102" s="633"/>
      <c r="E102" s="20">
        <f t="shared" si="24"/>
        <v>1</v>
      </c>
      <c r="F102" s="633"/>
      <c r="G102" s="20">
        <f t="shared" si="25"/>
        <v>1</v>
      </c>
      <c r="H102" s="633"/>
      <c r="I102" s="20">
        <f t="shared" si="26"/>
        <v>1</v>
      </c>
      <c r="J102" s="633"/>
      <c r="K102" s="20">
        <f t="shared" si="27"/>
        <v>1</v>
      </c>
      <c r="L102" s="633"/>
      <c r="M102" s="20">
        <f t="shared" si="28"/>
        <v>1</v>
      </c>
      <c r="N102" s="633"/>
      <c r="O102" s="20">
        <f t="shared" si="29"/>
        <v>1</v>
      </c>
      <c r="P102" s="633"/>
      <c r="Q102" s="20">
        <f t="shared" si="30"/>
        <v>1</v>
      </c>
      <c r="R102" s="20">
        <f t="shared" si="31"/>
        <v>0</v>
      </c>
      <c r="S102" s="306">
        <f t="shared" si="22"/>
        <v>0</v>
      </c>
    </row>
    <row r="103" spans="1:19">
      <c r="A103" s="140"/>
      <c r="B103" s="51"/>
      <c r="C103" s="20">
        <f t="shared" si="23"/>
        <v>1</v>
      </c>
      <c r="D103" s="633"/>
      <c r="E103" s="20">
        <f t="shared" si="24"/>
        <v>1</v>
      </c>
      <c r="F103" s="633"/>
      <c r="G103" s="20">
        <f t="shared" si="25"/>
        <v>1</v>
      </c>
      <c r="H103" s="633"/>
      <c r="I103" s="20">
        <f t="shared" si="26"/>
        <v>1</v>
      </c>
      <c r="J103" s="633"/>
      <c r="K103" s="20">
        <f t="shared" si="27"/>
        <v>1</v>
      </c>
      <c r="L103" s="633"/>
      <c r="M103" s="20">
        <f t="shared" si="28"/>
        <v>1</v>
      </c>
      <c r="N103" s="633"/>
      <c r="O103" s="20">
        <f t="shared" si="29"/>
        <v>1</v>
      </c>
      <c r="P103" s="633"/>
      <c r="Q103" s="20">
        <f t="shared" si="30"/>
        <v>1</v>
      </c>
      <c r="R103" s="20">
        <f t="shared" si="31"/>
        <v>0</v>
      </c>
      <c r="S103" s="306">
        <f t="shared" si="22"/>
        <v>0</v>
      </c>
    </row>
    <row r="104" spans="1:19">
      <c r="A104" s="140"/>
      <c r="B104" s="51"/>
      <c r="C104" s="20">
        <f t="shared" si="23"/>
        <v>1</v>
      </c>
      <c r="D104" s="633"/>
      <c r="E104" s="20">
        <f t="shared" si="24"/>
        <v>1</v>
      </c>
      <c r="F104" s="633"/>
      <c r="G104" s="20">
        <f t="shared" si="25"/>
        <v>1</v>
      </c>
      <c r="H104" s="633"/>
      <c r="I104" s="20">
        <f t="shared" si="26"/>
        <v>1</v>
      </c>
      <c r="J104" s="633"/>
      <c r="K104" s="20">
        <f t="shared" si="27"/>
        <v>1</v>
      </c>
      <c r="L104" s="633"/>
      <c r="M104" s="20">
        <f t="shared" si="28"/>
        <v>1</v>
      </c>
      <c r="N104" s="633"/>
      <c r="O104" s="20">
        <f t="shared" si="29"/>
        <v>1</v>
      </c>
      <c r="P104" s="633"/>
      <c r="Q104" s="20">
        <f t="shared" si="30"/>
        <v>1</v>
      </c>
      <c r="R104" s="20">
        <f t="shared" si="31"/>
        <v>0</v>
      </c>
      <c r="S104" s="306">
        <f t="shared" si="22"/>
        <v>0</v>
      </c>
    </row>
    <row r="105" spans="1:19">
      <c r="A105" s="140"/>
      <c r="B105" s="51"/>
      <c r="C105" s="20">
        <f t="shared" si="23"/>
        <v>1</v>
      </c>
      <c r="D105" s="633"/>
      <c r="E105" s="20">
        <f t="shared" si="24"/>
        <v>1</v>
      </c>
      <c r="F105" s="633"/>
      <c r="G105" s="20">
        <f t="shared" si="25"/>
        <v>1</v>
      </c>
      <c r="H105" s="633"/>
      <c r="I105" s="20">
        <f t="shared" si="26"/>
        <v>1</v>
      </c>
      <c r="J105" s="633"/>
      <c r="K105" s="20">
        <f t="shared" si="27"/>
        <v>1</v>
      </c>
      <c r="L105" s="633"/>
      <c r="M105" s="20">
        <f t="shared" si="28"/>
        <v>1</v>
      </c>
      <c r="N105" s="633"/>
      <c r="O105" s="20">
        <f t="shared" si="29"/>
        <v>1</v>
      </c>
      <c r="P105" s="633"/>
      <c r="Q105" s="20">
        <f t="shared" si="30"/>
        <v>1</v>
      </c>
      <c r="R105" s="20">
        <f t="shared" si="31"/>
        <v>0</v>
      </c>
      <c r="S105" s="306">
        <f t="shared" si="22"/>
        <v>0</v>
      </c>
    </row>
    <row r="106" spans="1:19">
      <c r="A106" s="140"/>
      <c r="B106" s="51"/>
      <c r="C106" s="20">
        <f t="shared" si="23"/>
        <v>1</v>
      </c>
      <c r="D106" s="633"/>
      <c r="E106" s="20">
        <f t="shared" si="24"/>
        <v>1</v>
      </c>
      <c r="F106" s="633"/>
      <c r="G106" s="20">
        <f t="shared" si="25"/>
        <v>1</v>
      </c>
      <c r="H106" s="633"/>
      <c r="I106" s="20">
        <f t="shared" si="26"/>
        <v>1</v>
      </c>
      <c r="J106" s="633"/>
      <c r="K106" s="20">
        <f t="shared" si="27"/>
        <v>1</v>
      </c>
      <c r="L106" s="633"/>
      <c r="M106" s="20">
        <f t="shared" si="28"/>
        <v>1</v>
      </c>
      <c r="N106" s="633"/>
      <c r="O106" s="20">
        <f t="shared" si="29"/>
        <v>1</v>
      </c>
      <c r="P106" s="633"/>
      <c r="Q106" s="20">
        <f t="shared" si="30"/>
        <v>1</v>
      </c>
      <c r="R106" s="20">
        <f t="shared" si="31"/>
        <v>0</v>
      </c>
      <c r="S106" s="306">
        <f t="shared" si="22"/>
        <v>0</v>
      </c>
    </row>
    <row r="107" spans="1:19">
      <c r="A107" s="140"/>
      <c r="B107" s="51"/>
      <c r="C107" s="20">
        <f t="shared" si="23"/>
        <v>1</v>
      </c>
      <c r="D107" s="633"/>
      <c r="E107" s="20">
        <f t="shared" si="24"/>
        <v>1</v>
      </c>
      <c r="F107" s="633"/>
      <c r="G107" s="20">
        <f t="shared" si="25"/>
        <v>1</v>
      </c>
      <c r="H107" s="633"/>
      <c r="I107" s="20">
        <f t="shared" si="26"/>
        <v>1</v>
      </c>
      <c r="J107" s="633"/>
      <c r="K107" s="20">
        <f t="shared" si="27"/>
        <v>1</v>
      </c>
      <c r="L107" s="633"/>
      <c r="M107" s="20">
        <f t="shared" si="28"/>
        <v>1</v>
      </c>
      <c r="N107" s="633"/>
      <c r="O107" s="20">
        <f t="shared" si="29"/>
        <v>1</v>
      </c>
      <c r="P107" s="633"/>
      <c r="Q107" s="20">
        <f t="shared" si="30"/>
        <v>1</v>
      </c>
      <c r="R107" s="20">
        <f t="shared" si="31"/>
        <v>0</v>
      </c>
      <c r="S107" s="306">
        <f t="shared" si="22"/>
        <v>0</v>
      </c>
    </row>
    <row r="108" spans="1:19">
      <c r="A108" s="140"/>
      <c r="B108" s="51"/>
      <c r="C108" s="20">
        <f t="shared" si="23"/>
        <v>1</v>
      </c>
      <c r="D108" s="633"/>
      <c r="E108" s="20">
        <f t="shared" si="24"/>
        <v>1</v>
      </c>
      <c r="F108" s="633"/>
      <c r="G108" s="20">
        <f t="shared" si="25"/>
        <v>1</v>
      </c>
      <c r="H108" s="633"/>
      <c r="I108" s="20">
        <f t="shared" si="26"/>
        <v>1</v>
      </c>
      <c r="J108" s="633"/>
      <c r="K108" s="20">
        <f t="shared" si="27"/>
        <v>1</v>
      </c>
      <c r="L108" s="633"/>
      <c r="M108" s="20">
        <f t="shared" si="28"/>
        <v>1</v>
      </c>
      <c r="N108" s="633"/>
      <c r="O108" s="20">
        <f t="shared" si="29"/>
        <v>1</v>
      </c>
      <c r="P108" s="633"/>
      <c r="Q108" s="20">
        <f t="shared" si="30"/>
        <v>1</v>
      </c>
      <c r="R108" s="20">
        <f t="shared" si="31"/>
        <v>0</v>
      </c>
      <c r="S108" s="306">
        <f t="shared" si="22"/>
        <v>0</v>
      </c>
    </row>
    <row r="109" spans="1:19">
      <c r="A109" s="140"/>
      <c r="B109" s="51"/>
      <c r="C109" s="20">
        <f t="shared" si="23"/>
        <v>1</v>
      </c>
      <c r="D109" s="633"/>
      <c r="E109" s="20">
        <f t="shared" si="24"/>
        <v>1</v>
      </c>
      <c r="F109" s="633"/>
      <c r="G109" s="20">
        <f t="shared" si="25"/>
        <v>1</v>
      </c>
      <c r="H109" s="633"/>
      <c r="I109" s="20">
        <f t="shared" si="26"/>
        <v>1</v>
      </c>
      <c r="J109" s="633"/>
      <c r="K109" s="20">
        <f t="shared" si="27"/>
        <v>1</v>
      </c>
      <c r="L109" s="633"/>
      <c r="M109" s="20">
        <f t="shared" si="28"/>
        <v>1</v>
      </c>
      <c r="N109" s="633"/>
      <c r="O109" s="20">
        <f t="shared" si="29"/>
        <v>1</v>
      </c>
      <c r="P109" s="633"/>
      <c r="Q109" s="20">
        <f t="shared" si="30"/>
        <v>1</v>
      </c>
      <c r="R109" s="20">
        <f t="shared" si="31"/>
        <v>0</v>
      </c>
      <c r="S109" s="306">
        <f t="shared" si="22"/>
        <v>0</v>
      </c>
    </row>
    <row r="110" spans="1:19">
      <c r="A110" s="140"/>
      <c r="B110" s="51"/>
      <c r="C110" s="20">
        <f t="shared" si="23"/>
        <v>1</v>
      </c>
      <c r="D110" s="633"/>
      <c r="E110" s="20">
        <f t="shared" si="24"/>
        <v>1</v>
      </c>
      <c r="F110" s="633"/>
      <c r="G110" s="20">
        <f t="shared" si="25"/>
        <v>1</v>
      </c>
      <c r="H110" s="633"/>
      <c r="I110" s="20">
        <f t="shared" si="26"/>
        <v>1</v>
      </c>
      <c r="J110" s="633"/>
      <c r="K110" s="20">
        <f t="shared" si="27"/>
        <v>1</v>
      </c>
      <c r="L110" s="633"/>
      <c r="M110" s="20">
        <f t="shared" si="28"/>
        <v>1</v>
      </c>
      <c r="N110" s="633"/>
      <c r="O110" s="20">
        <f t="shared" si="29"/>
        <v>1</v>
      </c>
      <c r="P110" s="633"/>
      <c r="Q110" s="20">
        <f t="shared" si="30"/>
        <v>1</v>
      </c>
      <c r="R110" s="20">
        <f t="shared" si="31"/>
        <v>0</v>
      </c>
      <c r="S110" s="306">
        <f t="shared" si="22"/>
        <v>0</v>
      </c>
    </row>
    <row r="111" spans="1:19">
      <c r="A111" s="140"/>
      <c r="B111" s="51"/>
      <c r="C111" s="20">
        <f t="shared" si="23"/>
        <v>1</v>
      </c>
      <c r="D111" s="633"/>
      <c r="E111" s="20">
        <f t="shared" si="24"/>
        <v>1</v>
      </c>
      <c r="F111" s="633"/>
      <c r="G111" s="20">
        <f t="shared" si="25"/>
        <v>1</v>
      </c>
      <c r="H111" s="633"/>
      <c r="I111" s="20">
        <f t="shared" si="26"/>
        <v>1</v>
      </c>
      <c r="J111" s="633"/>
      <c r="K111" s="20">
        <f t="shared" si="27"/>
        <v>1</v>
      </c>
      <c r="L111" s="633"/>
      <c r="M111" s="20">
        <f t="shared" si="28"/>
        <v>1</v>
      </c>
      <c r="N111" s="633"/>
      <c r="O111" s="20">
        <f t="shared" si="29"/>
        <v>1</v>
      </c>
      <c r="P111" s="633"/>
      <c r="Q111" s="20">
        <f t="shared" si="30"/>
        <v>1</v>
      </c>
      <c r="R111" s="20">
        <f t="shared" si="31"/>
        <v>0</v>
      </c>
      <c r="S111" s="306">
        <f t="shared" si="22"/>
        <v>0</v>
      </c>
    </row>
    <row r="112" spans="1:19">
      <c r="A112" s="140"/>
      <c r="B112" s="51"/>
      <c r="C112" s="20">
        <f t="shared" si="23"/>
        <v>1</v>
      </c>
      <c r="D112" s="633"/>
      <c r="E112" s="20">
        <f t="shared" si="24"/>
        <v>1</v>
      </c>
      <c r="F112" s="633"/>
      <c r="G112" s="20">
        <f t="shared" si="25"/>
        <v>1</v>
      </c>
      <c r="H112" s="633"/>
      <c r="I112" s="20">
        <f t="shared" si="26"/>
        <v>1</v>
      </c>
      <c r="J112" s="633"/>
      <c r="K112" s="20">
        <f t="shared" si="27"/>
        <v>1</v>
      </c>
      <c r="L112" s="633"/>
      <c r="M112" s="20">
        <f t="shared" si="28"/>
        <v>1</v>
      </c>
      <c r="N112" s="633"/>
      <c r="O112" s="20">
        <f t="shared" si="29"/>
        <v>1</v>
      </c>
      <c r="P112" s="633"/>
      <c r="Q112" s="20">
        <f t="shared" si="30"/>
        <v>1</v>
      </c>
      <c r="R112" s="20">
        <f t="shared" si="31"/>
        <v>0</v>
      </c>
      <c r="S112" s="306">
        <f t="shared" si="22"/>
        <v>0</v>
      </c>
    </row>
    <row r="113" spans="1:19">
      <c r="A113" s="140"/>
      <c r="B113" s="51"/>
      <c r="C113" s="20">
        <f t="shared" si="23"/>
        <v>1</v>
      </c>
      <c r="D113" s="633"/>
      <c r="E113" s="20">
        <f t="shared" si="24"/>
        <v>1</v>
      </c>
      <c r="F113" s="633"/>
      <c r="G113" s="20">
        <f t="shared" si="25"/>
        <v>1</v>
      </c>
      <c r="H113" s="633"/>
      <c r="I113" s="20">
        <f t="shared" si="26"/>
        <v>1</v>
      </c>
      <c r="J113" s="633"/>
      <c r="K113" s="20">
        <f t="shared" si="27"/>
        <v>1</v>
      </c>
      <c r="L113" s="633"/>
      <c r="M113" s="20">
        <f t="shared" si="28"/>
        <v>1</v>
      </c>
      <c r="N113" s="633"/>
      <c r="O113" s="20">
        <f t="shared" si="29"/>
        <v>1</v>
      </c>
      <c r="P113" s="633"/>
      <c r="Q113" s="20">
        <f t="shared" si="30"/>
        <v>1</v>
      </c>
      <c r="R113" s="20">
        <f t="shared" si="31"/>
        <v>0</v>
      </c>
      <c r="S113" s="306">
        <f t="shared" si="22"/>
        <v>0</v>
      </c>
    </row>
    <row r="114" spans="1:19">
      <c r="A114" s="140"/>
      <c r="B114" s="51"/>
      <c r="C114" s="20">
        <f t="shared" si="23"/>
        <v>1</v>
      </c>
      <c r="D114" s="633"/>
      <c r="E114" s="20">
        <f t="shared" si="24"/>
        <v>1</v>
      </c>
      <c r="F114" s="633"/>
      <c r="G114" s="20">
        <f t="shared" si="25"/>
        <v>1</v>
      </c>
      <c r="H114" s="633"/>
      <c r="I114" s="20">
        <f t="shared" si="26"/>
        <v>1</v>
      </c>
      <c r="J114" s="633"/>
      <c r="K114" s="20">
        <f t="shared" si="27"/>
        <v>1</v>
      </c>
      <c r="L114" s="633"/>
      <c r="M114" s="20">
        <f t="shared" si="28"/>
        <v>1</v>
      </c>
      <c r="N114" s="633"/>
      <c r="O114" s="20">
        <f t="shared" si="29"/>
        <v>1</v>
      </c>
      <c r="P114" s="633"/>
      <c r="Q114" s="20">
        <f t="shared" si="30"/>
        <v>1</v>
      </c>
      <c r="R114" s="20">
        <f t="shared" si="31"/>
        <v>0</v>
      </c>
      <c r="S114" s="306">
        <f t="shared" si="22"/>
        <v>0</v>
      </c>
    </row>
    <row r="115" spans="1:19">
      <c r="A115" s="140"/>
      <c r="B115" s="51"/>
      <c r="C115" s="20">
        <f t="shared" si="23"/>
        <v>1</v>
      </c>
      <c r="D115" s="633"/>
      <c r="E115" s="20">
        <f t="shared" si="24"/>
        <v>1</v>
      </c>
      <c r="F115" s="633"/>
      <c r="G115" s="20">
        <f t="shared" si="25"/>
        <v>1</v>
      </c>
      <c r="H115" s="633"/>
      <c r="I115" s="20">
        <f t="shared" si="26"/>
        <v>1</v>
      </c>
      <c r="J115" s="633"/>
      <c r="K115" s="20">
        <f t="shared" si="27"/>
        <v>1</v>
      </c>
      <c r="L115" s="633"/>
      <c r="M115" s="20">
        <f t="shared" si="28"/>
        <v>1</v>
      </c>
      <c r="N115" s="633"/>
      <c r="O115" s="20">
        <f t="shared" si="29"/>
        <v>1</v>
      </c>
      <c r="P115" s="633"/>
      <c r="Q115" s="20">
        <f t="shared" si="30"/>
        <v>1</v>
      </c>
      <c r="R115" s="20">
        <f t="shared" si="31"/>
        <v>0</v>
      </c>
      <c r="S115" s="306">
        <f t="shared" si="22"/>
        <v>0</v>
      </c>
    </row>
    <row r="116" spans="1:19">
      <c r="A116" s="140"/>
      <c r="B116" s="51"/>
      <c r="C116" s="20">
        <f t="shared" si="23"/>
        <v>1</v>
      </c>
      <c r="D116" s="633"/>
      <c r="E116" s="20">
        <f t="shared" si="24"/>
        <v>1</v>
      </c>
      <c r="F116" s="633"/>
      <c r="G116" s="20">
        <f t="shared" si="25"/>
        <v>1</v>
      </c>
      <c r="H116" s="633"/>
      <c r="I116" s="20">
        <f t="shared" si="26"/>
        <v>1</v>
      </c>
      <c r="J116" s="633"/>
      <c r="K116" s="20">
        <f t="shared" si="27"/>
        <v>1</v>
      </c>
      <c r="L116" s="633"/>
      <c r="M116" s="20">
        <f t="shared" si="28"/>
        <v>1</v>
      </c>
      <c r="N116" s="633"/>
      <c r="O116" s="20">
        <f t="shared" si="29"/>
        <v>1</v>
      </c>
      <c r="P116" s="633"/>
      <c r="Q116" s="20">
        <f t="shared" si="30"/>
        <v>1</v>
      </c>
      <c r="R116" s="20">
        <f t="shared" si="31"/>
        <v>0</v>
      </c>
      <c r="S116" s="306">
        <f t="shared" si="22"/>
        <v>0</v>
      </c>
    </row>
    <row r="117" spans="1:19">
      <c r="A117" s="140"/>
      <c r="B117" s="51"/>
      <c r="C117" s="20">
        <f t="shared" si="23"/>
        <v>1</v>
      </c>
      <c r="D117" s="633"/>
      <c r="E117" s="20">
        <f t="shared" si="24"/>
        <v>1</v>
      </c>
      <c r="F117" s="633"/>
      <c r="G117" s="20">
        <f t="shared" si="25"/>
        <v>1</v>
      </c>
      <c r="H117" s="633"/>
      <c r="I117" s="20">
        <f t="shared" si="26"/>
        <v>1</v>
      </c>
      <c r="J117" s="633"/>
      <c r="K117" s="20">
        <f t="shared" si="27"/>
        <v>1</v>
      </c>
      <c r="L117" s="633"/>
      <c r="M117" s="20">
        <f t="shared" si="28"/>
        <v>1</v>
      </c>
      <c r="N117" s="633"/>
      <c r="O117" s="20">
        <f t="shared" si="29"/>
        <v>1</v>
      </c>
      <c r="P117" s="633"/>
      <c r="Q117" s="20">
        <f t="shared" si="30"/>
        <v>1</v>
      </c>
      <c r="R117" s="20">
        <f t="shared" si="31"/>
        <v>0</v>
      </c>
      <c r="S117" s="306">
        <f t="shared" si="22"/>
        <v>0</v>
      </c>
    </row>
    <row r="118" spans="1:19">
      <c r="A118" s="140"/>
      <c r="B118" s="51"/>
      <c r="C118" s="20">
        <f t="shared" si="23"/>
        <v>1</v>
      </c>
      <c r="D118" s="633"/>
      <c r="E118" s="20">
        <f t="shared" si="24"/>
        <v>1</v>
      </c>
      <c r="F118" s="633"/>
      <c r="G118" s="20">
        <f t="shared" si="25"/>
        <v>1</v>
      </c>
      <c r="H118" s="633"/>
      <c r="I118" s="20">
        <f t="shared" si="26"/>
        <v>1</v>
      </c>
      <c r="J118" s="633"/>
      <c r="K118" s="20">
        <f t="shared" si="27"/>
        <v>1</v>
      </c>
      <c r="L118" s="633"/>
      <c r="M118" s="20">
        <f t="shared" si="28"/>
        <v>1</v>
      </c>
      <c r="N118" s="633"/>
      <c r="O118" s="20">
        <f t="shared" si="29"/>
        <v>1</v>
      </c>
      <c r="P118" s="633"/>
      <c r="Q118" s="20">
        <f t="shared" si="30"/>
        <v>1</v>
      </c>
      <c r="R118" s="20">
        <f t="shared" si="31"/>
        <v>0</v>
      </c>
      <c r="S118" s="306">
        <f t="shared" si="22"/>
        <v>0</v>
      </c>
    </row>
    <row r="119" spans="1:19">
      <c r="A119" s="140"/>
      <c r="B119" s="51"/>
      <c r="C119" s="20">
        <f t="shared" si="23"/>
        <v>1</v>
      </c>
      <c r="D119" s="633"/>
      <c r="E119" s="20">
        <f t="shared" si="24"/>
        <v>1</v>
      </c>
      <c r="F119" s="633"/>
      <c r="G119" s="20">
        <f t="shared" si="25"/>
        <v>1</v>
      </c>
      <c r="H119" s="633"/>
      <c r="I119" s="20">
        <f t="shared" si="26"/>
        <v>1</v>
      </c>
      <c r="J119" s="633"/>
      <c r="K119" s="20">
        <f t="shared" si="27"/>
        <v>1</v>
      </c>
      <c r="L119" s="633"/>
      <c r="M119" s="20">
        <f t="shared" si="28"/>
        <v>1</v>
      </c>
      <c r="N119" s="633"/>
      <c r="O119" s="20">
        <f t="shared" si="29"/>
        <v>1</v>
      </c>
      <c r="P119" s="633"/>
      <c r="Q119" s="20">
        <f t="shared" si="30"/>
        <v>1</v>
      </c>
      <c r="R119" s="20">
        <f t="shared" si="31"/>
        <v>0</v>
      </c>
      <c r="S119" s="306">
        <f t="shared" si="22"/>
        <v>0</v>
      </c>
    </row>
    <row r="120" spans="1:19">
      <c r="A120" s="140"/>
      <c r="B120" s="51"/>
      <c r="C120" s="20">
        <f t="shared" si="23"/>
        <v>1</v>
      </c>
      <c r="D120" s="633"/>
      <c r="E120" s="20">
        <f t="shared" si="24"/>
        <v>1</v>
      </c>
      <c r="F120" s="633"/>
      <c r="G120" s="20">
        <f t="shared" si="25"/>
        <v>1</v>
      </c>
      <c r="H120" s="633"/>
      <c r="I120" s="20">
        <f t="shared" si="26"/>
        <v>1</v>
      </c>
      <c r="J120" s="633"/>
      <c r="K120" s="20">
        <f t="shared" si="27"/>
        <v>1</v>
      </c>
      <c r="L120" s="633"/>
      <c r="M120" s="20">
        <f t="shared" si="28"/>
        <v>1</v>
      </c>
      <c r="N120" s="633"/>
      <c r="O120" s="20">
        <f t="shared" si="29"/>
        <v>1</v>
      </c>
      <c r="P120" s="633"/>
      <c r="Q120" s="20">
        <f t="shared" si="30"/>
        <v>1</v>
      </c>
      <c r="R120" s="20">
        <f t="shared" si="31"/>
        <v>0</v>
      </c>
      <c r="S120" s="306">
        <f t="shared" si="22"/>
        <v>0</v>
      </c>
    </row>
    <row r="121" spans="1:19">
      <c r="A121" s="140"/>
      <c r="B121" s="51"/>
      <c r="C121" s="20">
        <f t="shared" si="23"/>
        <v>1</v>
      </c>
      <c r="D121" s="633"/>
      <c r="E121" s="20">
        <f t="shared" si="24"/>
        <v>1</v>
      </c>
      <c r="F121" s="633"/>
      <c r="G121" s="20">
        <f t="shared" si="25"/>
        <v>1</v>
      </c>
      <c r="H121" s="633"/>
      <c r="I121" s="20">
        <f t="shared" si="26"/>
        <v>1</v>
      </c>
      <c r="J121" s="633"/>
      <c r="K121" s="20">
        <f t="shared" si="27"/>
        <v>1</v>
      </c>
      <c r="L121" s="633"/>
      <c r="M121" s="20">
        <f t="shared" si="28"/>
        <v>1</v>
      </c>
      <c r="N121" s="633"/>
      <c r="O121" s="20">
        <f t="shared" si="29"/>
        <v>1</v>
      </c>
      <c r="P121" s="633"/>
      <c r="Q121" s="20">
        <f t="shared" si="30"/>
        <v>1</v>
      </c>
      <c r="R121" s="20">
        <f t="shared" si="31"/>
        <v>0</v>
      </c>
      <c r="S121" s="306">
        <f t="shared" si="22"/>
        <v>0</v>
      </c>
    </row>
    <row r="122" spans="1:19">
      <c r="A122" s="140"/>
      <c r="B122" s="51"/>
      <c r="C122" s="20">
        <f t="shared" si="23"/>
        <v>1</v>
      </c>
      <c r="D122" s="633"/>
      <c r="E122" s="20">
        <f t="shared" si="24"/>
        <v>1</v>
      </c>
      <c r="F122" s="633"/>
      <c r="G122" s="20">
        <f t="shared" si="25"/>
        <v>1</v>
      </c>
      <c r="H122" s="633"/>
      <c r="I122" s="20">
        <f t="shared" si="26"/>
        <v>1</v>
      </c>
      <c r="J122" s="633"/>
      <c r="K122" s="20">
        <f t="shared" si="27"/>
        <v>1</v>
      </c>
      <c r="L122" s="633"/>
      <c r="M122" s="20">
        <f t="shared" si="28"/>
        <v>1</v>
      </c>
      <c r="N122" s="633"/>
      <c r="O122" s="20">
        <f t="shared" si="29"/>
        <v>1</v>
      </c>
      <c r="P122" s="633"/>
      <c r="Q122" s="20">
        <f t="shared" si="30"/>
        <v>1</v>
      </c>
      <c r="R122" s="20">
        <f t="shared" si="31"/>
        <v>0</v>
      </c>
      <c r="S122" s="306">
        <f t="shared" si="22"/>
        <v>0</v>
      </c>
    </row>
    <row r="123" spans="1:19">
      <c r="A123" s="140"/>
      <c r="B123" s="51"/>
      <c r="C123" s="20">
        <f t="shared" si="23"/>
        <v>1</v>
      </c>
      <c r="D123" s="633"/>
      <c r="E123" s="20">
        <f t="shared" si="24"/>
        <v>1</v>
      </c>
      <c r="F123" s="633"/>
      <c r="G123" s="20">
        <f t="shared" si="25"/>
        <v>1</v>
      </c>
      <c r="H123" s="633"/>
      <c r="I123" s="20">
        <f t="shared" si="26"/>
        <v>1</v>
      </c>
      <c r="J123" s="633"/>
      <c r="K123" s="20">
        <f t="shared" si="27"/>
        <v>1</v>
      </c>
      <c r="L123" s="633"/>
      <c r="M123" s="20">
        <f t="shared" si="28"/>
        <v>1</v>
      </c>
      <c r="N123" s="633"/>
      <c r="O123" s="20">
        <f t="shared" si="29"/>
        <v>1</v>
      </c>
      <c r="P123" s="633"/>
      <c r="Q123" s="20">
        <f t="shared" si="30"/>
        <v>1</v>
      </c>
      <c r="R123" s="20">
        <f t="shared" si="31"/>
        <v>0</v>
      </c>
      <c r="S123" s="306">
        <f t="shared" ref="S123:S186" si="32">ROUND(R123*B123/10000,0)</f>
        <v>0</v>
      </c>
    </row>
    <row r="124" spans="1:19">
      <c r="A124" s="140"/>
      <c r="B124" s="51"/>
      <c r="C124" s="20">
        <f t="shared" si="23"/>
        <v>1</v>
      </c>
      <c r="D124" s="633"/>
      <c r="E124" s="20">
        <f t="shared" si="24"/>
        <v>1</v>
      </c>
      <c r="F124" s="633"/>
      <c r="G124" s="20">
        <f t="shared" si="25"/>
        <v>1</v>
      </c>
      <c r="H124" s="633"/>
      <c r="I124" s="20">
        <f t="shared" si="26"/>
        <v>1</v>
      </c>
      <c r="J124" s="633"/>
      <c r="K124" s="20">
        <f t="shared" si="27"/>
        <v>1</v>
      </c>
      <c r="L124" s="633"/>
      <c r="M124" s="20">
        <f t="shared" si="28"/>
        <v>1</v>
      </c>
      <c r="N124" s="633"/>
      <c r="O124" s="20">
        <f t="shared" si="29"/>
        <v>1</v>
      </c>
      <c r="P124" s="633"/>
      <c r="Q124" s="20">
        <f t="shared" si="30"/>
        <v>1</v>
      </c>
      <c r="R124" s="20">
        <f t="shared" si="31"/>
        <v>0</v>
      </c>
      <c r="S124" s="306">
        <f t="shared" si="32"/>
        <v>0</v>
      </c>
    </row>
    <row r="125" spans="1:19">
      <c r="A125" s="140"/>
      <c r="B125" s="51"/>
      <c r="C125" s="20">
        <f t="shared" si="23"/>
        <v>1</v>
      </c>
      <c r="D125" s="633"/>
      <c r="E125" s="20">
        <f t="shared" si="24"/>
        <v>1</v>
      </c>
      <c r="F125" s="633"/>
      <c r="G125" s="20">
        <f t="shared" si="25"/>
        <v>1</v>
      </c>
      <c r="H125" s="633"/>
      <c r="I125" s="20">
        <f t="shared" si="26"/>
        <v>1</v>
      </c>
      <c r="J125" s="633"/>
      <c r="K125" s="20">
        <f t="shared" si="27"/>
        <v>1</v>
      </c>
      <c r="L125" s="633"/>
      <c r="M125" s="20">
        <f t="shared" si="28"/>
        <v>1</v>
      </c>
      <c r="N125" s="633"/>
      <c r="O125" s="20">
        <f t="shared" si="29"/>
        <v>1</v>
      </c>
      <c r="P125" s="633"/>
      <c r="Q125" s="20">
        <f t="shared" si="30"/>
        <v>1</v>
      </c>
      <c r="R125" s="20">
        <f t="shared" si="31"/>
        <v>0</v>
      </c>
      <c r="S125" s="306">
        <f t="shared" si="32"/>
        <v>0</v>
      </c>
    </row>
    <row r="126" spans="1:19">
      <c r="A126" s="140"/>
      <c r="B126" s="51"/>
      <c r="C126" s="20">
        <f t="shared" si="23"/>
        <v>1</v>
      </c>
      <c r="D126" s="633"/>
      <c r="E126" s="20">
        <f t="shared" si="24"/>
        <v>1</v>
      </c>
      <c r="F126" s="633"/>
      <c r="G126" s="20">
        <f t="shared" si="25"/>
        <v>1</v>
      </c>
      <c r="H126" s="633"/>
      <c r="I126" s="20">
        <f t="shared" si="26"/>
        <v>1</v>
      </c>
      <c r="J126" s="633"/>
      <c r="K126" s="20">
        <f t="shared" si="27"/>
        <v>1</v>
      </c>
      <c r="L126" s="633"/>
      <c r="M126" s="20">
        <f t="shared" si="28"/>
        <v>1</v>
      </c>
      <c r="N126" s="633"/>
      <c r="O126" s="20">
        <f t="shared" si="29"/>
        <v>1</v>
      </c>
      <c r="P126" s="633"/>
      <c r="Q126" s="20">
        <f t="shared" si="30"/>
        <v>1</v>
      </c>
      <c r="R126" s="20">
        <f t="shared" si="31"/>
        <v>0</v>
      </c>
      <c r="S126" s="306">
        <f t="shared" si="32"/>
        <v>0</v>
      </c>
    </row>
    <row r="127" spans="1:19">
      <c r="A127" s="140"/>
      <c r="B127" s="51"/>
      <c r="C127" s="20">
        <f t="shared" si="23"/>
        <v>1</v>
      </c>
      <c r="D127" s="633"/>
      <c r="E127" s="20">
        <f t="shared" si="24"/>
        <v>1</v>
      </c>
      <c r="F127" s="633"/>
      <c r="G127" s="20">
        <f t="shared" si="25"/>
        <v>1</v>
      </c>
      <c r="H127" s="633"/>
      <c r="I127" s="20">
        <f t="shared" si="26"/>
        <v>1</v>
      </c>
      <c r="J127" s="633"/>
      <c r="K127" s="20">
        <f t="shared" si="27"/>
        <v>1</v>
      </c>
      <c r="L127" s="633"/>
      <c r="M127" s="20">
        <f t="shared" si="28"/>
        <v>1</v>
      </c>
      <c r="N127" s="633"/>
      <c r="O127" s="20">
        <f t="shared" si="29"/>
        <v>1</v>
      </c>
      <c r="P127" s="633"/>
      <c r="Q127" s="20">
        <f t="shared" si="30"/>
        <v>1</v>
      </c>
      <c r="R127" s="20">
        <f t="shared" si="31"/>
        <v>0</v>
      </c>
      <c r="S127" s="306">
        <f t="shared" si="32"/>
        <v>0</v>
      </c>
    </row>
    <row r="128" spans="1:19">
      <c r="A128" s="140"/>
      <c r="B128" s="51"/>
      <c r="C128" s="20">
        <f t="shared" si="23"/>
        <v>1</v>
      </c>
      <c r="D128" s="633"/>
      <c r="E128" s="20">
        <f t="shared" si="24"/>
        <v>1</v>
      </c>
      <c r="F128" s="633"/>
      <c r="G128" s="20">
        <f t="shared" si="25"/>
        <v>1</v>
      </c>
      <c r="H128" s="633"/>
      <c r="I128" s="20">
        <f t="shared" si="26"/>
        <v>1</v>
      </c>
      <c r="J128" s="633"/>
      <c r="K128" s="20">
        <f t="shared" si="27"/>
        <v>1</v>
      </c>
      <c r="L128" s="633"/>
      <c r="M128" s="20">
        <f t="shared" si="28"/>
        <v>1</v>
      </c>
      <c r="N128" s="633"/>
      <c r="O128" s="20">
        <f t="shared" si="29"/>
        <v>1</v>
      </c>
      <c r="P128" s="633"/>
      <c r="Q128" s="20">
        <f t="shared" si="30"/>
        <v>1</v>
      </c>
      <c r="R128" s="20">
        <f t="shared" si="31"/>
        <v>0</v>
      </c>
      <c r="S128" s="306">
        <f t="shared" si="32"/>
        <v>0</v>
      </c>
    </row>
    <row r="129" spans="1:19">
      <c r="A129" s="140"/>
      <c r="B129" s="51"/>
      <c r="C129" s="20">
        <f t="shared" si="23"/>
        <v>1</v>
      </c>
      <c r="D129" s="633"/>
      <c r="E129" s="20">
        <f t="shared" si="24"/>
        <v>1</v>
      </c>
      <c r="F129" s="633"/>
      <c r="G129" s="20">
        <f t="shared" si="25"/>
        <v>1</v>
      </c>
      <c r="H129" s="633"/>
      <c r="I129" s="20">
        <f t="shared" si="26"/>
        <v>1</v>
      </c>
      <c r="J129" s="633"/>
      <c r="K129" s="20">
        <f t="shared" si="27"/>
        <v>1</v>
      </c>
      <c r="L129" s="633"/>
      <c r="M129" s="20">
        <f t="shared" si="28"/>
        <v>1</v>
      </c>
      <c r="N129" s="633"/>
      <c r="O129" s="20">
        <f t="shared" si="29"/>
        <v>1</v>
      </c>
      <c r="P129" s="633"/>
      <c r="Q129" s="20">
        <f t="shared" si="30"/>
        <v>1</v>
      </c>
      <c r="R129" s="20">
        <f t="shared" si="31"/>
        <v>0</v>
      </c>
      <c r="S129" s="306">
        <f t="shared" si="32"/>
        <v>0</v>
      </c>
    </row>
    <row r="130" spans="1:19">
      <c r="A130" s="140"/>
      <c r="B130" s="51"/>
      <c r="C130" s="20">
        <f t="shared" si="23"/>
        <v>1</v>
      </c>
      <c r="D130" s="633"/>
      <c r="E130" s="20">
        <f t="shared" si="24"/>
        <v>1</v>
      </c>
      <c r="F130" s="633"/>
      <c r="G130" s="20">
        <f t="shared" si="25"/>
        <v>1</v>
      </c>
      <c r="H130" s="633"/>
      <c r="I130" s="20">
        <f t="shared" si="26"/>
        <v>1</v>
      </c>
      <c r="J130" s="633"/>
      <c r="K130" s="20">
        <f t="shared" si="27"/>
        <v>1</v>
      </c>
      <c r="L130" s="633"/>
      <c r="M130" s="20">
        <f t="shared" si="28"/>
        <v>1</v>
      </c>
      <c r="N130" s="633"/>
      <c r="O130" s="20">
        <f t="shared" si="29"/>
        <v>1</v>
      </c>
      <c r="P130" s="633"/>
      <c r="Q130" s="20">
        <f t="shared" si="30"/>
        <v>1</v>
      </c>
      <c r="R130" s="20">
        <f t="shared" si="31"/>
        <v>0</v>
      </c>
      <c r="S130" s="306">
        <f t="shared" si="32"/>
        <v>0</v>
      </c>
    </row>
    <row r="131" spans="1:19">
      <c r="A131" s="140"/>
      <c r="B131" s="51"/>
      <c r="C131" s="20">
        <f t="shared" si="23"/>
        <v>1</v>
      </c>
      <c r="D131" s="633"/>
      <c r="E131" s="20">
        <f t="shared" si="24"/>
        <v>1</v>
      </c>
      <c r="F131" s="633"/>
      <c r="G131" s="20">
        <f t="shared" si="25"/>
        <v>1</v>
      </c>
      <c r="H131" s="633"/>
      <c r="I131" s="20">
        <f t="shared" si="26"/>
        <v>1</v>
      </c>
      <c r="J131" s="633"/>
      <c r="K131" s="20">
        <f t="shared" si="27"/>
        <v>1</v>
      </c>
      <c r="L131" s="633"/>
      <c r="M131" s="20">
        <f t="shared" si="28"/>
        <v>1</v>
      </c>
      <c r="N131" s="633"/>
      <c r="O131" s="20">
        <f t="shared" si="29"/>
        <v>1</v>
      </c>
      <c r="P131" s="633"/>
      <c r="Q131" s="20">
        <f t="shared" si="30"/>
        <v>1</v>
      </c>
      <c r="R131" s="20">
        <f t="shared" si="31"/>
        <v>0</v>
      </c>
      <c r="S131" s="306">
        <f t="shared" si="32"/>
        <v>0</v>
      </c>
    </row>
    <row r="132" spans="1:19">
      <c r="A132" s="140"/>
      <c r="B132" s="51"/>
      <c r="C132" s="20">
        <f t="shared" si="23"/>
        <v>1</v>
      </c>
      <c r="D132" s="633"/>
      <c r="E132" s="20">
        <f t="shared" si="24"/>
        <v>1</v>
      </c>
      <c r="F132" s="633"/>
      <c r="G132" s="20">
        <f t="shared" si="25"/>
        <v>1</v>
      </c>
      <c r="H132" s="633"/>
      <c r="I132" s="20">
        <f t="shared" si="26"/>
        <v>1</v>
      </c>
      <c r="J132" s="633"/>
      <c r="K132" s="20">
        <f t="shared" si="27"/>
        <v>1</v>
      </c>
      <c r="L132" s="633"/>
      <c r="M132" s="20">
        <f t="shared" si="28"/>
        <v>1</v>
      </c>
      <c r="N132" s="633"/>
      <c r="O132" s="20">
        <f t="shared" si="29"/>
        <v>1</v>
      </c>
      <c r="P132" s="633"/>
      <c r="Q132" s="20">
        <f t="shared" si="30"/>
        <v>1</v>
      </c>
      <c r="R132" s="20">
        <f t="shared" si="31"/>
        <v>0</v>
      </c>
      <c r="S132" s="306">
        <f t="shared" si="32"/>
        <v>0</v>
      </c>
    </row>
    <row r="133" spans="1:19">
      <c r="A133" s="140"/>
      <c r="B133" s="51"/>
      <c r="C133" s="20">
        <f t="shared" si="23"/>
        <v>1</v>
      </c>
      <c r="D133" s="633"/>
      <c r="E133" s="20">
        <f t="shared" si="24"/>
        <v>1</v>
      </c>
      <c r="F133" s="633"/>
      <c r="G133" s="20">
        <f t="shared" si="25"/>
        <v>1</v>
      </c>
      <c r="H133" s="633"/>
      <c r="I133" s="20">
        <f t="shared" si="26"/>
        <v>1</v>
      </c>
      <c r="J133" s="633"/>
      <c r="K133" s="20">
        <f t="shared" si="27"/>
        <v>1</v>
      </c>
      <c r="L133" s="633"/>
      <c r="M133" s="20">
        <f t="shared" si="28"/>
        <v>1</v>
      </c>
      <c r="N133" s="633"/>
      <c r="O133" s="20">
        <f t="shared" si="29"/>
        <v>1</v>
      </c>
      <c r="P133" s="633"/>
      <c r="Q133" s="20">
        <f t="shared" si="30"/>
        <v>1</v>
      </c>
      <c r="R133" s="20">
        <f t="shared" si="31"/>
        <v>0</v>
      </c>
      <c r="S133" s="306">
        <f t="shared" si="32"/>
        <v>0</v>
      </c>
    </row>
    <row r="134" spans="1:19">
      <c r="A134" s="140"/>
      <c r="B134" s="51"/>
      <c r="C134" s="20">
        <f t="shared" si="23"/>
        <v>1</v>
      </c>
      <c r="D134" s="633"/>
      <c r="E134" s="20">
        <f t="shared" si="24"/>
        <v>1</v>
      </c>
      <c r="F134" s="633"/>
      <c r="G134" s="20">
        <f t="shared" si="25"/>
        <v>1</v>
      </c>
      <c r="H134" s="633"/>
      <c r="I134" s="20">
        <f t="shared" si="26"/>
        <v>1</v>
      </c>
      <c r="J134" s="633"/>
      <c r="K134" s="20">
        <f t="shared" si="27"/>
        <v>1</v>
      </c>
      <c r="L134" s="633"/>
      <c r="M134" s="20">
        <f t="shared" si="28"/>
        <v>1</v>
      </c>
      <c r="N134" s="633"/>
      <c r="O134" s="20">
        <f t="shared" si="29"/>
        <v>1</v>
      </c>
      <c r="P134" s="633"/>
      <c r="Q134" s="20">
        <f t="shared" si="30"/>
        <v>1</v>
      </c>
      <c r="R134" s="20">
        <f t="shared" si="31"/>
        <v>0</v>
      </c>
      <c r="S134" s="306">
        <f t="shared" si="32"/>
        <v>0</v>
      </c>
    </row>
    <row r="135" spans="1:19">
      <c r="A135" s="140"/>
      <c r="B135" s="51"/>
      <c r="C135" s="20">
        <f t="shared" si="23"/>
        <v>1</v>
      </c>
      <c r="D135" s="633"/>
      <c r="E135" s="20">
        <f t="shared" si="24"/>
        <v>1</v>
      </c>
      <c r="F135" s="633"/>
      <c r="G135" s="20">
        <f t="shared" si="25"/>
        <v>1</v>
      </c>
      <c r="H135" s="633"/>
      <c r="I135" s="20">
        <f t="shared" si="26"/>
        <v>1</v>
      </c>
      <c r="J135" s="633"/>
      <c r="K135" s="20">
        <f t="shared" si="27"/>
        <v>1</v>
      </c>
      <c r="L135" s="633"/>
      <c r="M135" s="20">
        <f t="shared" si="28"/>
        <v>1</v>
      </c>
      <c r="N135" s="633"/>
      <c r="O135" s="20">
        <f t="shared" si="29"/>
        <v>1</v>
      </c>
      <c r="P135" s="633"/>
      <c r="Q135" s="20">
        <f t="shared" si="30"/>
        <v>1</v>
      </c>
      <c r="R135" s="20">
        <f t="shared" si="31"/>
        <v>0</v>
      </c>
      <c r="S135" s="306">
        <f t="shared" si="32"/>
        <v>0</v>
      </c>
    </row>
    <row r="136" spans="1:19">
      <c r="A136" s="140"/>
      <c r="B136" s="51"/>
      <c r="C136" s="20">
        <f t="shared" si="23"/>
        <v>1</v>
      </c>
      <c r="D136" s="633"/>
      <c r="E136" s="20">
        <f t="shared" si="24"/>
        <v>1</v>
      </c>
      <c r="F136" s="633"/>
      <c r="G136" s="20">
        <f t="shared" si="25"/>
        <v>1</v>
      </c>
      <c r="H136" s="633"/>
      <c r="I136" s="20">
        <f t="shared" si="26"/>
        <v>1</v>
      </c>
      <c r="J136" s="633"/>
      <c r="K136" s="20">
        <f t="shared" si="27"/>
        <v>1</v>
      </c>
      <c r="L136" s="633"/>
      <c r="M136" s="20">
        <f t="shared" si="28"/>
        <v>1</v>
      </c>
      <c r="N136" s="633"/>
      <c r="O136" s="20">
        <f t="shared" si="29"/>
        <v>1</v>
      </c>
      <c r="P136" s="633"/>
      <c r="Q136" s="20">
        <f t="shared" si="30"/>
        <v>1</v>
      </c>
      <c r="R136" s="20">
        <f t="shared" si="31"/>
        <v>0</v>
      </c>
      <c r="S136" s="306">
        <f t="shared" si="32"/>
        <v>0</v>
      </c>
    </row>
    <row r="137" spans="1:19">
      <c r="A137" s="140"/>
      <c r="B137" s="51"/>
      <c r="C137" s="20">
        <f t="shared" si="23"/>
        <v>1</v>
      </c>
      <c r="D137" s="633"/>
      <c r="E137" s="20">
        <f t="shared" si="24"/>
        <v>1</v>
      </c>
      <c r="F137" s="633"/>
      <c r="G137" s="20">
        <f t="shared" si="25"/>
        <v>1</v>
      </c>
      <c r="H137" s="633"/>
      <c r="I137" s="20">
        <f t="shared" si="26"/>
        <v>1</v>
      </c>
      <c r="J137" s="633"/>
      <c r="K137" s="20">
        <f t="shared" si="27"/>
        <v>1</v>
      </c>
      <c r="L137" s="633"/>
      <c r="M137" s="20">
        <f t="shared" si="28"/>
        <v>1</v>
      </c>
      <c r="N137" s="633"/>
      <c r="O137" s="20">
        <f t="shared" si="29"/>
        <v>1</v>
      </c>
      <c r="P137" s="633"/>
      <c r="Q137" s="20">
        <f t="shared" si="30"/>
        <v>1</v>
      </c>
      <c r="R137" s="20">
        <f t="shared" si="31"/>
        <v>0</v>
      </c>
      <c r="S137" s="306">
        <f t="shared" si="32"/>
        <v>0</v>
      </c>
    </row>
    <row r="138" spans="1:19">
      <c r="A138" s="140"/>
      <c r="B138" s="51"/>
      <c r="C138" s="20">
        <f t="shared" si="23"/>
        <v>1</v>
      </c>
      <c r="D138" s="633"/>
      <c r="E138" s="20">
        <f t="shared" si="24"/>
        <v>1</v>
      </c>
      <c r="F138" s="633"/>
      <c r="G138" s="20">
        <f t="shared" si="25"/>
        <v>1</v>
      </c>
      <c r="H138" s="633"/>
      <c r="I138" s="20">
        <f t="shared" si="26"/>
        <v>1</v>
      </c>
      <c r="J138" s="633"/>
      <c r="K138" s="20">
        <f t="shared" si="27"/>
        <v>1</v>
      </c>
      <c r="L138" s="633"/>
      <c r="M138" s="20">
        <f t="shared" si="28"/>
        <v>1</v>
      </c>
      <c r="N138" s="633"/>
      <c r="O138" s="20">
        <f t="shared" si="29"/>
        <v>1</v>
      </c>
      <c r="P138" s="633"/>
      <c r="Q138" s="20">
        <f t="shared" si="30"/>
        <v>1</v>
      </c>
      <c r="R138" s="20">
        <f t="shared" si="31"/>
        <v>0</v>
      </c>
      <c r="S138" s="306">
        <f t="shared" si="32"/>
        <v>0</v>
      </c>
    </row>
    <row r="139" spans="1:19">
      <c r="A139" s="140"/>
      <c r="B139" s="51"/>
      <c r="C139" s="20">
        <f t="shared" si="23"/>
        <v>1</v>
      </c>
      <c r="D139" s="633"/>
      <c r="E139" s="20">
        <f t="shared" si="24"/>
        <v>1</v>
      </c>
      <c r="F139" s="633"/>
      <c r="G139" s="20">
        <f t="shared" si="25"/>
        <v>1</v>
      </c>
      <c r="H139" s="633"/>
      <c r="I139" s="20">
        <f t="shared" si="26"/>
        <v>1</v>
      </c>
      <c r="J139" s="633"/>
      <c r="K139" s="20">
        <f t="shared" si="27"/>
        <v>1</v>
      </c>
      <c r="L139" s="633"/>
      <c r="M139" s="20">
        <f t="shared" si="28"/>
        <v>1</v>
      </c>
      <c r="N139" s="633"/>
      <c r="O139" s="20">
        <f t="shared" si="29"/>
        <v>1</v>
      </c>
      <c r="P139" s="633"/>
      <c r="Q139" s="20">
        <f t="shared" si="30"/>
        <v>1</v>
      </c>
      <c r="R139" s="20">
        <f t="shared" si="31"/>
        <v>0</v>
      </c>
      <c r="S139" s="306">
        <f t="shared" si="32"/>
        <v>0</v>
      </c>
    </row>
    <row r="140" spans="1:19">
      <c r="A140" s="140"/>
      <c r="B140" s="51"/>
      <c r="C140" s="20">
        <f t="shared" si="23"/>
        <v>1</v>
      </c>
      <c r="D140" s="633"/>
      <c r="E140" s="20">
        <f t="shared" si="24"/>
        <v>1</v>
      </c>
      <c r="F140" s="633"/>
      <c r="G140" s="20">
        <f t="shared" si="25"/>
        <v>1</v>
      </c>
      <c r="H140" s="633"/>
      <c r="I140" s="20">
        <f t="shared" si="26"/>
        <v>1</v>
      </c>
      <c r="J140" s="633"/>
      <c r="K140" s="20">
        <f t="shared" si="27"/>
        <v>1</v>
      </c>
      <c r="L140" s="633"/>
      <c r="M140" s="20">
        <f t="shared" si="28"/>
        <v>1</v>
      </c>
      <c r="N140" s="633"/>
      <c r="O140" s="20">
        <f t="shared" si="29"/>
        <v>1</v>
      </c>
      <c r="P140" s="633"/>
      <c r="Q140" s="20">
        <f t="shared" si="30"/>
        <v>1</v>
      </c>
      <c r="R140" s="20">
        <f t="shared" si="31"/>
        <v>0</v>
      </c>
      <c r="S140" s="306">
        <f t="shared" si="32"/>
        <v>0</v>
      </c>
    </row>
    <row r="141" spans="1:19">
      <c r="A141" s="140"/>
      <c r="B141" s="51"/>
      <c r="C141" s="20">
        <f t="shared" si="23"/>
        <v>1</v>
      </c>
      <c r="D141" s="633"/>
      <c r="E141" s="20">
        <f t="shared" si="24"/>
        <v>1</v>
      </c>
      <c r="F141" s="633"/>
      <c r="G141" s="20">
        <f t="shared" si="25"/>
        <v>1</v>
      </c>
      <c r="H141" s="633"/>
      <c r="I141" s="20">
        <f t="shared" si="26"/>
        <v>1</v>
      </c>
      <c r="J141" s="633"/>
      <c r="K141" s="20">
        <f t="shared" si="27"/>
        <v>1</v>
      </c>
      <c r="L141" s="633"/>
      <c r="M141" s="20">
        <f t="shared" si="28"/>
        <v>1</v>
      </c>
      <c r="N141" s="633"/>
      <c r="O141" s="20">
        <f t="shared" si="29"/>
        <v>1</v>
      </c>
      <c r="P141" s="633"/>
      <c r="Q141" s="20">
        <f t="shared" si="30"/>
        <v>1</v>
      </c>
      <c r="R141" s="20">
        <f t="shared" si="31"/>
        <v>0</v>
      </c>
      <c r="S141" s="306">
        <f t="shared" si="32"/>
        <v>0</v>
      </c>
    </row>
    <row r="142" spans="1:19">
      <c r="A142" s="140"/>
      <c r="B142" s="51"/>
      <c r="C142" s="20">
        <f t="shared" si="23"/>
        <v>1</v>
      </c>
      <c r="D142" s="633"/>
      <c r="E142" s="20">
        <f t="shared" si="24"/>
        <v>1</v>
      </c>
      <c r="F142" s="633"/>
      <c r="G142" s="20">
        <f t="shared" si="25"/>
        <v>1</v>
      </c>
      <c r="H142" s="633"/>
      <c r="I142" s="20">
        <f t="shared" si="26"/>
        <v>1</v>
      </c>
      <c r="J142" s="633"/>
      <c r="K142" s="20">
        <f t="shared" si="27"/>
        <v>1</v>
      </c>
      <c r="L142" s="633"/>
      <c r="M142" s="20">
        <f t="shared" si="28"/>
        <v>1</v>
      </c>
      <c r="N142" s="633"/>
      <c r="O142" s="20">
        <f t="shared" si="29"/>
        <v>1</v>
      </c>
      <c r="P142" s="633"/>
      <c r="Q142" s="20">
        <f t="shared" si="30"/>
        <v>1</v>
      </c>
      <c r="R142" s="20">
        <f t="shared" si="31"/>
        <v>0</v>
      </c>
      <c r="S142" s="306">
        <f t="shared" si="32"/>
        <v>0</v>
      </c>
    </row>
    <row r="143" spans="1:19">
      <c r="A143" s="140"/>
      <c r="B143" s="51"/>
      <c r="C143" s="20">
        <f t="shared" si="23"/>
        <v>1</v>
      </c>
      <c r="D143" s="633"/>
      <c r="E143" s="20">
        <f t="shared" si="24"/>
        <v>1</v>
      </c>
      <c r="F143" s="633"/>
      <c r="G143" s="20">
        <f t="shared" si="25"/>
        <v>1</v>
      </c>
      <c r="H143" s="633"/>
      <c r="I143" s="20">
        <f t="shared" si="26"/>
        <v>1</v>
      </c>
      <c r="J143" s="633"/>
      <c r="K143" s="20">
        <f t="shared" si="27"/>
        <v>1</v>
      </c>
      <c r="L143" s="633"/>
      <c r="M143" s="20">
        <f t="shared" si="28"/>
        <v>1</v>
      </c>
      <c r="N143" s="633"/>
      <c r="O143" s="20">
        <f t="shared" si="29"/>
        <v>1</v>
      </c>
      <c r="P143" s="633"/>
      <c r="Q143" s="20">
        <f t="shared" si="30"/>
        <v>1</v>
      </c>
      <c r="R143" s="20">
        <f t="shared" si="31"/>
        <v>0</v>
      </c>
      <c r="S143" s="306">
        <f t="shared" si="32"/>
        <v>0</v>
      </c>
    </row>
    <row r="144" spans="1:19">
      <c r="A144" s="140"/>
      <c r="B144" s="51"/>
      <c r="C144" s="20">
        <f t="shared" si="23"/>
        <v>1</v>
      </c>
      <c r="D144" s="633"/>
      <c r="E144" s="20">
        <f t="shared" si="24"/>
        <v>1</v>
      </c>
      <c r="F144" s="633"/>
      <c r="G144" s="20">
        <f t="shared" si="25"/>
        <v>1</v>
      </c>
      <c r="H144" s="633"/>
      <c r="I144" s="20">
        <f t="shared" si="26"/>
        <v>1</v>
      </c>
      <c r="J144" s="633"/>
      <c r="K144" s="20">
        <f t="shared" si="27"/>
        <v>1</v>
      </c>
      <c r="L144" s="633"/>
      <c r="M144" s="20">
        <f t="shared" si="28"/>
        <v>1</v>
      </c>
      <c r="N144" s="633"/>
      <c r="O144" s="20">
        <f t="shared" si="29"/>
        <v>1</v>
      </c>
      <c r="P144" s="633"/>
      <c r="Q144" s="20">
        <f t="shared" si="30"/>
        <v>1</v>
      </c>
      <c r="R144" s="20">
        <f t="shared" si="31"/>
        <v>0</v>
      </c>
      <c r="S144" s="306">
        <f t="shared" si="32"/>
        <v>0</v>
      </c>
    </row>
    <row r="145" spans="1:19">
      <c r="A145" s="140"/>
      <c r="B145" s="51"/>
      <c r="C145" s="20">
        <f t="shared" si="23"/>
        <v>1</v>
      </c>
      <c r="D145" s="633"/>
      <c r="E145" s="20">
        <f t="shared" si="24"/>
        <v>1</v>
      </c>
      <c r="F145" s="633"/>
      <c r="G145" s="20">
        <f t="shared" si="25"/>
        <v>1</v>
      </c>
      <c r="H145" s="633"/>
      <c r="I145" s="20">
        <f t="shared" si="26"/>
        <v>1</v>
      </c>
      <c r="J145" s="633"/>
      <c r="K145" s="20">
        <f t="shared" si="27"/>
        <v>1</v>
      </c>
      <c r="L145" s="633"/>
      <c r="M145" s="20">
        <f t="shared" si="28"/>
        <v>1</v>
      </c>
      <c r="N145" s="633"/>
      <c r="O145" s="20">
        <f t="shared" si="29"/>
        <v>1</v>
      </c>
      <c r="P145" s="633"/>
      <c r="Q145" s="20">
        <f t="shared" si="30"/>
        <v>1</v>
      </c>
      <c r="R145" s="20">
        <f t="shared" si="31"/>
        <v>0</v>
      </c>
      <c r="S145" s="306">
        <f t="shared" si="32"/>
        <v>0</v>
      </c>
    </row>
    <row r="146" spans="1:19">
      <c r="A146" s="140"/>
      <c r="B146" s="51"/>
      <c r="C146" s="20">
        <f t="shared" si="23"/>
        <v>1</v>
      </c>
      <c r="D146" s="633"/>
      <c r="E146" s="20">
        <f t="shared" si="24"/>
        <v>1</v>
      </c>
      <c r="F146" s="633"/>
      <c r="G146" s="20">
        <f t="shared" si="25"/>
        <v>1</v>
      </c>
      <c r="H146" s="633"/>
      <c r="I146" s="20">
        <f t="shared" si="26"/>
        <v>1</v>
      </c>
      <c r="J146" s="633"/>
      <c r="K146" s="20">
        <f t="shared" si="27"/>
        <v>1</v>
      </c>
      <c r="L146" s="633"/>
      <c r="M146" s="20">
        <f t="shared" si="28"/>
        <v>1</v>
      </c>
      <c r="N146" s="633"/>
      <c r="O146" s="20">
        <f t="shared" si="29"/>
        <v>1</v>
      </c>
      <c r="P146" s="633"/>
      <c r="Q146" s="20">
        <f t="shared" si="30"/>
        <v>1</v>
      </c>
      <c r="R146" s="20">
        <f t="shared" si="31"/>
        <v>0</v>
      </c>
      <c r="S146" s="306">
        <f t="shared" si="32"/>
        <v>0</v>
      </c>
    </row>
    <row r="147" spans="1:19">
      <c r="A147" s="140"/>
      <c r="B147" s="51"/>
      <c r="C147" s="20">
        <f t="shared" si="23"/>
        <v>1</v>
      </c>
      <c r="D147" s="633"/>
      <c r="E147" s="20">
        <f t="shared" si="24"/>
        <v>1</v>
      </c>
      <c r="F147" s="633"/>
      <c r="G147" s="20">
        <f t="shared" si="25"/>
        <v>1</v>
      </c>
      <c r="H147" s="633"/>
      <c r="I147" s="20">
        <f t="shared" si="26"/>
        <v>1</v>
      </c>
      <c r="J147" s="633"/>
      <c r="K147" s="20">
        <f t="shared" si="27"/>
        <v>1</v>
      </c>
      <c r="L147" s="633"/>
      <c r="M147" s="20">
        <f t="shared" si="28"/>
        <v>1</v>
      </c>
      <c r="N147" s="633"/>
      <c r="O147" s="20">
        <f t="shared" si="29"/>
        <v>1</v>
      </c>
      <c r="P147" s="633"/>
      <c r="Q147" s="20">
        <f t="shared" si="30"/>
        <v>1</v>
      </c>
      <c r="R147" s="20">
        <f t="shared" si="31"/>
        <v>0</v>
      </c>
      <c r="S147" s="306">
        <f t="shared" si="32"/>
        <v>0</v>
      </c>
    </row>
    <row r="148" spans="1:19">
      <c r="A148" s="140"/>
      <c r="B148" s="51"/>
      <c r="C148" s="20">
        <f t="shared" si="23"/>
        <v>1</v>
      </c>
      <c r="D148" s="633"/>
      <c r="E148" s="20">
        <f t="shared" si="24"/>
        <v>1</v>
      </c>
      <c r="F148" s="633"/>
      <c r="G148" s="20">
        <f t="shared" si="25"/>
        <v>1</v>
      </c>
      <c r="H148" s="633"/>
      <c r="I148" s="20">
        <f t="shared" si="26"/>
        <v>1</v>
      </c>
      <c r="J148" s="633"/>
      <c r="K148" s="20">
        <f t="shared" si="27"/>
        <v>1</v>
      </c>
      <c r="L148" s="633"/>
      <c r="M148" s="20">
        <f t="shared" si="28"/>
        <v>1</v>
      </c>
      <c r="N148" s="633"/>
      <c r="O148" s="20">
        <f t="shared" si="29"/>
        <v>1</v>
      </c>
      <c r="P148" s="633"/>
      <c r="Q148" s="20">
        <f t="shared" si="30"/>
        <v>1</v>
      </c>
      <c r="R148" s="20">
        <f t="shared" si="31"/>
        <v>0</v>
      </c>
      <c r="S148" s="306">
        <f t="shared" si="32"/>
        <v>0</v>
      </c>
    </row>
    <row r="149" spans="1:19">
      <c r="A149" s="140"/>
      <c r="B149" s="51"/>
      <c r="C149" s="20">
        <f t="shared" si="23"/>
        <v>1</v>
      </c>
      <c r="D149" s="633"/>
      <c r="E149" s="20">
        <f t="shared" si="24"/>
        <v>1</v>
      </c>
      <c r="F149" s="633"/>
      <c r="G149" s="20">
        <f t="shared" si="25"/>
        <v>1</v>
      </c>
      <c r="H149" s="633"/>
      <c r="I149" s="20">
        <f t="shared" si="26"/>
        <v>1</v>
      </c>
      <c r="J149" s="633"/>
      <c r="K149" s="20">
        <f t="shared" si="27"/>
        <v>1</v>
      </c>
      <c r="L149" s="633"/>
      <c r="M149" s="20">
        <f t="shared" si="28"/>
        <v>1</v>
      </c>
      <c r="N149" s="633"/>
      <c r="O149" s="20">
        <f t="shared" si="29"/>
        <v>1</v>
      </c>
      <c r="P149" s="633"/>
      <c r="Q149" s="20">
        <f t="shared" si="30"/>
        <v>1</v>
      </c>
      <c r="R149" s="20">
        <f t="shared" si="31"/>
        <v>0</v>
      </c>
      <c r="S149" s="306">
        <f t="shared" si="32"/>
        <v>0</v>
      </c>
    </row>
    <row r="150" spans="1:19">
      <c r="A150" s="140"/>
      <c r="B150" s="51"/>
      <c r="C150" s="20">
        <f t="shared" si="23"/>
        <v>1</v>
      </c>
      <c r="D150" s="633"/>
      <c r="E150" s="20">
        <f t="shared" si="24"/>
        <v>1</v>
      </c>
      <c r="F150" s="633"/>
      <c r="G150" s="20">
        <f t="shared" si="25"/>
        <v>1</v>
      </c>
      <c r="H150" s="633"/>
      <c r="I150" s="20">
        <f t="shared" si="26"/>
        <v>1</v>
      </c>
      <c r="J150" s="633"/>
      <c r="K150" s="20">
        <f t="shared" si="27"/>
        <v>1</v>
      </c>
      <c r="L150" s="633"/>
      <c r="M150" s="20">
        <f t="shared" si="28"/>
        <v>1</v>
      </c>
      <c r="N150" s="633"/>
      <c r="O150" s="20">
        <f t="shared" si="29"/>
        <v>1</v>
      </c>
      <c r="P150" s="633"/>
      <c r="Q150" s="20">
        <f t="shared" si="30"/>
        <v>1</v>
      </c>
      <c r="R150" s="20">
        <f t="shared" si="31"/>
        <v>0</v>
      </c>
      <c r="S150" s="306">
        <f t="shared" si="32"/>
        <v>0</v>
      </c>
    </row>
    <row r="151" spans="1:19">
      <c r="A151" s="140"/>
      <c r="B151" s="51"/>
      <c r="C151" s="20">
        <f t="shared" si="23"/>
        <v>1</v>
      </c>
      <c r="D151" s="633"/>
      <c r="E151" s="20">
        <f t="shared" si="24"/>
        <v>1</v>
      </c>
      <c r="F151" s="633"/>
      <c r="G151" s="20">
        <f t="shared" si="25"/>
        <v>1</v>
      </c>
      <c r="H151" s="633"/>
      <c r="I151" s="20">
        <f t="shared" si="26"/>
        <v>1</v>
      </c>
      <c r="J151" s="633"/>
      <c r="K151" s="20">
        <f t="shared" si="27"/>
        <v>1</v>
      </c>
      <c r="L151" s="633"/>
      <c r="M151" s="20">
        <f t="shared" si="28"/>
        <v>1</v>
      </c>
      <c r="N151" s="633"/>
      <c r="O151" s="20">
        <f t="shared" si="29"/>
        <v>1</v>
      </c>
      <c r="P151" s="633"/>
      <c r="Q151" s="20">
        <f t="shared" si="30"/>
        <v>1</v>
      </c>
      <c r="R151" s="20">
        <f t="shared" si="31"/>
        <v>0</v>
      </c>
      <c r="S151" s="306">
        <f t="shared" si="32"/>
        <v>0</v>
      </c>
    </row>
    <row r="152" spans="1:19">
      <c r="A152" s="140"/>
      <c r="B152" s="51"/>
      <c r="C152" s="20">
        <f t="shared" si="23"/>
        <v>1</v>
      </c>
      <c r="D152" s="633"/>
      <c r="E152" s="20">
        <f t="shared" si="24"/>
        <v>1</v>
      </c>
      <c r="F152" s="633"/>
      <c r="G152" s="20">
        <f t="shared" si="25"/>
        <v>1</v>
      </c>
      <c r="H152" s="633"/>
      <c r="I152" s="20">
        <f t="shared" si="26"/>
        <v>1</v>
      </c>
      <c r="J152" s="633"/>
      <c r="K152" s="20">
        <f t="shared" si="27"/>
        <v>1</v>
      </c>
      <c r="L152" s="633"/>
      <c r="M152" s="20">
        <f t="shared" si="28"/>
        <v>1</v>
      </c>
      <c r="N152" s="633"/>
      <c r="O152" s="20">
        <f t="shared" si="29"/>
        <v>1</v>
      </c>
      <c r="P152" s="633"/>
      <c r="Q152" s="20">
        <f t="shared" si="30"/>
        <v>1</v>
      </c>
      <c r="R152" s="20">
        <f t="shared" si="31"/>
        <v>0</v>
      </c>
      <c r="S152" s="306">
        <f t="shared" si="32"/>
        <v>0</v>
      </c>
    </row>
    <row r="153" spans="1:19">
      <c r="A153" s="140"/>
      <c r="B153" s="51"/>
      <c r="C153" s="20">
        <f t="shared" si="23"/>
        <v>1</v>
      </c>
      <c r="D153" s="633"/>
      <c r="E153" s="20">
        <f t="shared" si="24"/>
        <v>1</v>
      </c>
      <c r="F153" s="633"/>
      <c r="G153" s="20">
        <f t="shared" si="25"/>
        <v>1</v>
      </c>
      <c r="H153" s="633"/>
      <c r="I153" s="20">
        <f t="shared" si="26"/>
        <v>1</v>
      </c>
      <c r="J153" s="633"/>
      <c r="K153" s="20">
        <f t="shared" si="27"/>
        <v>1</v>
      </c>
      <c r="L153" s="633"/>
      <c r="M153" s="20">
        <f t="shared" si="28"/>
        <v>1</v>
      </c>
      <c r="N153" s="633"/>
      <c r="O153" s="20">
        <f t="shared" si="29"/>
        <v>1</v>
      </c>
      <c r="P153" s="633"/>
      <c r="Q153" s="20">
        <f t="shared" si="30"/>
        <v>1</v>
      </c>
      <c r="R153" s="20">
        <f t="shared" si="31"/>
        <v>0</v>
      </c>
      <c r="S153" s="306">
        <f t="shared" si="32"/>
        <v>0</v>
      </c>
    </row>
    <row r="154" spans="1:19">
      <c r="A154" s="140"/>
      <c r="B154" s="51"/>
      <c r="C154" s="20">
        <f t="shared" ref="C154:C217" si="33">IF(B154="",1,(LOOKUP(B154,$3:$3,$4:$4)-LOOKUP($B$24,$3:$3,$4:$4)+100)/100)</f>
        <v>1</v>
      </c>
      <c r="D154" s="633"/>
      <c r="E154" s="20">
        <f t="shared" ref="E154:E217" si="34">(SUMIF($5:$5,D154,$6:$6)-SUMIF($5:$5,$D$24,$6:$6)+100)/100</f>
        <v>1</v>
      </c>
      <c r="F154" s="633"/>
      <c r="G154" s="20">
        <f t="shared" ref="G154:G217" si="35">(SUMIF($7:$7,F154,$8:$8)-SUMIF($7:$7,$F$24,$8:$8)+100)/100</f>
        <v>1</v>
      </c>
      <c r="H154" s="633"/>
      <c r="I154" s="20">
        <f t="shared" ref="I154:I217" si="36">(SUMIF($9:$9,H154,$10:$10)-SUMIF($9:$9,$H$24,$10:$10)+100)/100</f>
        <v>1</v>
      </c>
      <c r="J154" s="633"/>
      <c r="K154" s="20">
        <f t="shared" ref="K154:K217" si="37">(SUMIF($11:$11,J154,$12:$12)-SUMIF($11:$11,$J$24,$12:$12)+100)/100</f>
        <v>1</v>
      </c>
      <c r="L154" s="633"/>
      <c r="M154" s="20">
        <f t="shared" ref="M154:M217" si="38">(SUMIF($13:$13,L154,$14:$14)-SUMIF($13:$13,$L$24,$14:$14)+100)/100</f>
        <v>1</v>
      </c>
      <c r="N154" s="633"/>
      <c r="O154" s="20">
        <f t="shared" ref="O154:O217" si="39">(SUMIF($15:$15,N154,$16:$16)-SUMIF($15:$15,$N$24,$16:$16)+100)/100</f>
        <v>1</v>
      </c>
      <c r="P154" s="633"/>
      <c r="Q154" s="20">
        <f t="shared" ref="Q154:Q217" si="40">(SUMIF($17:$17,P154,$18:$18)-SUMIF($17:$17,$P$24,$18:$18)+100)/100</f>
        <v>1</v>
      </c>
      <c r="R154" s="20">
        <f t="shared" ref="R154:R217" si="41">IF(B154="",0,ROUND($R$24*C154*E154*G154*I154*K154*M154*O154*Q154,0))</f>
        <v>0</v>
      </c>
      <c r="S154" s="306">
        <f t="shared" si="32"/>
        <v>0</v>
      </c>
    </row>
    <row r="155" spans="1:19">
      <c r="A155" s="140"/>
      <c r="B155" s="51"/>
      <c r="C155" s="20">
        <f t="shared" si="33"/>
        <v>1</v>
      </c>
      <c r="D155" s="633"/>
      <c r="E155" s="20">
        <f t="shared" si="34"/>
        <v>1</v>
      </c>
      <c r="F155" s="633"/>
      <c r="G155" s="20">
        <f t="shared" si="35"/>
        <v>1</v>
      </c>
      <c r="H155" s="633"/>
      <c r="I155" s="20">
        <f t="shared" si="36"/>
        <v>1</v>
      </c>
      <c r="J155" s="633"/>
      <c r="K155" s="20">
        <f t="shared" si="37"/>
        <v>1</v>
      </c>
      <c r="L155" s="633"/>
      <c r="M155" s="20">
        <f t="shared" si="38"/>
        <v>1</v>
      </c>
      <c r="N155" s="633"/>
      <c r="O155" s="20">
        <f t="shared" si="39"/>
        <v>1</v>
      </c>
      <c r="P155" s="633"/>
      <c r="Q155" s="20">
        <f t="shared" si="40"/>
        <v>1</v>
      </c>
      <c r="R155" s="20">
        <f t="shared" si="41"/>
        <v>0</v>
      </c>
      <c r="S155" s="306">
        <f t="shared" si="32"/>
        <v>0</v>
      </c>
    </row>
    <row r="156" spans="1:19">
      <c r="A156" s="140"/>
      <c r="B156" s="51"/>
      <c r="C156" s="20">
        <f t="shared" si="33"/>
        <v>1</v>
      </c>
      <c r="D156" s="633"/>
      <c r="E156" s="20">
        <f t="shared" si="34"/>
        <v>1</v>
      </c>
      <c r="F156" s="633"/>
      <c r="G156" s="20">
        <f t="shared" si="35"/>
        <v>1</v>
      </c>
      <c r="H156" s="633"/>
      <c r="I156" s="20">
        <f t="shared" si="36"/>
        <v>1</v>
      </c>
      <c r="J156" s="633"/>
      <c r="K156" s="20">
        <f t="shared" si="37"/>
        <v>1</v>
      </c>
      <c r="L156" s="633"/>
      <c r="M156" s="20">
        <f t="shared" si="38"/>
        <v>1</v>
      </c>
      <c r="N156" s="633"/>
      <c r="O156" s="20">
        <f t="shared" si="39"/>
        <v>1</v>
      </c>
      <c r="P156" s="633"/>
      <c r="Q156" s="20">
        <f t="shared" si="40"/>
        <v>1</v>
      </c>
      <c r="R156" s="20">
        <f t="shared" si="41"/>
        <v>0</v>
      </c>
      <c r="S156" s="306">
        <f t="shared" si="32"/>
        <v>0</v>
      </c>
    </row>
    <row r="157" spans="1:19">
      <c r="A157" s="140"/>
      <c r="B157" s="51"/>
      <c r="C157" s="20">
        <f t="shared" si="33"/>
        <v>1</v>
      </c>
      <c r="D157" s="633"/>
      <c r="E157" s="20">
        <f t="shared" si="34"/>
        <v>1</v>
      </c>
      <c r="F157" s="633"/>
      <c r="G157" s="20">
        <f t="shared" si="35"/>
        <v>1</v>
      </c>
      <c r="H157" s="633"/>
      <c r="I157" s="20">
        <f t="shared" si="36"/>
        <v>1</v>
      </c>
      <c r="J157" s="633"/>
      <c r="K157" s="20">
        <f t="shared" si="37"/>
        <v>1</v>
      </c>
      <c r="L157" s="633"/>
      <c r="M157" s="20">
        <f t="shared" si="38"/>
        <v>1</v>
      </c>
      <c r="N157" s="633"/>
      <c r="O157" s="20">
        <f t="shared" si="39"/>
        <v>1</v>
      </c>
      <c r="P157" s="633"/>
      <c r="Q157" s="20">
        <f t="shared" si="40"/>
        <v>1</v>
      </c>
      <c r="R157" s="20">
        <f t="shared" si="41"/>
        <v>0</v>
      </c>
      <c r="S157" s="306">
        <f t="shared" si="32"/>
        <v>0</v>
      </c>
    </row>
    <row r="158" spans="1:19">
      <c r="A158" s="140"/>
      <c r="B158" s="51"/>
      <c r="C158" s="20">
        <f t="shared" si="33"/>
        <v>1</v>
      </c>
      <c r="D158" s="633"/>
      <c r="E158" s="20">
        <f t="shared" si="34"/>
        <v>1</v>
      </c>
      <c r="F158" s="633"/>
      <c r="G158" s="20">
        <f t="shared" si="35"/>
        <v>1</v>
      </c>
      <c r="H158" s="633"/>
      <c r="I158" s="20">
        <f t="shared" si="36"/>
        <v>1</v>
      </c>
      <c r="J158" s="633"/>
      <c r="K158" s="20">
        <f t="shared" si="37"/>
        <v>1</v>
      </c>
      <c r="L158" s="633"/>
      <c r="M158" s="20">
        <f t="shared" si="38"/>
        <v>1</v>
      </c>
      <c r="N158" s="633"/>
      <c r="O158" s="20">
        <f t="shared" si="39"/>
        <v>1</v>
      </c>
      <c r="P158" s="633"/>
      <c r="Q158" s="20">
        <f t="shared" si="40"/>
        <v>1</v>
      </c>
      <c r="R158" s="20">
        <f t="shared" si="41"/>
        <v>0</v>
      </c>
      <c r="S158" s="306">
        <f t="shared" si="32"/>
        <v>0</v>
      </c>
    </row>
    <row r="159" spans="1:19">
      <c r="A159" s="140"/>
      <c r="B159" s="51"/>
      <c r="C159" s="20">
        <f t="shared" si="33"/>
        <v>1</v>
      </c>
      <c r="D159" s="633"/>
      <c r="E159" s="20">
        <f t="shared" si="34"/>
        <v>1</v>
      </c>
      <c r="F159" s="633"/>
      <c r="G159" s="20">
        <f t="shared" si="35"/>
        <v>1</v>
      </c>
      <c r="H159" s="633"/>
      <c r="I159" s="20">
        <f t="shared" si="36"/>
        <v>1</v>
      </c>
      <c r="J159" s="633"/>
      <c r="K159" s="20">
        <f t="shared" si="37"/>
        <v>1</v>
      </c>
      <c r="L159" s="633"/>
      <c r="M159" s="20">
        <f t="shared" si="38"/>
        <v>1</v>
      </c>
      <c r="N159" s="633"/>
      <c r="O159" s="20">
        <f t="shared" si="39"/>
        <v>1</v>
      </c>
      <c r="P159" s="633"/>
      <c r="Q159" s="20">
        <f t="shared" si="40"/>
        <v>1</v>
      </c>
      <c r="R159" s="20">
        <f t="shared" si="41"/>
        <v>0</v>
      </c>
      <c r="S159" s="306">
        <f t="shared" si="32"/>
        <v>0</v>
      </c>
    </row>
    <row r="160" spans="1:19">
      <c r="A160" s="140"/>
      <c r="B160" s="51"/>
      <c r="C160" s="20">
        <f t="shared" si="33"/>
        <v>1</v>
      </c>
      <c r="D160" s="633"/>
      <c r="E160" s="20">
        <f t="shared" si="34"/>
        <v>1</v>
      </c>
      <c r="F160" s="633"/>
      <c r="G160" s="20">
        <f t="shared" si="35"/>
        <v>1</v>
      </c>
      <c r="H160" s="633"/>
      <c r="I160" s="20">
        <f t="shared" si="36"/>
        <v>1</v>
      </c>
      <c r="J160" s="633"/>
      <c r="K160" s="20">
        <f t="shared" si="37"/>
        <v>1</v>
      </c>
      <c r="L160" s="633"/>
      <c r="M160" s="20">
        <f t="shared" si="38"/>
        <v>1</v>
      </c>
      <c r="N160" s="633"/>
      <c r="O160" s="20">
        <f t="shared" si="39"/>
        <v>1</v>
      </c>
      <c r="P160" s="633"/>
      <c r="Q160" s="20">
        <f t="shared" si="40"/>
        <v>1</v>
      </c>
      <c r="R160" s="20">
        <f t="shared" si="41"/>
        <v>0</v>
      </c>
      <c r="S160" s="306">
        <f t="shared" si="32"/>
        <v>0</v>
      </c>
    </row>
    <row r="161" spans="1:19">
      <c r="A161" s="140"/>
      <c r="B161" s="51"/>
      <c r="C161" s="20">
        <f t="shared" si="33"/>
        <v>1</v>
      </c>
      <c r="D161" s="633"/>
      <c r="E161" s="20">
        <f t="shared" si="34"/>
        <v>1</v>
      </c>
      <c r="F161" s="633"/>
      <c r="G161" s="20">
        <f t="shared" si="35"/>
        <v>1</v>
      </c>
      <c r="H161" s="633"/>
      <c r="I161" s="20">
        <f t="shared" si="36"/>
        <v>1</v>
      </c>
      <c r="J161" s="633"/>
      <c r="K161" s="20">
        <f t="shared" si="37"/>
        <v>1</v>
      </c>
      <c r="L161" s="633"/>
      <c r="M161" s="20">
        <f t="shared" si="38"/>
        <v>1</v>
      </c>
      <c r="N161" s="633"/>
      <c r="O161" s="20">
        <f t="shared" si="39"/>
        <v>1</v>
      </c>
      <c r="P161" s="633"/>
      <c r="Q161" s="20">
        <f t="shared" si="40"/>
        <v>1</v>
      </c>
      <c r="R161" s="20">
        <f t="shared" si="41"/>
        <v>0</v>
      </c>
      <c r="S161" s="306">
        <f t="shared" si="32"/>
        <v>0</v>
      </c>
    </row>
    <row r="162" spans="1:19">
      <c r="A162" s="140"/>
      <c r="B162" s="51"/>
      <c r="C162" s="20">
        <f t="shared" si="33"/>
        <v>1</v>
      </c>
      <c r="D162" s="633"/>
      <c r="E162" s="20">
        <f t="shared" si="34"/>
        <v>1</v>
      </c>
      <c r="F162" s="633"/>
      <c r="G162" s="20">
        <f t="shared" si="35"/>
        <v>1</v>
      </c>
      <c r="H162" s="633"/>
      <c r="I162" s="20">
        <f t="shared" si="36"/>
        <v>1</v>
      </c>
      <c r="J162" s="633"/>
      <c r="K162" s="20">
        <f t="shared" si="37"/>
        <v>1</v>
      </c>
      <c r="L162" s="633"/>
      <c r="M162" s="20">
        <f t="shared" si="38"/>
        <v>1</v>
      </c>
      <c r="N162" s="633"/>
      <c r="O162" s="20">
        <f t="shared" si="39"/>
        <v>1</v>
      </c>
      <c r="P162" s="633"/>
      <c r="Q162" s="20">
        <f t="shared" si="40"/>
        <v>1</v>
      </c>
      <c r="R162" s="20">
        <f t="shared" si="41"/>
        <v>0</v>
      </c>
      <c r="S162" s="306">
        <f t="shared" si="32"/>
        <v>0</v>
      </c>
    </row>
    <row r="163" spans="1:19">
      <c r="A163" s="140"/>
      <c r="B163" s="51"/>
      <c r="C163" s="20">
        <f t="shared" si="33"/>
        <v>1</v>
      </c>
      <c r="D163" s="633"/>
      <c r="E163" s="20">
        <f t="shared" si="34"/>
        <v>1</v>
      </c>
      <c r="F163" s="633"/>
      <c r="G163" s="20">
        <f t="shared" si="35"/>
        <v>1</v>
      </c>
      <c r="H163" s="633"/>
      <c r="I163" s="20">
        <f t="shared" si="36"/>
        <v>1</v>
      </c>
      <c r="J163" s="633"/>
      <c r="K163" s="20">
        <f t="shared" si="37"/>
        <v>1</v>
      </c>
      <c r="L163" s="633"/>
      <c r="M163" s="20">
        <f t="shared" si="38"/>
        <v>1</v>
      </c>
      <c r="N163" s="633"/>
      <c r="O163" s="20">
        <f t="shared" si="39"/>
        <v>1</v>
      </c>
      <c r="P163" s="633"/>
      <c r="Q163" s="20">
        <f t="shared" si="40"/>
        <v>1</v>
      </c>
      <c r="R163" s="20">
        <f t="shared" si="41"/>
        <v>0</v>
      </c>
      <c r="S163" s="306">
        <f t="shared" si="32"/>
        <v>0</v>
      </c>
    </row>
    <row r="164" spans="1:19">
      <c r="A164" s="140"/>
      <c r="B164" s="51"/>
      <c r="C164" s="20">
        <f t="shared" si="33"/>
        <v>1</v>
      </c>
      <c r="D164" s="633"/>
      <c r="E164" s="20">
        <f t="shared" si="34"/>
        <v>1</v>
      </c>
      <c r="F164" s="633"/>
      <c r="G164" s="20">
        <f t="shared" si="35"/>
        <v>1</v>
      </c>
      <c r="H164" s="633"/>
      <c r="I164" s="20">
        <f t="shared" si="36"/>
        <v>1</v>
      </c>
      <c r="J164" s="633"/>
      <c r="K164" s="20">
        <f t="shared" si="37"/>
        <v>1</v>
      </c>
      <c r="L164" s="633"/>
      <c r="M164" s="20">
        <f t="shared" si="38"/>
        <v>1</v>
      </c>
      <c r="N164" s="633"/>
      <c r="O164" s="20">
        <f t="shared" si="39"/>
        <v>1</v>
      </c>
      <c r="P164" s="633"/>
      <c r="Q164" s="20">
        <f t="shared" si="40"/>
        <v>1</v>
      </c>
      <c r="R164" s="20">
        <f t="shared" si="41"/>
        <v>0</v>
      </c>
      <c r="S164" s="306">
        <f t="shared" si="32"/>
        <v>0</v>
      </c>
    </row>
    <row r="165" spans="1:19">
      <c r="A165" s="140"/>
      <c r="B165" s="51"/>
      <c r="C165" s="20">
        <f t="shared" si="33"/>
        <v>1</v>
      </c>
      <c r="D165" s="633"/>
      <c r="E165" s="20">
        <f t="shared" si="34"/>
        <v>1</v>
      </c>
      <c r="F165" s="633"/>
      <c r="G165" s="20">
        <f t="shared" si="35"/>
        <v>1</v>
      </c>
      <c r="H165" s="633"/>
      <c r="I165" s="20">
        <f t="shared" si="36"/>
        <v>1</v>
      </c>
      <c r="J165" s="633"/>
      <c r="K165" s="20">
        <f t="shared" si="37"/>
        <v>1</v>
      </c>
      <c r="L165" s="633"/>
      <c r="M165" s="20">
        <f t="shared" si="38"/>
        <v>1</v>
      </c>
      <c r="N165" s="633"/>
      <c r="O165" s="20">
        <f t="shared" si="39"/>
        <v>1</v>
      </c>
      <c r="P165" s="633"/>
      <c r="Q165" s="20">
        <f t="shared" si="40"/>
        <v>1</v>
      </c>
      <c r="R165" s="20">
        <f t="shared" si="41"/>
        <v>0</v>
      </c>
      <c r="S165" s="306">
        <f t="shared" si="32"/>
        <v>0</v>
      </c>
    </row>
    <row r="166" spans="1:19">
      <c r="A166" s="140"/>
      <c r="B166" s="51"/>
      <c r="C166" s="20">
        <f t="shared" si="33"/>
        <v>1</v>
      </c>
      <c r="D166" s="633"/>
      <c r="E166" s="20">
        <f t="shared" si="34"/>
        <v>1</v>
      </c>
      <c r="F166" s="633"/>
      <c r="G166" s="20">
        <f t="shared" si="35"/>
        <v>1</v>
      </c>
      <c r="H166" s="633"/>
      <c r="I166" s="20">
        <f t="shared" si="36"/>
        <v>1</v>
      </c>
      <c r="J166" s="633"/>
      <c r="K166" s="20">
        <f t="shared" si="37"/>
        <v>1</v>
      </c>
      <c r="L166" s="633"/>
      <c r="M166" s="20">
        <f t="shared" si="38"/>
        <v>1</v>
      </c>
      <c r="N166" s="633"/>
      <c r="O166" s="20">
        <f t="shared" si="39"/>
        <v>1</v>
      </c>
      <c r="P166" s="633"/>
      <c r="Q166" s="20">
        <f t="shared" si="40"/>
        <v>1</v>
      </c>
      <c r="R166" s="20">
        <f t="shared" si="41"/>
        <v>0</v>
      </c>
      <c r="S166" s="306">
        <f t="shared" si="32"/>
        <v>0</v>
      </c>
    </row>
    <row r="167" spans="1:19">
      <c r="A167" s="140"/>
      <c r="B167" s="51"/>
      <c r="C167" s="20">
        <f t="shared" si="33"/>
        <v>1</v>
      </c>
      <c r="D167" s="633"/>
      <c r="E167" s="20">
        <f t="shared" si="34"/>
        <v>1</v>
      </c>
      <c r="F167" s="633"/>
      <c r="G167" s="20">
        <f t="shared" si="35"/>
        <v>1</v>
      </c>
      <c r="H167" s="633"/>
      <c r="I167" s="20">
        <f t="shared" si="36"/>
        <v>1</v>
      </c>
      <c r="J167" s="633"/>
      <c r="K167" s="20">
        <f t="shared" si="37"/>
        <v>1</v>
      </c>
      <c r="L167" s="633"/>
      <c r="M167" s="20">
        <f t="shared" si="38"/>
        <v>1</v>
      </c>
      <c r="N167" s="633"/>
      <c r="O167" s="20">
        <f t="shared" si="39"/>
        <v>1</v>
      </c>
      <c r="P167" s="633"/>
      <c r="Q167" s="20">
        <f t="shared" si="40"/>
        <v>1</v>
      </c>
      <c r="R167" s="20">
        <f t="shared" si="41"/>
        <v>0</v>
      </c>
      <c r="S167" s="306">
        <f t="shared" si="32"/>
        <v>0</v>
      </c>
    </row>
    <row r="168" spans="1:19">
      <c r="A168" s="140"/>
      <c r="B168" s="51"/>
      <c r="C168" s="20">
        <f t="shared" si="33"/>
        <v>1</v>
      </c>
      <c r="D168" s="633"/>
      <c r="E168" s="20">
        <f t="shared" si="34"/>
        <v>1</v>
      </c>
      <c r="F168" s="633"/>
      <c r="G168" s="20">
        <f t="shared" si="35"/>
        <v>1</v>
      </c>
      <c r="H168" s="633"/>
      <c r="I168" s="20">
        <f t="shared" si="36"/>
        <v>1</v>
      </c>
      <c r="J168" s="633"/>
      <c r="K168" s="20">
        <f t="shared" si="37"/>
        <v>1</v>
      </c>
      <c r="L168" s="633"/>
      <c r="M168" s="20">
        <f t="shared" si="38"/>
        <v>1</v>
      </c>
      <c r="N168" s="633"/>
      <c r="O168" s="20">
        <f t="shared" si="39"/>
        <v>1</v>
      </c>
      <c r="P168" s="633"/>
      <c r="Q168" s="20">
        <f t="shared" si="40"/>
        <v>1</v>
      </c>
      <c r="R168" s="20">
        <f t="shared" si="41"/>
        <v>0</v>
      </c>
      <c r="S168" s="306">
        <f t="shared" si="32"/>
        <v>0</v>
      </c>
    </row>
    <row r="169" spans="1:19">
      <c r="A169" s="140"/>
      <c r="B169" s="51"/>
      <c r="C169" s="20">
        <f t="shared" si="33"/>
        <v>1</v>
      </c>
      <c r="D169" s="633"/>
      <c r="E169" s="20">
        <f t="shared" si="34"/>
        <v>1</v>
      </c>
      <c r="F169" s="633"/>
      <c r="G169" s="20">
        <f t="shared" si="35"/>
        <v>1</v>
      </c>
      <c r="H169" s="633"/>
      <c r="I169" s="20">
        <f t="shared" si="36"/>
        <v>1</v>
      </c>
      <c r="J169" s="633"/>
      <c r="K169" s="20">
        <f t="shared" si="37"/>
        <v>1</v>
      </c>
      <c r="L169" s="633"/>
      <c r="M169" s="20">
        <f t="shared" si="38"/>
        <v>1</v>
      </c>
      <c r="N169" s="633"/>
      <c r="O169" s="20">
        <f t="shared" si="39"/>
        <v>1</v>
      </c>
      <c r="P169" s="633"/>
      <c r="Q169" s="20">
        <f t="shared" si="40"/>
        <v>1</v>
      </c>
      <c r="R169" s="20">
        <f t="shared" si="41"/>
        <v>0</v>
      </c>
      <c r="S169" s="306">
        <f t="shared" si="32"/>
        <v>0</v>
      </c>
    </row>
    <row r="170" spans="1:19">
      <c r="A170" s="140"/>
      <c r="B170" s="51"/>
      <c r="C170" s="20">
        <f t="shared" si="33"/>
        <v>1</v>
      </c>
      <c r="D170" s="633"/>
      <c r="E170" s="20">
        <f t="shared" si="34"/>
        <v>1</v>
      </c>
      <c r="F170" s="633"/>
      <c r="G170" s="20">
        <f t="shared" si="35"/>
        <v>1</v>
      </c>
      <c r="H170" s="633"/>
      <c r="I170" s="20">
        <f t="shared" si="36"/>
        <v>1</v>
      </c>
      <c r="J170" s="633"/>
      <c r="K170" s="20">
        <f t="shared" si="37"/>
        <v>1</v>
      </c>
      <c r="L170" s="633"/>
      <c r="M170" s="20">
        <f t="shared" si="38"/>
        <v>1</v>
      </c>
      <c r="N170" s="633"/>
      <c r="O170" s="20">
        <f t="shared" si="39"/>
        <v>1</v>
      </c>
      <c r="P170" s="633"/>
      <c r="Q170" s="20">
        <f t="shared" si="40"/>
        <v>1</v>
      </c>
      <c r="R170" s="20">
        <f t="shared" si="41"/>
        <v>0</v>
      </c>
      <c r="S170" s="306">
        <f t="shared" si="32"/>
        <v>0</v>
      </c>
    </row>
    <row r="171" spans="1:19">
      <c r="A171" s="140"/>
      <c r="B171" s="51"/>
      <c r="C171" s="20">
        <f t="shared" si="33"/>
        <v>1</v>
      </c>
      <c r="D171" s="633"/>
      <c r="E171" s="20">
        <f t="shared" si="34"/>
        <v>1</v>
      </c>
      <c r="F171" s="633"/>
      <c r="G171" s="20">
        <f t="shared" si="35"/>
        <v>1</v>
      </c>
      <c r="H171" s="633"/>
      <c r="I171" s="20">
        <f t="shared" si="36"/>
        <v>1</v>
      </c>
      <c r="J171" s="633"/>
      <c r="K171" s="20">
        <f t="shared" si="37"/>
        <v>1</v>
      </c>
      <c r="L171" s="633"/>
      <c r="M171" s="20">
        <f t="shared" si="38"/>
        <v>1</v>
      </c>
      <c r="N171" s="633"/>
      <c r="O171" s="20">
        <f t="shared" si="39"/>
        <v>1</v>
      </c>
      <c r="P171" s="633"/>
      <c r="Q171" s="20">
        <f t="shared" si="40"/>
        <v>1</v>
      </c>
      <c r="R171" s="20">
        <f t="shared" si="41"/>
        <v>0</v>
      </c>
      <c r="S171" s="306">
        <f t="shared" si="32"/>
        <v>0</v>
      </c>
    </row>
    <row r="172" spans="1:19">
      <c r="A172" s="140"/>
      <c r="B172" s="51"/>
      <c r="C172" s="20">
        <f t="shared" si="33"/>
        <v>1</v>
      </c>
      <c r="D172" s="633"/>
      <c r="E172" s="20">
        <f t="shared" si="34"/>
        <v>1</v>
      </c>
      <c r="F172" s="633"/>
      <c r="G172" s="20">
        <f t="shared" si="35"/>
        <v>1</v>
      </c>
      <c r="H172" s="633"/>
      <c r="I172" s="20">
        <f t="shared" si="36"/>
        <v>1</v>
      </c>
      <c r="J172" s="633"/>
      <c r="K172" s="20">
        <f t="shared" si="37"/>
        <v>1</v>
      </c>
      <c r="L172" s="633"/>
      <c r="M172" s="20">
        <f t="shared" si="38"/>
        <v>1</v>
      </c>
      <c r="N172" s="633"/>
      <c r="O172" s="20">
        <f t="shared" si="39"/>
        <v>1</v>
      </c>
      <c r="P172" s="633"/>
      <c r="Q172" s="20">
        <f t="shared" si="40"/>
        <v>1</v>
      </c>
      <c r="R172" s="20">
        <f t="shared" si="41"/>
        <v>0</v>
      </c>
      <c r="S172" s="306">
        <f t="shared" si="32"/>
        <v>0</v>
      </c>
    </row>
    <row r="173" spans="1:19">
      <c r="A173" s="140"/>
      <c r="B173" s="51"/>
      <c r="C173" s="20">
        <f t="shared" si="33"/>
        <v>1</v>
      </c>
      <c r="D173" s="633"/>
      <c r="E173" s="20">
        <f t="shared" si="34"/>
        <v>1</v>
      </c>
      <c r="F173" s="633"/>
      <c r="G173" s="20">
        <f t="shared" si="35"/>
        <v>1</v>
      </c>
      <c r="H173" s="633"/>
      <c r="I173" s="20">
        <f t="shared" si="36"/>
        <v>1</v>
      </c>
      <c r="J173" s="633"/>
      <c r="K173" s="20">
        <f t="shared" si="37"/>
        <v>1</v>
      </c>
      <c r="L173" s="633"/>
      <c r="M173" s="20">
        <f t="shared" si="38"/>
        <v>1</v>
      </c>
      <c r="N173" s="633"/>
      <c r="O173" s="20">
        <f t="shared" si="39"/>
        <v>1</v>
      </c>
      <c r="P173" s="633"/>
      <c r="Q173" s="20">
        <f t="shared" si="40"/>
        <v>1</v>
      </c>
      <c r="R173" s="20">
        <f t="shared" si="41"/>
        <v>0</v>
      </c>
      <c r="S173" s="306">
        <f t="shared" si="32"/>
        <v>0</v>
      </c>
    </row>
    <row r="174" spans="1:19">
      <c r="A174" s="140"/>
      <c r="B174" s="51"/>
      <c r="C174" s="20">
        <f t="shared" si="33"/>
        <v>1</v>
      </c>
      <c r="D174" s="633"/>
      <c r="E174" s="20">
        <f t="shared" si="34"/>
        <v>1</v>
      </c>
      <c r="F174" s="633"/>
      <c r="G174" s="20">
        <f t="shared" si="35"/>
        <v>1</v>
      </c>
      <c r="H174" s="633"/>
      <c r="I174" s="20">
        <f t="shared" si="36"/>
        <v>1</v>
      </c>
      <c r="J174" s="633"/>
      <c r="K174" s="20">
        <f t="shared" si="37"/>
        <v>1</v>
      </c>
      <c r="L174" s="633"/>
      <c r="M174" s="20">
        <f t="shared" si="38"/>
        <v>1</v>
      </c>
      <c r="N174" s="633"/>
      <c r="O174" s="20">
        <f t="shared" si="39"/>
        <v>1</v>
      </c>
      <c r="P174" s="633"/>
      <c r="Q174" s="20">
        <f t="shared" si="40"/>
        <v>1</v>
      </c>
      <c r="R174" s="20">
        <f t="shared" si="41"/>
        <v>0</v>
      </c>
      <c r="S174" s="306">
        <f t="shared" si="32"/>
        <v>0</v>
      </c>
    </row>
    <row r="175" spans="1:19">
      <c r="A175" s="140"/>
      <c r="B175" s="51"/>
      <c r="C175" s="20">
        <f t="shared" si="33"/>
        <v>1</v>
      </c>
      <c r="D175" s="633"/>
      <c r="E175" s="20">
        <f t="shared" si="34"/>
        <v>1</v>
      </c>
      <c r="F175" s="633"/>
      <c r="G175" s="20">
        <f t="shared" si="35"/>
        <v>1</v>
      </c>
      <c r="H175" s="633"/>
      <c r="I175" s="20">
        <f t="shared" si="36"/>
        <v>1</v>
      </c>
      <c r="J175" s="633"/>
      <c r="K175" s="20">
        <f t="shared" si="37"/>
        <v>1</v>
      </c>
      <c r="L175" s="633"/>
      <c r="M175" s="20">
        <f t="shared" si="38"/>
        <v>1</v>
      </c>
      <c r="N175" s="633"/>
      <c r="O175" s="20">
        <f t="shared" si="39"/>
        <v>1</v>
      </c>
      <c r="P175" s="633"/>
      <c r="Q175" s="20">
        <f t="shared" si="40"/>
        <v>1</v>
      </c>
      <c r="R175" s="20">
        <f t="shared" si="41"/>
        <v>0</v>
      </c>
      <c r="S175" s="306">
        <f t="shared" si="32"/>
        <v>0</v>
      </c>
    </row>
    <row r="176" spans="1:19">
      <c r="A176" s="140"/>
      <c r="B176" s="51"/>
      <c r="C176" s="20">
        <f t="shared" si="33"/>
        <v>1</v>
      </c>
      <c r="D176" s="633"/>
      <c r="E176" s="20">
        <f t="shared" si="34"/>
        <v>1</v>
      </c>
      <c r="F176" s="633"/>
      <c r="G176" s="20">
        <f t="shared" si="35"/>
        <v>1</v>
      </c>
      <c r="H176" s="633"/>
      <c r="I176" s="20">
        <f t="shared" si="36"/>
        <v>1</v>
      </c>
      <c r="J176" s="633"/>
      <c r="K176" s="20">
        <f t="shared" si="37"/>
        <v>1</v>
      </c>
      <c r="L176" s="633"/>
      <c r="M176" s="20">
        <f t="shared" si="38"/>
        <v>1</v>
      </c>
      <c r="N176" s="633"/>
      <c r="O176" s="20">
        <f t="shared" si="39"/>
        <v>1</v>
      </c>
      <c r="P176" s="633"/>
      <c r="Q176" s="20">
        <f t="shared" si="40"/>
        <v>1</v>
      </c>
      <c r="R176" s="20">
        <f t="shared" si="41"/>
        <v>0</v>
      </c>
      <c r="S176" s="306">
        <f t="shared" si="32"/>
        <v>0</v>
      </c>
    </row>
    <row r="177" spans="1:19">
      <c r="A177" s="140"/>
      <c r="B177" s="51"/>
      <c r="C177" s="20">
        <f t="shared" si="33"/>
        <v>1</v>
      </c>
      <c r="D177" s="633"/>
      <c r="E177" s="20">
        <f t="shared" si="34"/>
        <v>1</v>
      </c>
      <c r="F177" s="633"/>
      <c r="G177" s="20">
        <f t="shared" si="35"/>
        <v>1</v>
      </c>
      <c r="H177" s="633"/>
      <c r="I177" s="20">
        <f t="shared" si="36"/>
        <v>1</v>
      </c>
      <c r="J177" s="633"/>
      <c r="K177" s="20">
        <f t="shared" si="37"/>
        <v>1</v>
      </c>
      <c r="L177" s="633"/>
      <c r="M177" s="20">
        <f t="shared" si="38"/>
        <v>1</v>
      </c>
      <c r="N177" s="633"/>
      <c r="O177" s="20">
        <f t="shared" si="39"/>
        <v>1</v>
      </c>
      <c r="P177" s="633"/>
      <c r="Q177" s="20">
        <f t="shared" si="40"/>
        <v>1</v>
      </c>
      <c r="R177" s="20">
        <f t="shared" si="41"/>
        <v>0</v>
      </c>
      <c r="S177" s="306">
        <f t="shared" si="32"/>
        <v>0</v>
      </c>
    </row>
    <row r="178" spans="1:19">
      <c r="A178" s="140"/>
      <c r="B178" s="51"/>
      <c r="C178" s="20">
        <f t="shared" si="33"/>
        <v>1</v>
      </c>
      <c r="D178" s="633"/>
      <c r="E178" s="20">
        <f t="shared" si="34"/>
        <v>1</v>
      </c>
      <c r="F178" s="633"/>
      <c r="G178" s="20">
        <f t="shared" si="35"/>
        <v>1</v>
      </c>
      <c r="H178" s="633"/>
      <c r="I178" s="20">
        <f t="shared" si="36"/>
        <v>1</v>
      </c>
      <c r="J178" s="633"/>
      <c r="K178" s="20">
        <f t="shared" si="37"/>
        <v>1</v>
      </c>
      <c r="L178" s="633"/>
      <c r="M178" s="20">
        <f t="shared" si="38"/>
        <v>1</v>
      </c>
      <c r="N178" s="633"/>
      <c r="O178" s="20">
        <f t="shared" si="39"/>
        <v>1</v>
      </c>
      <c r="P178" s="633"/>
      <c r="Q178" s="20">
        <f t="shared" si="40"/>
        <v>1</v>
      </c>
      <c r="R178" s="20">
        <f t="shared" si="41"/>
        <v>0</v>
      </c>
      <c r="S178" s="306">
        <f t="shared" si="32"/>
        <v>0</v>
      </c>
    </row>
    <row r="179" spans="1:19">
      <c r="A179" s="140"/>
      <c r="B179" s="51"/>
      <c r="C179" s="20">
        <f t="shared" si="33"/>
        <v>1</v>
      </c>
      <c r="D179" s="633"/>
      <c r="E179" s="20">
        <f t="shared" si="34"/>
        <v>1</v>
      </c>
      <c r="F179" s="633"/>
      <c r="G179" s="20">
        <f t="shared" si="35"/>
        <v>1</v>
      </c>
      <c r="H179" s="633"/>
      <c r="I179" s="20">
        <f t="shared" si="36"/>
        <v>1</v>
      </c>
      <c r="J179" s="633"/>
      <c r="K179" s="20">
        <f t="shared" si="37"/>
        <v>1</v>
      </c>
      <c r="L179" s="633"/>
      <c r="M179" s="20">
        <f t="shared" si="38"/>
        <v>1</v>
      </c>
      <c r="N179" s="633"/>
      <c r="O179" s="20">
        <f t="shared" si="39"/>
        <v>1</v>
      </c>
      <c r="P179" s="633"/>
      <c r="Q179" s="20">
        <f t="shared" si="40"/>
        <v>1</v>
      </c>
      <c r="R179" s="20">
        <f t="shared" si="41"/>
        <v>0</v>
      </c>
      <c r="S179" s="306">
        <f t="shared" si="32"/>
        <v>0</v>
      </c>
    </row>
    <row r="180" spans="1:19">
      <c r="A180" s="140"/>
      <c r="B180" s="51"/>
      <c r="C180" s="20">
        <f t="shared" si="33"/>
        <v>1</v>
      </c>
      <c r="D180" s="633"/>
      <c r="E180" s="20">
        <f t="shared" si="34"/>
        <v>1</v>
      </c>
      <c r="F180" s="633"/>
      <c r="G180" s="20">
        <f t="shared" si="35"/>
        <v>1</v>
      </c>
      <c r="H180" s="633"/>
      <c r="I180" s="20">
        <f t="shared" si="36"/>
        <v>1</v>
      </c>
      <c r="J180" s="633"/>
      <c r="K180" s="20">
        <f t="shared" si="37"/>
        <v>1</v>
      </c>
      <c r="L180" s="633"/>
      <c r="M180" s="20">
        <f t="shared" si="38"/>
        <v>1</v>
      </c>
      <c r="N180" s="633"/>
      <c r="O180" s="20">
        <f t="shared" si="39"/>
        <v>1</v>
      </c>
      <c r="P180" s="633"/>
      <c r="Q180" s="20">
        <f t="shared" si="40"/>
        <v>1</v>
      </c>
      <c r="R180" s="20">
        <f t="shared" si="41"/>
        <v>0</v>
      </c>
      <c r="S180" s="306">
        <f t="shared" si="32"/>
        <v>0</v>
      </c>
    </row>
    <row r="181" spans="1:19">
      <c r="A181" s="140"/>
      <c r="B181" s="51"/>
      <c r="C181" s="20">
        <f t="shared" si="33"/>
        <v>1</v>
      </c>
      <c r="D181" s="633"/>
      <c r="E181" s="20">
        <f t="shared" si="34"/>
        <v>1</v>
      </c>
      <c r="F181" s="633"/>
      <c r="G181" s="20">
        <f t="shared" si="35"/>
        <v>1</v>
      </c>
      <c r="H181" s="633"/>
      <c r="I181" s="20">
        <f t="shared" si="36"/>
        <v>1</v>
      </c>
      <c r="J181" s="633"/>
      <c r="K181" s="20">
        <f t="shared" si="37"/>
        <v>1</v>
      </c>
      <c r="L181" s="633"/>
      <c r="M181" s="20">
        <f t="shared" si="38"/>
        <v>1</v>
      </c>
      <c r="N181" s="633"/>
      <c r="O181" s="20">
        <f t="shared" si="39"/>
        <v>1</v>
      </c>
      <c r="P181" s="633"/>
      <c r="Q181" s="20">
        <f t="shared" si="40"/>
        <v>1</v>
      </c>
      <c r="R181" s="20">
        <f t="shared" si="41"/>
        <v>0</v>
      </c>
      <c r="S181" s="306">
        <f t="shared" si="32"/>
        <v>0</v>
      </c>
    </row>
    <row r="182" spans="1:19">
      <c r="A182" s="140"/>
      <c r="B182" s="51"/>
      <c r="C182" s="20">
        <f t="shared" si="33"/>
        <v>1</v>
      </c>
      <c r="D182" s="633"/>
      <c r="E182" s="20">
        <f t="shared" si="34"/>
        <v>1</v>
      </c>
      <c r="F182" s="633"/>
      <c r="G182" s="20">
        <f t="shared" si="35"/>
        <v>1</v>
      </c>
      <c r="H182" s="633"/>
      <c r="I182" s="20">
        <f t="shared" si="36"/>
        <v>1</v>
      </c>
      <c r="J182" s="633"/>
      <c r="K182" s="20">
        <f t="shared" si="37"/>
        <v>1</v>
      </c>
      <c r="L182" s="633"/>
      <c r="M182" s="20">
        <f t="shared" si="38"/>
        <v>1</v>
      </c>
      <c r="N182" s="633"/>
      <c r="O182" s="20">
        <f t="shared" si="39"/>
        <v>1</v>
      </c>
      <c r="P182" s="633"/>
      <c r="Q182" s="20">
        <f t="shared" si="40"/>
        <v>1</v>
      </c>
      <c r="R182" s="20">
        <f t="shared" si="41"/>
        <v>0</v>
      </c>
      <c r="S182" s="306">
        <f t="shared" si="32"/>
        <v>0</v>
      </c>
    </row>
    <row r="183" spans="1:19">
      <c r="A183" s="140"/>
      <c r="B183" s="51"/>
      <c r="C183" s="20">
        <f t="shared" si="33"/>
        <v>1</v>
      </c>
      <c r="D183" s="633"/>
      <c r="E183" s="20">
        <f t="shared" si="34"/>
        <v>1</v>
      </c>
      <c r="F183" s="633"/>
      <c r="G183" s="20">
        <f t="shared" si="35"/>
        <v>1</v>
      </c>
      <c r="H183" s="633"/>
      <c r="I183" s="20">
        <f t="shared" si="36"/>
        <v>1</v>
      </c>
      <c r="J183" s="633"/>
      <c r="K183" s="20">
        <f t="shared" si="37"/>
        <v>1</v>
      </c>
      <c r="L183" s="633"/>
      <c r="M183" s="20">
        <f t="shared" si="38"/>
        <v>1</v>
      </c>
      <c r="N183" s="633"/>
      <c r="O183" s="20">
        <f t="shared" si="39"/>
        <v>1</v>
      </c>
      <c r="P183" s="633"/>
      <c r="Q183" s="20">
        <f t="shared" si="40"/>
        <v>1</v>
      </c>
      <c r="R183" s="20">
        <f t="shared" si="41"/>
        <v>0</v>
      </c>
      <c r="S183" s="306">
        <f t="shared" si="32"/>
        <v>0</v>
      </c>
    </row>
    <row r="184" spans="1:19">
      <c r="A184" s="140"/>
      <c r="B184" s="51"/>
      <c r="C184" s="20">
        <f t="shared" si="33"/>
        <v>1</v>
      </c>
      <c r="D184" s="633"/>
      <c r="E184" s="20">
        <f t="shared" si="34"/>
        <v>1</v>
      </c>
      <c r="F184" s="633"/>
      <c r="G184" s="20">
        <f t="shared" si="35"/>
        <v>1</v>
      </c>
      <c r="H184" s="633"/>
      <c r="I184" s="20">
        <f t="shared" si="36"/>
        <v>1</v>
      </c>
      <c r="J184" s="633"/>
      <c r="K184" s="20">
        <f t="shared" si="37"/>
        <v>1</v>
      </c>
      <c r="L184" s="633"/>
      <c r="M184" s="20">
        <f t="shared" si="38"/>
        <v>1</v>
      </c>
      <c r="N184" s="633"/>
      <c r="O184" s="20">
        <f t="shared" si="39"/>
        <v>1</v>
      </c>
      <c r="P184" s="633"/>
      <c r="Q184" s="20">
        <f t="shared" si="40"/>
        <v>1</v>
      </c>
      <c r="R184" s="20">
        <f t="shared" si="41"/>
        <v>0</v>
      </c>
      <c r="S184" s="306">
        <f t="shared" si="32"/>
        <v>0</v>
      </c>
    </row>
    <row r="185" spans="1:19">
      <c r="A185" s="140"/>
      <c r="B185" s="51"/>
      <c r="C185" s="20">
        <f t="shared" si="33"/>
        <v>1</v>
      </c>
      <c r="D185" s="633"/>
      <c r="E185" s="20">
        <f t="shared" si="34"/>
        <v>1</v>
      </c>
      <c r="F185" s="633"/>
      <c r="G185" s="20">
        <f t="shared" si="35"/>
        <v>1</v>
      </c>
      <c r="H185" s="633"/>
      <c r="I185" s="20">
        <f t="shared" si="36"/>
        <v>1</v>
      </c>
      <c r="J185" s="633"/>
      <c r="K185" s="20">
        <f t="shared" si="37"/>
        <v>1</v>
      </c>
      <c r="L185" s="633"/>
      <c r="M185" s="20">
        <f t="shared" si="38"/>
        <v>1</v>
      </c>
      <c r="N185" s="633"/>
      <c r="O185" s="20">
        <f t="shared" si="39"/>
        <v>1</v>
      </c>
      <c r="P185" s="633"/>
      <c r="Q185" s="20">
        <f t="shared" si="40"/>
        <v>1</v>
      </c>
      <c r="R185" s="20">
        <f t="shared" si="41"/>
        <v>0</v>
      </c>
      <c r="S185" s="306">
        <f t="shared" si="32"/>
        <v>0</v>
      </c>
    </row>
    <row r="186" spans="1:19">
      <c r="A186" s="140"/>
      <c r="B186" s="51"/>
      <c r="C186" s="20">
        <f t="shared" si="33"/>
        <v>1</v>
      </c>
      <c r="D186" s="633"/>
      <c r="E186" s="20">
        <f t="shared" si="34"/>
        <v>1</v>
      </c>
      <c r="F186" s="633"/>
      <c r="G186" s="20">
        <f t="shared" si="35"/>
        <v>1</v>
      </c>
      <c r="H186" s="633"/>
      <c r="I186" s="20">
        <f t="shared" si="36"/>
        <v>1</v>
      </c>
      <c r="J186" s="633"/>
      <c r="K186" s="20">
        <f t="shared" si="37"/>
        <v>1</v>
      </c>
      <c r="L186" s="633"/>
      <c r="M186" s="20">
        <f t="shared" si="38"/>
        <v>1</v>
      </c>
      <c r="N186" s="633"/>
      <c r="O186" s="20">
        <f t="shared" si="39"/>
        <v>1</v>
      </c>
      <c r="P186" s="633"/>
      <c r="Q186" s="20">
        <f t="shared" si="40"/>
        <v>1</v>
      </c>
      <c r="R186" s="20">
        <f t="shared" si="41"/>
        <v>0</v>
      </c>
      <c r="S186" s="306">
        <f t="shared" si="32"/>
        <v>0</v>
      </c>
    </row>
    <row r="187" spans="1:19">
      <c r="A187" s="140"/>
      <c r="B187" s="51"/>
      <c r="C187" s="20">
        <f t="shared" si="33"/>
        <v>1</v>
      </c>
      <c r="D187" s="633"/>
      <c r="E187" s="20">
        <f t="shared" si="34"/>
        <v>1</v>
      </c>
      <c r="F187" s="633"/>
      <c r="G187" s="20">
        <f t="shared" si="35"/>
        <v>1</v>
      </c>
      <c r="H187" s="633"/>
      <c r="I187" s="20">
        <f t="shared" si="36"/>
        <v>1</v>
      </c>
      <c r="J187" s="633"/>
      <c r="K187" s="20">
        <f t="shared" si="37"/>
        <v>1</v>
      </c>
      <c r="L187" s="633"/>
      <c r="M187" s="20">
        <f t="shared" si="38"/>
        <v>1</v>
      </c>
      <c r="N187" s="633"/>
      <c r="O187" s="20">
        <f t="shared" si="39"/>
        <v>1</v>
      </c>
      <c r="P187" s="633"/>
      <c r="Q187" s="20">
        <f t="shared" si="40"/>
        <v>1</v>
      </c>
      <c r="R187" s="20">
        <f t="shared" si="41"/>
        <v>0</v>
      </c>
      <c r="S187" s="306">
        <f t="shared" ref="S187:S222" si="42">ROUND(R187*B187/10000,0)</f>
        <v>0</v>
      </c>
    </row>
    <row r="188" spans="1:19">
      <c r="A188" s="140"/>
      <c r="B188" s="51"/>
      <c r="C188" s="20">
        <f t="shared" si="33"/>
        <v>1</v>
      </c>
      <c r="D188" s="633"/>
      <c r="E188" s="20">
        <f t="shared" si="34"/>
        <v>1</v>
      </c>
      <c r="F188" s="633"/>
      <c r="G188" s="20">
        <f t="shared" si="35"/>
        <v>1</v>
      </c>
      <c r="H188" s="633"/>
      <c r="I188" s="20">
        <f t="shared" si="36"/>
        <v>1</v>
      </c>
      <c r="J188" s="633"/>
      <c r="K188" s="20">
        <f t="shared" si="37"/>
        <v>1</v>
      </c>
      <c r="L188" s="633"/>
      <c r="M188" s="20">
        <f t="shared" si="38"/>
        <v>1</v>
      </c>
      <c r="N188" s="633"/>
      <c r="O188" s="20">
        <f t="shared" si="39"/>
        <v>1</v>
      </c>
      <c r="P188" s="633"/>
      <c r="Q188" s="20">
        <f t="shared" si="40"/>
        <v>1</v>
      </c>
      <c r="R188" s="20">
        <f t="shared" si="41"/>
        <v>0</v>
      </c>
      <c r="S188" s="306">
        <f t="shared" si="42"/>
        <v>0</v>
      </c>
    </row>
    <row r="189" spans="1:19">
      <c r="A189" s="140"/>
      <c r="B189" s="51"/>
      <c r="C189" s="20">
        <f t="shared" si="33"/>
        <v>1</v>
      </c>
      <c r="D189" s="633"/>
      <c r="E189" s="20">
        <f t="shared" si="34"/>
        <v>1</v>
      </c>
      <c r="F189" s="633"/>
      <c r="G189" s="20">
        <f t="shared" si="35"/>
        <v>1</v>
      </c>
      <c r="H189" s="633"/>
      <c r="I189" s="20">
        <f t="shared" si="36"/>
        <v>1</v>
      </c>
      <c r="J189" s="633"/>
      <c r="K189" s="20">
        <f t="shared" si="37"/>
        <v>1</v>
      </c>
      <c r="L189" s="633"/>
      <c r="M189" s="20">
        <f t="shared" si="38"/>
        <v>1</v>
      </c>
      <c r="N189" s="633"/>
      <c r="O189" s="20">
        <f t="shared" si="39"/>
        <v>1</v>
      </c>
      <c r="P189" s="633"/>
      <c r="Q189" s="20">
        <f t="shared" si="40"/>
        <v>1</v>
      </c>
      <c r="R189" s="20">
        <f t="shared" si="41"/>
        <v>0</v>
      </c>
      <c r="S189" s="306">
        <f t="shared" si="42"/>
        <v>0</v>
      </c>
    </row>
    <row r="190" spans="1:19">
      <c r="A190" s="140"/>
      <c r="B190" s="51"/>
      <c r="C190" s="20">
        <f t="shared" si="33"/>
        <v>1</v>
      </c>
      <c r="D190" s="633"/>
      <c r="E190" s="20">
        <f t="shared" si="34"/>
        <v>1</v>
      </c>
      <c r="F190" s="633"/>
      <c r="G190" s="20">
        <f t="shared" si="35"/>
        <v>1</v>
      </c>
      <c r="H190" s="633"/>
      <c r="I190" s="20">
        <f t="shared" si="36"/>
        <v>1</v>
      </c>
      <c r="J190" s="633"/>
      <c r="K190" s="20">
        <f t="shared" si="37"/>
        <v>1</v>
      </c>
      <c r="L190" s="633"/>
      <c r="M190" s="20">
        <f t="shared" si="38"/>
        <v>1</v>
      </c>
      <c r="N190" s="633"/>
      <c r="O190" s="20">
        <f t="shared" si="39"/>
        <v>1</v>
      </c>
      <c r="P190" s="633"/>
      <c r="Q190" s="20">
        <f t="shared" si="40"/>
        <v>1</v>
      </c>
      <c r="R190" s="20">
        <f t="shared" si="41"/>
        <v>0</v>
      </c>
      <c r="S190" s="306">
        <f t="shared" si="42"/>
        <v>0</v>
      </c>
    </row>
    <row r="191" spans="1:19">
      <c r="A191" s="140"/>
      <c r="B191" s="51"/>
      <c r="C191" s="20">
        <f t="shared" si="33"/>
        <v>1</v>
      </c>
      <c r="D191" s="633"/>
      <c r="E191" s="20">
        <f t="shared" si="34"/>
        <v>1</v>
      </c>
      <c r="F191" s="633"/>
      <c r="G191" s="20">
        <f t="shared" si="35"/>
        <v>1</v>
      </c>
      <c r="H191" s="633"/>
      <c r="I191" s="20">
        <f t="shared" si="36"/>
        <v>1</v>
      </c>
      <c r="J191" s="633"/>
      <c r="K191" s="20">
        <f t="shared" si="37"/>
        <v>1</v>
      </c>
      <c r="L191" s="633"/>
      <c r="M191" s="20">
        <f t="shared" si="38"/>
        <v>1</v>
      </c>
      <c r="N191" s="633"/>
      <c r="O191" s="20">
        <f t="shared" si="39"/>
        <v>1</v>
      </c>
      <c r="P191" s="633"/>
      <c r="Q191" s="20">
        <f t="shared" si="40"/>
        <v>1</v>
      </c>
      <c r="R191" s="20">
        <f t="shared" si="41"/>
        <v>0</v>
      </c>
      <c r="S191" s="306">
        <f t="shared" si="42"/>
        <v>0</v>
      </c>
    </row>
    <row r="192" spans="1:19">
      <c r="A192" s="140"/>
      <c r="B192" s="51"/>
      <c r="C192" s="20">
        <f t="shared" si="33"/>
        <v>1</v>
      </c>
      <c r="D192" s="633"/>
      <c r="E192" s="20">
        <f t="shared" si="34"/>
        <v>1</v>
      </c>
      <c r="F192" s="633"/>
      <c r="G192" s="20">
        <f t="shared" si="35"/>
        <v>1</v>
      </c>
      <c r="H192" s="633"/>
      <c r="I192" s="20">
        <f t="shared" si="36"/>
        <v>1</v>
      </c>
      <c r="J192" s="633"/>
      <c r="K192" s="20">
        <f t="shared" si="37"/>
        <v>1</v>
      </c>
      <c r="L192" s="633"/>
      <c r="M192" s="20">
        <f t="shared" si="38"/>
        <v>1</v>
      </c>
      <c r="N192" s="633"/>
      <c r="O192" s="20">
        <f t="shared" si="39"/>
        <v>1</v>
      </c>
      <c r="P192" s="633"/>
      <c r="Q192" s="20">
        <f t="shared" si="40"/>
        <v>1</v>
      </c>
      <c r="R192" s="20">
        <f t="shared" si="41"/>
        <v>0</v>
      </c>
      <c r="S192" s="306">
        <f t="shared" si="42"/>
        <v>0</v>
      </c>
    </row>
    <row r="193" spans="1:19">
      <c r="A193" s="140"/>
      <c r="B193" s="51"/>
      <c r="C193" s="20">
        <f t="shared" si="33"/>
        <v>1</v>
      </c>
      <c r="D193" s="633"/>
      <c r="E193" s="20">
        <f t="shared" si="34"/>
        <v>1</v>
      </c>
      <c r="F193" s="633"/>
      <c r="G193" s="20">
        <f t="shared" si="35"/>
        <v>1</v>
      </c>
      <c r="H193" s="633"/>
      <c r="I193" s="20">
        <f t="shared" si="36"/>
        <v>1</v>
      </c>
      <c r="J193" s="633"/>
      <c r="K193" s="20">
        <f t="shared" si="37"/>
        <v>1</v>
      </c>
      <c r="L193" s="633"/>
      <c r="M193" s="20">
        <f t="shared" si="38"/>
        <v>1</v>
      </c>
      <c r="N193" s="633"/>
      <c r="O193" s="20">
        <f t="shared" si="39"/>
        <v>1</v>
      </c>
      <c r="P193" s="633"/>
      <c r="Q193" s="20">
        <f t="shared" si="40"/>
        <v>1</v>
      </c>
      <c r="R193" s="20">
        <f t="shared" si="41"/>
        <v>0</v>
      </c>
      <c r="S193" s="306">
        <f t="shared" si="42"/>
        <v>0</v>
      </c>
    </row>
    <row r="194" spans="1:19">
      <c r="A194" s="140"/>
      <c r="B194" s="51"/>
      <c r="C194" s="20">
        <f t="shared" si="33"/>
        <v>1</v>
      </c>
      <c r="D194" s="633"/>
      <c r="E194" s="20">
        <f t="shared" si="34"/>
        <v>1</v>
      </c>
      <c r="F194" s="633"/>
      <c r="G194" s="20">
        <f t="shared" si="35"/>
        <v>1</v>
      </c>
      <c r="H194" s="633"/>
      <c r="I194" s="20">
        <f t="shared" si="36"/>
        <v>1</v>
      </c>
      <c r="J194" s="633"/>
      <c r="K194" s="20">
        <f t="shared" si="37"/>
        <v>1</v>
      </c>
      <c r="L194" s="633"/>
      <c r="M194" s="20">
        <f t="shared" si="38"/>
        <v>1</v>
      </c>
      <c r="N194" s="633"/>
      <c r="O194" s="20">
        <f t="shared" si="39"/>
        <v>1</v>
      </c>
      <c r="P194" s="633"/>
      <c r="Q194" s="20">
        <f t="shared" si="40"/>
        <v>1</v>
      </c>
      <c r="R194" s="20">
        <f t="shared" si="41"/>
        <v>0</v>
      </c>
      <c r="S194" s="306">
        <f t="shared" si="42"/>
        <v>0</v>
      </c>
    </row>
    <row r="195" spans="1:19">
      <c r="A195" s="140"/>
      <c r="B195" s="51"/>
      <c r="C195" s="20">
        <f t="shared" si="33"/>
        <v>1</v>
      </c>
      <c r="D195" s="633"/>
      <c r="E195" s="20">
        <f t="shared" si="34"/>
        <v>1</v>
      </c>
      <c r="F195" s="633"/>
      <c r="G195" s="20">
        <f t="shared" si="35"/>
        <v>1</v>
      </c>
      <c r="H195" s="633"/>
      <c r="I195" s="20">
        <f t="shared" si="36"/>
        <v>1</v>
      </c>
      <c r="J195" s="633"/>
      <c r="K195" s="20">
        <f t="shared" si="37"/>
        <v>1</v>
      </c>
      <c r="L195" s="633"/>
      <c r="M195" s="20">
        <f t="shared" si="38"/>
        <v>1</v>
      </c>
      <c r="N195" s="633"/>
      <c r="O195" s="20">
        <f t="shared" si="39"/>
        <v>1</v>
      </c>
      <c r="P195" s="633"/>
      <c r="Q195" s="20">
        <f t="shared" si="40"/>
        <v>1</v>
      </c>
      <c r="R195" s="20">
        <f t="shared" si="41"/>
        <v>0</v>
      </c>
      <c r="S195" s="306">
        <f t="shared" si="42"/>
        <v>0</v>
      </c>
    </row>
    <row r="196" spans="1:19">
      <c r="A196" s="140"/>
      <c r="B196" s="51"/>
      <c r="C196" s="20">
        <f t="shared" si="33"/>
        <v>1</v>
      </c>
      <c r="D196" s="633"/>
      <c r="E196" s="20">
        <f t="shared" si="34"/>
        <v>1</v>
      </c>
      <c r="F196" s="633"/>
      <c r="G196" s="20">
        <f t="shared" si="35"/>
        <v>1</v>
      </c>
      <c r="H196" s="633"/>
      <c r="I196" s="20">
        <f t="shared" si="36"/>
        <v>1</v>
      </c>
      <c r="J196" s="633"/>
      <c r="K196" s="20">
        <f t="shared" si="37"/>
        <v>1</v>
      </c>
      <c r="L196" s="633"/>
      <c r="M196" s="20">
        <f t="shared" si="38"/>
        <v>1</v>
      </c>
      <c r="N196" s="633"/>
      <c r="O196" s="20">
        <f t="shared" si="39"/>
        <v>1</v>
      </c>
      <c r="P196" s="633"/>
      <c r="Q196" s="20">
        <f t="shared" si="40"/>
        <v>1</v>
      </c>
      <c r="R196" s="20">
        <f t="shared" si="41"/>
        <v>0</v>
      </c>
      <c r="S196" s="306">
        <f t="shared" si="42"/>
        <v>0</v>
      </c>
    </row>
    <row r="197" spans="1:19">
      <c r="A197" s="140"/>
      <c r="B197" s="51"/>
      <c r="C197" s="20">
        <f t="shared" si="33"/>
        <v>1</v>
      </c>
      <c r="D197" s="633"/>
      <c r="E197" s="20">
        <f t="shared" si="34"/>
        <v>1</v>
      </c>
      <c r="F197" s="633"/>
      <c r="G197" s="20">
        <f t="shared" si="35"/>
        <v>1</v>
      </c>
      <c r="H197" s="633"/>
      <c r="I197" s="20">
        <f t="shared" si="36"/>
        <v>1</v>
      </c>
      <c r="J197" s="633"/>
      <c r="K197" s="20">
        <f t="shared" si="37"/>
        <v>1</v>
      </c>
      <c r="L197" s="633"/>
      <c r="M197" s="20">
        <f t="shared" si="38"/>
        <v>1</v>
      </c>
      <c r="N197" s="633"/>
      <c r="O197" s="20">
        <f t="shared" si="39"/>
        <v>1</v>
      </c>
      <c r="P197" s="633"/>
      <c r="Q197" s="20">
        <f t="shared" si="40"/>
        <v>1</v>
      </c>
      <c r="R197" s="20">
        <f t="shared" si="41"/>
        <v>0</v>
      </c>
      <c r="S197" s="306">
        <f t="shared" si="42"/>
        <v>0</v>
      </c>
    </row>
    <row r="198" spans="1:19">
      <c r="A198" s="140"/>
      <c r="B198" s="51"/>
      <c r="C198" s="20">
        <f t="shared" si="33"/>
        <v>1</v>
      </c>
      <c r="D198" s="633"/>
      <c r="E198" s="20">
        <f t="shared" si="34"/>
        <v>1</v>
      </c>
      <c r="F198" s="633"/>
      <c r="G198" s="20">
        <f t="shared" si="35"/>
        <v>1</v>
      </c>
      <c r="H198" s="633"/>
      <c r="I198" s="20">
        <f t="shared" si="36"/>
        <v>1</v>
      </c>
      <c r="J198" s="633"/>
      <c r="K198" s="20">
        <f t="shared" si="37"/>
        <v>1</v>
      </c>
      <c r="L198" s="633"/>
      <c r="M198" s="20">
        <f t="shared" si="38"/>
        <v>1</v>
      </c>
      <c r="N198" s="633"/>
      <c r="O198" s="20">
        <f t="shared" si="39"/>
        <v>1</v>
      </c>
      <c r="P198" s="633"/>
      <c r="Q198" s="20">
        <f t="shared" si="40"/>
        <v>1</v>
      </c>
      <c r="R198" s="20">
        <f t="shared" si="41"/>
        <v>0</v>
      </c>
      <c r="S198" s="306">
        <f t="shared" si="42"/>
        <v>0</v>
      </c>
    </row>
    <row r="199" spans="1:19">
      <c r="A199" s="140"/>
      <c r="B199" s="51"/>
      <c r="C199" s="20">
        <f t="shared" si="33"/>
        <v>1</v>
      </c>
      <c r="D199" s="633"/>
      <c r="E199" s="20">
        <f t="shared" si="34"/>
        <v>1</v>
      </c>
      <c r="F199" s="633"/>
      <c r="G199" s="20">
        <f t="shared" si="35"/>
        <v>1</v>
      </c>
      <c r="H199" s="633"/>
      <c r="I199" s="20">
        <f t="shared" si="36"/>
        <v>1</v>
      </c>
      <c r="J199" s="633"/>
      <c r="K199" s="20">
        <f t="shared" si="37"/>
        <v>1</v>
      </c>
      <c r="L199" s="633"/>
      <c r="M199" s="20">
        <f t="shared" si="38"/>
        <v>1</v>
      </c>
      <c r="N199" s="633"/>
      <c r="O199" s="20">
        <f t="shared" si="39"/>
        <v>1</v>
      </c>
      <c r="P199" s="633"/>
      <c r="Q199" s="20">
        <f t="shared" si="40"/>
        <v>1</v>
      </c>
      <c r="R199" s="20">
        <f t="shared" si="41"/>
        <v>0</v>
      </c>
      <c r="S199" s="306">
        <f t="shared" si="42"/>
        <v>0</v>
      </c>
    </row>
    <row r="200" spans="1:19">
      <c r="A200" s="140"/>
      <c r="B200" s="51"/>
      <c r="C200" s="20">
        <f t="shared" si="33"/>
        <v>1</v>
      </c>
      <c r="D200" s="633"/>
      <c r="E200" s="20">
        <f t="shared" si="34"/>
        <v>1</v>
      </c>
      <c r="F200" s="633"/>
      <c r="G200" s="20">
        <f t="shared" si="35"/>
        <v>1</v>
      </c>
      <c r="H200" s="633"/>
      <c r="I200" s="20">
        <f t="shared" si="36"/>
        <v>1</v>
      </c>
      <c r="J200" s="633"/>
      <c r="K200" s="20">
        <f t="shared" si="37"/>
        <v>1</v>
      </c>
      <c r="L200" s="633"/>
      <c r="M200" s="20">
        <f t="shared" si="38"/>
        <v>1</v>
      </c>
      <c r="N200" s="633"/>
      <c r="O200" s="20">
        <f t="shared" si="39"/>
        <v>1</v>
      </c>
      <c r="P200" s="633"/>
      <c r="Q200" s="20">
        <f t="shared" si="40"/>
        <v>1</v>
      </c>
      <c r="R200" s="20">
        <f t="shared" si="41"/>
        <v>0</v>
      </c>
      <c r="S200" s="306">
        <f t="shared" si="42"/>
        <v>0</v>
      </c>
    </row>
    <row r="201" spans="1:19">
      <c r="A201" s="140"/>
      <c r="B201" s="51"/>
      <c r="C201" s="20">
        <f t="shared" si="33"/>
        <v>1</v>
      </c>
      <c r="D201" s="633"/>
      <c r="E201" s="20">
        <f t="shared" si="34"/>
        <v>1</v>
      </c>
      <c r="F201" s="633"/>
      <c r="G201" s="20">
        <f t="shared" si="35"/>
        <v>1</v>
      </c>
      <c r="H201" s="633"/>
      <c r="I201" s="20">
        <f t="shared" si="36"/>
        <v>1</v>
      </c>
      <c r="J201" s="633"/>
      <c r="K201" s="20">
        <f t="shared" si="37"/>
        <v>1</v>
      </c>
      <c r="L201" s="633"/>
      <c r="M201" s="20">
        <f t="shared" si="38"/>
        <v>1</v>
      </c>
      <c r="N201" s="633"/>
      <c r="O201" s="20">
        <f t="shared" si="39"/>
        <v>1</v>
      </c>
      <c r="P201" s="633"/>
      <c r="Q201" s="20">
        <f t="shared" si="40"/>
        <v>1</v>
      </c>
      <c r="R201" s="20">
        <f t="shared" si="41"/>
        <v>0</v>
      </c>
      <c r="S201" s="306">
        <f t="shared" si="42"/>
        <v>0</v>
      </c>
    </row>
    <row r="202" spans="1:19">
      <c r="A202" s="140"/>
      <c r="B202" s="51"/>
      <c r="C202" s="20">
        <f t="shared" si="33"/>
        <v>1</v>
      </c>
      <c r="D202" s="633"/>
      <c r="E202" s="20">
        <f t="shared" si="34"/>
        <v>1</v>
      </c>
      <c r="F202" s="633"/>
      <c r="G202" s="20">
        <f t="shared" si="35"/>
        <v>1</v>
      </c>
      <c r="H202" s="633"/>
      <c r="I202" s="20">
        <f t="shared" si="36"/>
        <v>1</v>
      </c>
      <c r="J202" s="633"/>
      <c r="K202" s="20">
        <f t="shared" si="37"/>
        <v>1</v>
      </c>
      <c r="L202" s="633"/>
      <c r="M202" s="20">
        <f t="shared" si="38"/>
        <v>1</v>
      </c>
      <c r="N202" s="633"/>
      <c r="O202" s="20">
        <f t="shared" si="39"/>
        <v>1</v>
      </c>
      <c r="P202" s="633"/>
      <c r="Q202" s="20">
        <f t="shared" si="40"/>
        <v>1</v>
      </c>
      <c r="R202" s="20">
        <f t="shared" si="41"/>
        <v>0</v>
      </c>
      <c r="S202" s="306">
        <f t="shared" si="42"/>
        <v>0</v>
      </c>
    </row>
    <row r="203" spans="1:19">
      <c r="A203" s="140"/>
      <c r="B203" s="51"/>
      <c r="C203" s="20">
        <f t="shared" si="33"/>
        <v>1</v>
      </c>
      <c r="D203" s="633"/>
      <c r="E203" s="20">
        <f t="shared" si="34"/>
        <v>1</v>
      </c>
      <c r="F203" s="633"/>
      <c r="G203" s="20">
        <f t="shared" si="35"/>
        <v>1</v>
      </c>
      <c r="H203" s="633"/>
      <c r="I203" s="20">
        <f t="shared" si="36"/>
        <v>1</v>
      </c>
      <c r="J203" s="633"/>
      <c r="K203" s="20">
        <f t="shared" si="37"/>
        <v>1</v>
      </c>
      <c r="L203" s="633"/>
      <c r="M203" s="20">
        <f t="shared" si="38"/>
        <v>1</v>
      </c>
      <c r="N203" s="633"/>
      <c r="O203" s="20">
        <f t="shared" si="39"/>
        <v>1</v>
      </c>
      <c r="P203" s="633"/>
      <c r="Q203" s="20">
        <f t="shared" si="40"/>
        <v>1</v>
      </c>
      <c r="R203" s="20">
        <f t="shared" si="41"/>
        <v>0</v>
      </c>
      <c r="S203" s="306">
        <f t="shared" si="42"/>
        <v>0</v>
      </c>
    </row>
    <row r="204" spans="1:19">
      <c r="A204" s="140"/>
      <c r="B204" s="51"/>
      <c r="C204" s="20">
        <f t="shared" si="33"/>
        <v>1</v>
      </c>
      <c r="D204" s="633"/>
      <c r="E204" s="20">
        <f t="shared" si="34"/>
        <v>1</v>
      </c>
      <c r="F204" s="633"/>
      <c r="G204" s="20">
        <f t="shared" si="35"/>
        <v>1</v>
      </c>
      <c r="H204" s="633"/>
      <c r="I204" s="20">
        <f t="shared" si="36"/>
        <v>1</v>
      </c>
      <c r="J204" s="633"/>
      <c r="K204" s="20">
        <f t="shared" si="37"/>
        <v>1</v>
      </c>
      <c r="L204" s="633"/>
      <c r="M204" s="20">
        <f t="shared" si="38"/>
        <v>1</v>
      </c>
      <c r="N204" s="633"/>
      <c r="O204" s="20">
        <f t="shared" si="39"/>
        <v>1</v>
      </c>
      <c r="P204" s="633"/>
      <c r="Q204" s="20">
        <f t="shared" si="40"/>
        <v>1</v>
      </c>
      <c r="R204" s="20">
        <f t="shared" si="41"/>
        <v>0</v>
      </c>
      <c r="S204" s="306">
        <f t="shared" si="42"/>
        <v>0</v>
      </c>
    </row>
    <row r="205" spans="1:19">
      <c r="A205" s="140"/>
      <c r="B205" s="51"/>
      <c r="C205" s="20">
        <f t="shared" si="33"/>
        <v>1</v>
      </c>
      <c r="D205" s="633"/>
      <c r="E205" s="20">
        <f t="shared" si="34"/>
        <v>1</v>
      </c>
      <c r="F205" s="633"/>
      <c r="G205" s="20">
        <f t="shared" si="35"/>
        <v>1</v>
      </c>
      <c r="H205" s="633"/>
      <c r="I205" s="20">
        <f t="shared" si="36"/>
        <v>1</v>
      </c>
      <c r="J205" s="633"/>
      <c r="K205" s="20">
        <f t="shared" si="37"/>
        <v>1</v>
      </c>
      <c r="L205" s="633"/>
      <c r="M205" s="20">
        <f t="shared" si="38"/>
        <v>1</v>
      </c>
      <c r="N205" s="633"/>
      <c r="O205" s="20">
        <f t="shared" si="39"/>
        <v>1</v>
      </c>
      <c r="P205" s="633"/>
      <c r="Q205" s="20">
        <f t="shared" si="40"/>
        <v>1</v>
      </c>
      <c r="R205" s="20">
        <f t="shared" si="41"/>
        <v>0</v>
      </c>
      <c r="S205" s="306">
        <f t="shared" si="42"/>
        <v>0</v>
      </c>
    </row>
    <row r="206" spans="1:19">
      <c r="A206" s="140"/>
      <c r="B206" s="51"/>
      <c r="C206" s="20">
        <f t="shared" si="33"/>
        <v>1</v>
      </c>
      <c r="D206" s="633"/>
      <c r="E206" s="20">
        <f t="shared" si="34"/>
        <v>1</v>
      </c>
      <c r="F206" s="633"/>
      <c r="G206" s="20">
        <f t="shared" si="35"/>
        <v>1</v>
      </c>
      <c r="H206" s="633"/>
      <c r="I206" s="20">
        <f t="shared" si="36"/>
        <v>1</v>
      </c>
      <c r="J206" s="633"/>
      <c r="K206" s="20">
        <f t="shared" si="37"/>
        <v>1</v>
      </c>
      <c r="L206" s="633"/>
      <c r="M206" s="20">
        <f t="shared" si="38"/>
        <v>1</v>
      </c>
      <c r="N206" s="633"/>
      <c r="O206" s="20">
        <f t="shared" si="39"/>
        <v>1</v>
      </c>
      <c r="P206" s="633"/>
      <c r="Q206" s="20">
        <f t="shared" si="40"/>
        <v>1</v>
      </c>
      <c r="R206" s="20">
        <f t="shared" si="41"/>
        <v>0</v>
      </c>
      <c r="S206" s="306">
        <f t="shared" si="42"/>
        <v>0</v>
      </c>
    </row>
    <row r="207" spans="1:19">
      <c r="A207" s="140"/>
      <c r="B207" s="51"/>
      <c r="C207" s="20">
        <f t="shared" si="33"/>
        <v>1</v>
      </c>
      <c r="D207" s="633"/>
      <c r="E207" s="20">
        <f t="shared" si="34"/>
        <v>1</v>
      </c>
      <c r="F207" s="633"/>
      <c r="G207" s="20">
        <f t="shared" si="35"/>
        <v>1</v>
      </c>
      <c r="H207" s="633"/>
      <c r="I207" s="20">
        <f t="shared" si="36"/>
        <v>1</v>
      </c>
      <c r="J207" s="633"/>
      <c r="K207" s="20">
        <f t="shared" si="37"/>
        <v>1</v>
      </c>
      <c r="L207" s="633"/>
      <c r="M207" s="20">
        <f t="shared" si="38"/>
        <v>1</v>
      </c>
      <c r="N207" s="633"/>
      <c r="O207" s="20">
        <f t="shared" si="39"/>
        <v>1</v>
      </c>
      <c r="P207" s="633"/>
      <c r="Q207" s="20">
        <f t="shared" si="40"/>
        <v>1</v>
      </c>
      <c r="R207" s="20">
        <f t="shared" si="41"/>
        <v>0</v>
      </c>
      <c r="S207" s="306">
        <f t="shared" si="42"/>
        <v>0</v>
      </c>
    </row>
    <row r="208" spans="1:19">
      <c r="A208" s="140"/>
      <c r="B208" s="51"/>
      <c r="C208" s="20">
        <f t="shared" si="33"/>
        <v>1</v>
      </c>
      <c r="D208" s="633"/>
      <c r="E208" s="20">
        <f t="shared" si="34"/>
        <v>1</v>
      </c>
      <c r="F208" s="633"/>
      <c r="G208" s="20">
        <f t="shared" si="35"/>
        <v>1</v>
      </c>
      <c r="H208" s="633"/>
      <c r="I208" s="20">
        <f t="shared" si="36"/>
        <v>1</v>
      </c>
      <c r="J208" s="633"/>
      <c r="K208" s="20">
        <f t="shared" si="37"/>
        <v>1</v>
      </c>
      <c r="L208" s="633"/>
      <c r="M208" s="20">
        <f t="shared" si="38"/>
        <v>1</v>
      </c>
      <c r="N208" s="633"/>
      <c r="O208" s="20">
        <f t="shared" si="39"/>
        <v>1</v>
      </c>
      <c r="P208" s="633"/>
      <c r="Q208" s="20">
        <f t="shared" si="40"/>
        <v>1</v>
      </c>
      <c r="R208" s="20">
        <f t="shared" si="41"/>
        <v>0</v>
      </c>
      <c r="S208" s="306">
        <f t="shared" si="42"/>
        <v>0</v>
      </c>
    </row>
    <row r="209" spans="1:19">
      <c r="A209" s="140"/>
      <c r="B209" s="51"/>
      <c r="C209" s="20">
        <f t="shared" si="33"/>
        <v>1</v>
      </c>
      <c r="D209" s="633"/>
      <c r="E209" s="20">
        <f t="shared" si="34"/>
        <v>1</v>
      </c>
      <c r="F209" s="633"/>
      <c r="G209" s="20">
        <f t="shared" si="35"/>
        <v>1</v>
      </c>
      <c r="H209" s="633"/>
      <c r="I209" s="20">
        <f t="shared" si="36"/>
        <v>1</v>
      </c>
      <c r="J209" s="633"/>
      <c r="K209" s="20">
        <f t="shared" si="37"/>
        <v>1</v>
      </c>
      <c r="L209" s="633"/>
      <c r="M209" s="20">
        <f t="shared" si="38"/>
        <v>1</v>
      </c>
      <c r="N209" s="633"/>
      <c r="O209" s="20">
        <f t="shared" si="39"/>
        <v>1</v>
      </c>
      <c r="P209" s="633"/>
      <c r="Q209" s="20">
        <f t="shared" si="40"/>
        <v>1</v>
      </c>
      <c r="R209" s="20">
        <f t="shared" si="41"/>
        <v>0</v>
      </c>
      <c r="S209" s="306">
        <f t="shared" si="42"/>
        <v>0</v>
      </c>
    </row>
    <row r="210" spans="1:19">
      <c r="A210" s="140"/>
      <c r="B210" s="51"/>
      <c r="C210" s="20">
        <f t="shared" si="33"/>
        <v>1</v>
      </c>
      <c r="D210" s="633"/>
      <c r="E210" s="20">
        <f t="shared" si="34"/>
        <v>1</v>
      </c>
      <c r="F210" s="633"/>
      <c r="G210" s="20">
        <f t="shared" si="35"/>
        <v>1</v>
      </c>
      <c r="H210" s="633"/>
      <c r="I210" s="20">
        <f t="shared" si="36"/>
        <v>1</v>
      </c>
      <c r="J210" s="633"/>
      <c r="K210" s="20">
        <f t="shared" si="37"/>
        <v>1</v>
      </c>
      <c r="L210" s="633"/>
      <c r="M210" s="20">
        <f t="shared" si="38"/>
        <v>1</v>
      </c>
      <c r="N210" s="633"/>
      <c r="O210" s="20">
        <f t="shared" si="39"/>
        <v>1</v>
      </c>
      <c r="P210" s="633"/>
      <c r="Q210" s="20">
        <f t="shared" si="40"/>
        <v>1</v>
      </c>
      <c r="R210" s="20">
        <f t="shared" si="41"/>
        <v>0</v>
      </c>
      <c r="S210" s="306">
        <f t="shared" si="42"/>
        <v>0</v>
      </c>
    </row>
    <row r="211" spans="1:19">
      <c r="A211" s="140"/>
      <c r="B211" s="51"/>
      <c r="C211" s="20">
        <f t="shared" si="33"/>
        <v>1</v>
      </c>
      <c r="D211" s="633"/>
      <c r="E211" s="20">
        <f t="shared" si="34"/>
        <v>1</v>
      </c>
      <c r="F211" s="633"/>
      <c r="G211" s="20">
        <f t="shared" si="35"/>
        <v>1</v>
      </c>
      <c r="H211" s="633"/>
      <c r="I211" s="20">
        <f t="shared" si="36"/>
        <v>1</v>
      </c>
      <c r="J211" s="633"/>
      <c r="K211" s="20">
        <f t="shared" si="37"/>
        <v>1</v>
      </c>
      <c r="L211" s="633"/>
      <c r="M211" s="20">
        <f t="shared" si="38"/>
        <v>1</v>
      </c>
      <c r="N211" s="633"/>
      <c r="O211" s="20">
        <f t="shared" si="39"/>
        <v>1</v>
      </c>
      <c r="P211" s="633"/>
      <c r="Q211" s="20">
        <f t="shared" si="40"/>
        <v>1</v>
      </c>
      <c r="R211" s="20">
        <f t="shared" si="41"/>
        <v>0</v>
      </c>
      <c r="S211" s="306">
        <f t="shared" si="42"/>
        <v>0</v>
      </c>
    </row>
    <row r="212" spans="1:19">
      <c r="A212" s="140"/>
      <c r="B212" s="51"/>
      <c r="C212" s="20">
        <f t="shared" si="33"/>
        <v>1</v>
      </c>
      <c r="D212" s="633"/>
      <c r="E212" s="20">
        <f t="shared" si="34"/>
        <v>1</v>
      </c>
      <c r="F212" s="633"/>
      <c r="G212" s="20">
        <f t="shared" si="35"/>
        <v>1</v>
      </c>
      <c r="H212" s="633"/>
      <c r="I212" s="20">
        <f t="shared" si="36"/>
        <v>1</v>
      </c>
      <c r="J212" s="633"/>
      <c r="K212" s="20">
        <f t="shared" si="37"/>
        <v>1</v>
      </c>
      <c r="L212" s="633"/>
      <c r="M212" s="20">
        <f t="shared" si="38"/>
        <v>1</v>
      </c>
      <c r="N212" s="633"/>
      <c r="O212" s="20">
        <f t="shared" si="39"/>
        <v>1</v>
      </c>
      <c r="P212" s="633"/>
      <c r="Q212" s="20">
        <f t="shared" si="40"/>
        <v>1</v>
      </c>
      <c r="R212" s="20">
        <f t="shared" si="41"/>
        <v>0</v>
      </c>
      <c r="S212" s="306">
        <f t="shared" si="42"/>
        <v>0</v>
      </c>
    </row>
    <row r="213" spans="1:19">
      <c r="A213" s="140"/>
      <c r="B213" s="51"/>
      <c r="C213" s="20">
        <f t="shared" si="33"/>
        <v>1</v>
      </c>
      <c r="D213" s="633"/>
      <c r="E213" s="20">
        <f t="shared" si="34"/>
        <v>1</v>
      </c>
      <c r="F213" s="633"/>
      <c r="G213" s="20">
        <f t="shared" si="35"/>
        <v>1</v>
      </c>
      <c r="H213" s="633"/>
      <c r="I213" s="20">
        <f t="shared" si="36"/>
        <v>1</v>
      </c>
      <c r="J213" s="633"/>
      <c r="K213" s="20">
        <f t="shared" si="37"/>
        <v>1</v>
      </c>
      <c r="L213" s="633"/>
      <c r="M213" s="20">
        <f t="shared" si="38"/>
        <v>1</v>
      </c>
      <c r="N213" s="633"/>
      <c r="O213" s="20">
        <f t="shared" si="39"/>
        <v>1</v>
      </c>
      <c r="P213" s="633"/>
      <c r="Q213" s="20">
        <f t="shared" si="40"/>
        <v>1</v>
      </c>
      <c r="R213" s="20">
        <f t="shared" si="41"/>
        <v>0</v>
      </c>
      <c r="S213" s="306">
        <f t="shared" si="42"/>
        <v>0</v>
      </c>
    </row>
    <row r="214" spans="1:19">
      <c r="A214" s="140"/>
      <c r="B214" s="51"/>
      <c r="C214" s="20">
        <f t="shared" si="33"/>
        <v>1</v>
      </c>
      <c r="D214" s="633"/>
      <c r="E214" s="20">
        <f t="shared" si="34"/>
        <v>1</v>
      </c>
      <c r="F214" s="633"/>
      <c r="G214" s="20">
        <f t="shared" si="35"/>
        <v>1</v>
      </c>
      <c r="H214" s="633"/>
      <c r="I214" s="20">
        <f t="shared" si="36"/>
        <v>1</v>
      </c>
      <c r="J214" s="633"/>
      <c r="K214" s="20">
        <f t="shared" si="37"/>
        <v>1</v>
      </c>
      <c r="L214" s="633"/>
      <c r="M214" s="20">
        <f t="shared" si="38"/>
        <v>1</v>
      </c>
      <c r="N214" s="633"/>
      <c r="O214" s="20">
        <f t="shared" si="39"/>
        <v>1</v>
      </c>
      <c r="P214" s="633"/>
      <c r="Q214" s="20">
        <f t="shared" si="40"/>
        <v>1</v>
      </c>
      <c r="R214" s="20">
        <f t="shared" si="41"/>
        <v>0</v>
      </c>
      <c r="S214" s="306">
        <f t="shared" si="42"/>
        <v>0</v>
      </c>
    </row>
    <row r="215" spans="1:19">
      <c r="A215" s="140"/>
      <c r="B215" s="51"/>
      <c r="C215" s="20">
        <f t="shared" si="33"/>
        <v>1</v>
      </c>
      <c r="D215" s="633"/>
      <c r="E215" s="20">
        <f t="shared" si="34"/>
        <v>1</v>
      </c>
      <c r="F215" s="633"/>
      <c r="G215" s="20">
        <f t="shared" si="35"/>
        <v>1</v>
      </c>
      <c r="H215" s="633"/>
      <c r="I215" s="20">
        <f t="shared" si="36"/>
        <v>1</v>
      </c>
      <c r="J215" s="633"/>
      <c r="K215" s="20">
        <f t="shared" si="37"/>
        <v>1</v>
      </c>
      <c r="L215" s="633"/>
      <c r="M215" s="20">
        <f t="shared" si="38"/>
        <v>1</v>
      </c>
      <c r="N215" s="633"/>
      <c r="O215" s="20">
        <f t="shared" si="39"/>
        <v>1</v>
      </c>
      <c r="P215" s="633"/>
      <c r="Q215" s="20">
        <f t="shared" si="40"/>
        <v>1</v>
      </c>
      <c r="R215" s="20">
        <f t="shared" si="41"/>
        <v>0</v>
      </c>
      <c r="S215" s="306">
        <f t="shared" si="42"/>
        <v>0</v>
      </c>
    </row>
    <row r="216" spans="1:19">
      <c r="A216" s="140"/>
      <c r="B216" s="51"/>
      <c r="C216" s="20">
        <f t="shared" si="33"/>
        <v>1</v>
      </c>
      <c r="D216" s="633"/>
      <c r="E216" s="20">
        <f t="shared" si="34"/>
        <v>1</v>
      </c>
      <c r="F216" s="633"/>
      <c r="G216" s="20">
        <f t="shared" si="35"/>
        <v>1</v>
      </c>
      <c r="H216" s="633"/>
      <c r="I216" s="20">
        <f t="shared" si="36"/>
        <v>1</v>
      </c>
      <c r="J216" s="633"/>
      <c r="K216" s="20">
        <f t="shared" si="37"/>
        <v>1</v>
      </c>
      <c r="L216" s="633"/>
      <c r="M216" s="20">
        <f t="shared" si="38"/>
        <v>1</v>
      </c>
      <c r="N216" s="633"/>
      <c r="O216" s="20">
        <f t="shared" si="39"/>
        <v>1</v>
      </c>
      <c r="P216" s="633"/>
      <c r="Q216" s="20">
        <f t="shared" si="40"/>
        <v>1</v>
      </c>
      <c r="R216" s="20">
        <f t="shared" si="41"/>
        <v>0</v>
      </c>
      <c r="S216" s="306">
        <f t="shared" si="42"/>
        <v>0</v>
      </c>
    </row>
    <row r="217" spans="1:19">
      <c r="A217" s="140"/>
      <c r="B217" s="51"/>
      <c r="C217" s="20">
        <f t="shared" si="33"/>
        <v>1</v>
      </c>
      <c r="D217" s="633"/>
      <c r="E217" s="20">
        <f t="shared" si="34"/>
        <v>1</v>
      </c>
      <c r="F217" s="633"/>
      <c r="G217" s="20">
        <f t="shared" si="35"/>
        <v>1</v>
      </c>
      <c r="H217" s="633"/>
      <c r="I217" s="20">
        <f t="shared" si="36"/>
        <v>1</v>
      </c>
      <c r="J217" s="633"/>
      <c r="K217" s="20">
        <f t="shared" si="37"/>
        <v>1</v>
      </c>
      <c r="L217" s="633"/>
      <c r="M217" s="20">
        <f t="shared" si="38"/>
        <v>1</v>
      </c>
      <c r="N217" s="633"/>
      <c r="O217" s="20">
        <f t="shared" si="39"/>
        <v>1</v>
      </c>
      <c r="P217" s="633"/>
      <c r="Q217" s="20">
        <f t="shared" si="40"/>
        <v>1</v>
      </c>
      <c r="R217" s="20">
        <f t="shared" si="41"/>
        <v>0</v>
      </c>
      <c r="S217" s="306">
        <f t="shared" si="42"/>
        <v>0</v>
      </c>
    </row>
    <row r="218" spans="1:19">
      <c r="A218" s="140"/>
      <c r="B218" s="51"/>
      <c r="C218" s="20">
        <f t="shared" ref="C218:C281" si="43">IF(B218="",1,(LOOKUP(B218,$3:$3,$4:$4)-LOOKUP($B$24,$3:$3,$4:$4)+100)/100)</f>
        <v>1</v>
      </c>
      <c r="D218" s="633"/>
      <c r="E218" s="20">
        <f t="shared" ref="E218:E281" si="44">(SUMIF($5:$5,D218,$6:$6)-SUMIF($5:$5,$D$24,$6:$6)+100)/100</f>
        <v>1</v>
      </c>
      <c r="F218" s="633"/>
      <c r="G218" s="20">
        <f t="shared" ref="G218:G281" si="45">(SUMIF($7:$7,F218,$8:$8)-SUMIF($7:$7,$F$24,$8:$8)+100)/100</f>
        <v>1</v>
      </c>
      <c r="H218" s="633"/>
      <c r="I218" s="20">
        <f t="shared" ref="I218:I281" si="46">(SUMIF($9:$9,H218,$10:$10)-SUMIF($9:$9,$H$24,$10:$10)+100)/100</f>
        <v>1</v>
      </c>
      <c r="J218" s="633"/>
      <c r="K218" s="20">
        <f t="shared" ref="K218:K281" si="47">(SUMIF($11:$11,J218,$12:$12)-SUMIF($11:$11,$J$24,$12:$12)+100)/100</f>
        <v>1</v>
      </c>
      <c r="L218" s="633"/>
      <c r="M218" s="20">
        <f t="shared" ref="M218:M281" si="48">(SUMIF($13:$13,L218,$14:$14)-SUMIF($13:$13,$L$24,$14:$14)+100)/100</f>
        <v>1</v>
      </c>
      <c r="N218" s="633"/>
      <c r="O218" s="20">
        <f t="shared" ref="O218:O281" si="49">(SUMIF($15:$15,N218,$16:$16)-SUMIF($15:$15,$N$24,$16:$16)+100)/100</f>
        <v>1</v>
      </c>
      <c r="P218" s="633"/>
      <c r="Q218" s="20">
        <f t="shared" ref="Q218:Q281" si="50">(SUMIF($17:$17,P218,$18:$18)-SUMIF($17:$17,$P$24,$18:$18)+100)/100</f>
        <v>1</v>
      </c>
      <c r="R218" s="20">
        <f t="shared" ref="R218:R281" si="51">IF(B218="",0,ROUND($R$24*C218*E218*G218*I218*K218*M218*O218*Q218,0))</f>
        <v>0</v>
      </c>
      <c r="S218" s="306">
        <f t="shared" si="42"/>
        <v>0</v>
      </c>
    </row>
    <row r="219" spans="1:19">
      <c r="A219" s="140"/>
      <c r="B219" s="51"/>
      <c r="C219" s="20">
        <f t="shared" si="43"/>
        <v>1</v>
      </c>
      <c r="D219" s="633"/>
      <c r="E219" s="20">
        <f t="shared" si="44"/>
        <v>1</v>
      </c>
      <c r="F219" s="633"/>
      <c r="G219" s="20">
        <f t="shared" si="45"/>
        <v>1</v>
      </c>
      <c r="H219" s="633"/>
      <c r="I219" s="20">
        <f t="shared" si="46"/>
        <v>1</v>
      </c>
      <c r="J219" s="633"/>
      <c r="K219" s="20">
        <f t="shared" si="47"/>
        <v>1</v>
      </c>
      <c r="L219" s="633"/>
      <c r="M219" s="20">
        <f t="shared" si="48"/>
        <v>1</v>
      </c>
      <c r="N219" s="633"/>
      <c r="O219" s="20">
        <f t="shared" si="49"/>
        <v>1</v>
      </c>
      <c r="P219" s="633"/>
      <c r="Q219" s="20">
        <f t="shared" si="50"/>
        <v>1</v>
      </c>
      <c r="R219" s="20">
        <f t="shared" si="51"/>
        <v>0</v>
      </c>
      <c r="S219" s="306">
        <f t="shared" si="42"/>
        <v>0</v>
      </c>
    </row>
    <row r="220" spans="1:19">
      <c r="A220" s="140"/>
      <c r="B220" s="51"/>
      <c r="C220" s="20">
        <f t="shared" si="43"/>
        <v>1</v>
      </c>
      <c r="D220" s="633"/>
      <c r="E220" s="20">
        <f t="shared" si="44"/>
        <v>1</v>
      </c>
      <c r="F220" s="633"/>
      <c r="G220" s="20">
        <f t="shared" si="45"/>
        <v>1</v>
      </c>
      <c r="H220" s="633"/>
      <c r="I220" s="20">
        <f t="shared" si="46"/>
        <v>1</v>
      </c>
      <c r="J220" s="633"/>
      <c r="K220" s="20">
        <f t="shared" si="47"/>
        <v>1</v>
      </c>
      <c r="L220" s="633"/>
      <c r="M220" s="20">
        <f t="shared" si="48"/>
        <v>1</v>
      </c>
      <c r="N220" s="633"/>
      <c r="O220" s="20">
        <f t="shared" si="49"/>
        <v>1</v>
      </c>
      <c r="P220" s="633"/>
      <c r="Q220" s="20">
        <f t="shared" si="50"/>
        <v>1</v>
      </c>
      <c r="R220" s="20">
        <f t="shared" si="51"/>
        <v>0</v>
      </c>
      <c r="S220" s="306">
        <f t="shared" si="42"/>
        <v>0</v>
      </c>
    </row>
    <row r="221" spans="1:19">
      <c r="A221" s="140"/>
      <c r="B221" s="51"/>
      <c r="C221" s="20">
        <f t="shared" si="43"/>
        <v>1</v>
      </c>
      <c r="D221" s="633"/>
      <c r="E221" s="20">
        <f t="shared" si="44"/>
        <v>1</v>
      </c>
      <c r="F221" s="633"/>
      <c r="G221" s="20">
        <f t="shared" si="45"/>
        <v>1</v>
      </c>
      <c r="H221" s="633"/>
      <c r="I221" s="20">
        <f t="shared" si="46"/>
        <v>1</v>
      </c>
      <c r="J221" s="633"/>
      <c r="K221" s="20">
        <f t="shared" si="47"/>
        <v>1</v>
      </c>
      <c r="L221" s="633"/>
      <c r="M221" s="20">
        <f t="shared" si="48"/>
        <v>1</v>
      </c>
      <c r="N221" s="633"/>
      <c r="O221" s="20">
        <f t="shared" si="49"/>
        <v>1</v>
      </c>
      <c r="P221" s="633"/>
      <c r="Q221" s="20">
        <f t="shared" si="50"/>
        <v>1</v>
      </c>
      <c r="R221" s="20">
        <f t="shared" si="51"/>
        <v>0</v>
      </c>
      <c r="S221" s="306">
        <f t="shared" si="42"/>
        <v>0</v>
      </c>
    </row>
    <row r="222" spans="1:19">
      <c r="A222" s="140"/>
      <c r="B222" s="51"/>
      <c r="C222" s="20">
        <f t="shared" si="43"/>
        <v>1</v>
      </c>
      <c r="D222" s="633"/>
      <c r="E222" s="20">
        <f t="shared" si="44"/>
        <v>1</v>
      </c>
      <c r="F222" s="633"/>
      <c r="G222" s="20">
        <f t="shared" si="45"/>
        <v>1</v>
      </c>
      <c r="H222" s="633"/>
      <c r="I222" s="20">
        <f t="shared" si="46"/>
        <v>1</v>
      </c>
      <c r="J222" s="633"/>
      <c r="K222" s="20">
        <f t="shared" si="47"/>
        <v>1</v>
      </c>
      <c r="L222" s="633"/>
      <c r="M222" s="20">
        <f t="shared" si="48"/>
        <v>1</v>
      </c>
      <c r="N222" s="633"/>
      <c r="O222" s="20">
        <f t="shared" si="49"/>
        <v>1</v>
      </c>
      <c r="P222" s="633"/>
      <c r="Q222" s="20">
        <f t="shared" si="50"/>
        <v>1</v>
      </c>
      <c r="R222" s="20">
        <f t="shared" si="51"/>
        <v>0</v>
      </c>
      <c r="S222" s="306">
        <f t="shared" si="42"/>
        <v>0</v>
      </c>
    </row>
    <row r="223" spans="1:19">
      <c r="A223" s="140"/>
      <c r="B223" s="51"/>
      <c r="C223" s="20">
        <f t="shared" si="43"/>
        <v>1</v>
      </c>
      <c r="D223" s="633"/>
      <c r="E223" s="20">
        <f t="shared" si="44"/>
        <v>1</v>
      </c>
      <c r="F223" s="633"/>
      <c r="G223" s="20">
        <f t="shared" si="45"/>
        <v>1</v>
      </c>
      <c r="H223" s="633"/>
      <c r="I223" s="20">
        <f t="shared" si="46"/>
        <v>1</v>
      </c>
      <c r="J223" s="633"/>
      <c r="K223" s="20">
        <f t="shared" si="47"/>
        <v>1</v>
      </c>
      <c r="L223" s="633"/>
      <c r="M223" s="20">
        <f t="shared" si="48"/>
        <v>1</v>
      </c>
      <c r="N223" s="633"/>
      <c r="O223" s="20">
        <f t="shared" si="49"/>
        <v>1</v>
      </c>
      <c r="P223" s="633"/>
      <c r="Q223" s="20">
        <f t="shared" si="50"/>
        <v>1</v>
      </c>
      <c r="R223" s="20">
        <f t="shared" si="51"/>
        <v>0</v>
      </c>
      <c r="S223" s="306">
        <f t="shared" ref="S223:S286" si="52">ROUND(R223*B223/10000,0)</f>
        <v>0</v>
      </c>
    </row>
    <row r="224" spans="1:19">
      <c r="A224" s="140"/>
      <c r="B224" s="51"/>
      <c r="C224" s="20">
        <f t="shared" si="43"/>
        <v>1</v>
      </c>
      <c r="D224" s="633"/>
      <c r="E224" s="20">
        <f t="shared" si="44"/>
        <v>1</v>
      </c>
      <c r="F224" s="633"/>
      <c r="G224" s="20">
        <f t="shared" si="45"/>
        <v>1</v>
      </c>
      <c r="H224" s="633"/>
      <c r="I224" s="20">
        <f t="shared" si="46"/>
        <v>1</v>
      </c>
      <c r="J224" s="633"/>
      <c r="K224" s="20">
        <f t="shared" si="47"/>
        <v>1</v>
      </c>
      <c r="L224" s="633"/>
      <c r="M224" s="20">
        <f t="shared" si="48"/>
        <v>1</v>
      </c>
      <c r="N224" s="633"/>
      <c r="O224" s="20">
        <f t="shared" si="49"/>
        <v>1</v>
      </c>
      <c r="P224" s="633"/>
      <c r="Q224" s="20">
        <f t="shared" si="50"/>
        <v>1</v>
      </c>
      <c r="R224" s="20">
        <f t="shared" si="51"/>
        <v>0</v>
      </c>
      <c r="S224" s="306">
        <f t="shared" si="52"/>
        <v>0</v>
      </c>
    </row>
    <row r="225" spans="1:19">
      <c r="A225" s="140"/>
      <c r="B225" s="51"/>
      <c r="C225" s="20">
        <f t="shared" si="43"/>
        <v>1</v>
      </c>
      <c r="D225" s="633"/>
      <c r="E225" s="20">
        <f t="shared" si="44"/>
        <v>1</v>
      </c>
      <c r="F225" s="633"/>
      <c r="G225" s="20">
        <f t="shared" si="45"/>
        <v>1</v>
      </c>
      <c r="H225" s="633"/>
      <c r="I225" s="20">
        <f t="shared" si="46"/>
        <v>1</v>
      </c>
      <c r="J225" s="633"/>
      <c r="K225" s="20">
        <f t="shared" si="47"/>
        <v>1</v>
      </c>
      <c r="L225" s="633"/>
      <c r="M225" s="20">
        <f t="shared" si="48"/>
        <v>1</v>
      </c>
      <c r="N225" s="633"/>
      <c r="O225" s="20">
        <f t="shared" si="49"/>
        <v>1</v>
      </c>
      <c r="P225" s="633"/>
      <c r="Q225" s="20">
        <f t="shared" si="50"/>
        <v>1</v>
      </c>
      <c r="R225" s="20">
        <f t="shared" si="51"/>
        <v>0</v>
      </c>
      <c r="S225" s="306">
        <f t="shared" si="52"/>
        <v>0</v>
      </c>
    </row>
    <row r="226" spans="1:19">
      <c r="A226" s="140"/>
      <c r="B226" s="51"/>
      <c r="C226" s="20">
        <f t="shared" si="43"/>
        <v>1</v>
      </c>
      <c r="D226" s="633"/>
      <c r="E226" s="20">
        <f t="shared" si="44"/>
        <v>1</v>
      </c>
      <c r="F226" s="633"/>
      <c r="G226" s="20">
        <f t="shared" si="45"/>
        <v>1</v>
      </c>
      <c r="H226" s="633"/>
      <c r="I226" s="20">
        <f t="shared" si="46"/>
        <v>1</v>
      </c>
      <c r="J226" s="633"/>
      <c r="K226" s="20">
        <f t="shared" si="47"/>
        <v>1</v>
      </c>
      <c r="L226" s="633"/>
      <c r="M226" s="20">
        <f t="shared" si="48"/>
        <v>1</v>
      </c>
      <c r="N226" s="633"/>
      <c r="O226" s="20">
        <f t="shared" si="49"/>
        <v>1</v>
      </c>
      <c r="P226" s="633"/>
      <c r="Q226" s="20">
        <f t="shared" si="50"/>
        <v>1</v>
      </c>
      <c r="R226" s="20">
        <f t="shared" si="51"/>
        <v>0</v>
      </c>
      <c r="S226" s="306">
        <f t="shared" si="52"/>
        <v>0</v>
      </c>
    </row>
    <row r="227" spans="1:19">
      <c r="A227" s="140"/>
      <c r="B227" s="51"/>
      <c r="C227" s="20">
        <f t="shared" si="43"/>
        <v>1</v>
      </c>
      <c r="D227" s="633"/>
      <c r="E227" s="20">
        <f t="shared" si="44"/>
        <v>1</v>
      </c>
      <c r="F227" s="633"/>
      <c r="G227" s="20">
        <f t="shared" si="45"/>
        <v>1</v>
      </c>
      <c r="H227" s="633"/>
      <c r="I227" s="20">
        <f t="shared" si="46"/>
        <v>1</v>
      </c>
      <c r="J227" s="633"/>
      <c r="K227" s="20">
        <f t="shared" si="47"/>
        <v>1</v>
      </c>
      <c r="L227" s="633"/>
      <c r="M227" s="20">
        <f t="shared" si="48"/>
        <v>1</v>
      </c>
      <c r="N227" s="633"/>
      <c r="O227" s="20">
        <f t="shared" si="49"/>
        <v>1</v>
      </c>
      <c r="P227" s="633"/>
      <c r="Q227" s="20">
        <f t="shared" si="50"/>
        <v>1</v>
      </c>
      <c r="R227" s="20">
        <f t="shared" si="51"/>
        <v>0</v>
      </c>
      <c r="S227" s="306">
        <f t="shared" si="52"/>
        <v>0</v>
      </c>
    </row>
    <row r="228" spans="1:19">
      <c r="A228" s="140"/>
      <c r="B228" s="51"/>
      <c r="C228" s="20">
        <f t="shared" si="43"/>
        <v>1</v>
      </c>
      <c r="D228" s="633"/>
      <c r="E228" s="20">
        <f t="shared" si="44"/>
        <v>1</v>
      </c>
      <c r="F228" s="633"/>
      <c r="G228" s="20">
        <f t="shared" si="45"/>
        <v>1</v>
      </c>
      <c r="H228" s="633"/>
      <c r="I228" s="20">
        <f t="shared" si="46"/>
        <v>1</v>
      </c>
      <c r="J228" s="633"/>
      <c r="K228" s="20">
        <f t="shared" si="47"/>
        <v>1</v>
      </c>
      <c r="L228" s="633"/>
      <c r="M228" s="20">
        <f t="shared" si="48"/>
        <v>1</v>
      </c>
      <c r="N228" s="633"/>
      <c r="O228" s="20">
        <f t="shared" si="49"/>
        <v>1</v>
      </c>
      <c r="P228" s="633"/>
      <c r="Q228" s="20">
        <f t="shared" si="50"/>
        <v>1</v>
      </c>
      <c r="R228" s="20">
        <f t="shared" si="51"/>
        <v>0</v>
      </c>
      <c r="S228" s="306">
        <f t="shared" si="52"/>
        <v>0</v>
      </c>
    </row>
    <row r="229" spans="1:19">
      <c r="A229" s="140"/>
      <c r="B229" s="51"/>
      <c r="C229" s="20">
        <f t="shared" si="43"/>
        <v>1</v>
      </c>
      <c r="D229" s="633"/>
      <c r="E229" s="20">
        <f t="shared" si="44"/>
        <v>1</v>
      </c>
      <c r="F229" s="633"/>
      <c r="G229" s="20">
        <f t="shared" si="45"/>
        <v>1</v>
      </c>
      <c r="H229" s="633"/>
      <c r="I229" s="20">
        <f t="shared" si="46"/>
        <v>1</v>
      </c>
      <c r="J229" s="633"/>
      <c r="K229" s="20">
        <f t="shared" si="47"/>
        <v>1</v>
      </c>
      <c r="L229" s="633"/>
      <c r="M229" s="20">
        <f t="shared" si="48"/>
        <v>1</v>
      </c>
      <c r="N229" s="633"/>
      <c r="O229" s="20">
        <f t="shared" si="49"/>
        <v>1</v>
      </c>
      <c r="P229" s="633"/>
      <c r="Q229" s="20">
        <f t="shared" si="50"/>
        <v>1</v>
      </c>
      <c r="R229" s="20">
        <f t="shared" si="51"/>
        <v>0</v>
      </c>
      <c r="S229" s="306">
        <f t="shared" si="52"/>
        <v>0</v>
      </c>
    </row>
    <row r="230" spans="1:19">
      <c r="A230" s="140"/>
      <c r="B230" s="51"/>
      <c r="C230" s="20">
        <f t="shared" si="43"/>
        <v>1</v>
      </c>
      <c r="D230" s="633"/>
      <c r="E230" s="20">
        <f t="shared" si="44"/>
        <v>1</v>
      </c>
      <c r="F230" s="633"/>
      <c r="G230" s="20">
        <f t="shared" si="45"/>
        <v>1</v>
      </c>
      <c r="H230" s="633"/>
      <c r="I230" s="20">
        <f t="shared" si="46"/>
        <v>1</v>
      </c>
      <c r="J230" s="633"/>
      <c r="K230" s="20">
        <f t="shared" si="47"/>
        <v>1</v>
      </c>
      <c r="L230" s="633"/>
      <c r="M230" s="20">
        <f t="shared" si="48"/>
        <v>1</v>
      </c>
      <c r="N230" s="633"/>
      <c r="O230" s="20">
        <f t="shared" si="49"/>
        <v>1</v>
      </c>
      <c r="P230" s="633"/>
      <c r="Q230" s="20">
        <f t="shared" si="50"/>
        <v>1</v>
      </c>
      <c r="R230" s="20">
        <f t="shared" si="51"/>
        <v>0</v>
      </c>
      <c r="S230" s="306">
        <f t="shared" si="52"/>
        <v>0</v>
      </c>
    </row>
    <row r="231" spans="1:19">
      <c r="A231" s="140"/>
      <c r="B231" s="51"/>
      <c r="C231" s="20">
        <f t="shared" si="43"/>
        <v>1</v>
      </c>
      <c r="D231" s="633"/>
      <c r="E231" s="20">
        <f t="shared" si="44"/>
        <v>1</v>
      </c>
      <c r="F231" s="633"/>
      <c r="G231" s="20">
        <f t="shared" si="45"/>
        <v>1</v>
      </c>
      <c r="H231" s="633"/>
      <c r="I231" s="20">
        <f t="shared" si="46"/>
        <v>1</v>
      </c>
      <c r="J231" s="633"/>
      <c r="K231" s="20">
        <f t="shared" si="47"/>
        <v>1</v>
      </c>
      <c r="L231" s="633"/>
      <c r="M231" s="20">
        <f t="shared" si="48"/>
        <v>1</v>
      </c>
      <c r="N231" s="633"/>
      <c r="O231" s="20">
        <f t="shared" si="49"/>
        <v>1</v>
      </c>
      <c r="P231" s="633"/>
      <c r="Q231" s="20">
        <f t="shared" si="50"/>
        <v>1</v>
      </c>
      <c r="R231" s="20">
        <f t="shared" si="51"/>
        <v>0</v>
      </c>
      <c r="S231" s="306">
        <f t="shared" si="52"/>
        <v>0</v>
      </c>
    </row>
    <row r="232" spans="1:19">
      <c r="A232" s="140"/>
      <c r="B232" s="51"/>
      <c r="C232" s="20">
        <f t="shared" si="43"/>
        <v>1</v>
      </c>
      <c r="D232" s="633"/>
      <c r="E232" s="20">
        <f t="shared" si="44"/>
        <v>1</v>
      </c>
      <c r="F232" s="633"/>
      <c r="G232" s="20">
        <f t="shared" si="45"/>
        <v>1</v>
      </c>
      <c r="H232" s="633"/>
      <c r="I232" s="20">
        <f t="shared" si="46"/>
        <v>1</v>
      </c>
      <c r="J232" s="633"/>
      <c r="K232" s="20">
        <f t="shared" si="47"/>
        <v>1</v>
      </c>
      <c r="L232" s="633"/>
      <c r="M232" s="20">
        <f t="shared" si="48"/>
        <v>1</v>
      </c>
      <c r="N232" s="633"/>
      <c r="O232" s="20">
        <f t="shared" si="49"/>
        <v>1</v>
      </c>
      <c r="P232" s="633"/>
      <c r="Q232" s="20">
        <f t="shared" si="50"/>
        <v>1</v>
      </c>
      <c r="R232" s="20">
        <f t="shared" si="51"/>
        <v>0</v>
      </c>
      <c r="S232" s="306">
        <f t="shared" si="52"/>
        <v>0</v>
      </c>
    </row>
    <row r="233" spans="1:19">
      <c r="A233" s="140"/>
      <c r="B233" s="51"/>
      <c r="C233" s="20">
        <f t="shared" si="43"/>
        <v>1</v>
      </c>
      <c r="D233" s="633"/>
      <c r="E233" s="20">
        <f t="shared" si="44"/>
        <v>1</v>
      </c>
      <c r="F233" s="633"/>
      <c r="G233" s="20">
        <f t="shared" si="45"/>
        <v>1</v>
      </c>
      <c r="H233" s="633"/>
      <c r="I233" s="20">
        <f t="shared" si="46"/>
        <v>1</v>
      </c>
      <c r="J233" s="633"/>
      <c r="K233" s="20">
        <f t="shared" si="47"/>
        <v>1</v>
      </c>
      <c r="L233" s="633"/>
      <c r="M233" s="20">
        <f t="shared" si="48"/>
        <v>1</v>
      </c>
      <c r="N233" s="633"/>
      <c r="O233" s="20">
        <f t="shared" si="49"/>
        <v>1</v>
      </c>
      <c r="P233" s="633"/>
      <c r="Q233" s="20">
        <f t="shared" si="50"/>
        <v>1</v>
      </c>
      <c r="R233" s="20">
        <f t="shared" si="51"/>
        <v>0</v>
      </c>
      <c r="S233" s="306">
        <f t="shared" si="52"/>
        <v>0</v>
      </c>
    </row>
    <row r="234" spans="1:19">
      <c r="A234" s="140"/>
      <c r="B234" s="51"/>
      <c r="C234" s="20">
        <f t="shared" si="43"/>
        <v>1</v>
      </c>
      <c r="D234" s="633"/>
      <c r="E234" s="20">
        <f t="shared" si="44"/>
        <v>1</v>
      </c>
      <c r="F234" s="633"/>
      <c r="G234" s="20">
        <f t="shared" si="45"/>
        <v>1</v>
      </c>
      <c r="H234" s="633"/>
      <c r="I234" s="20">
        <f t="shared" si="46"/>
        <v>1</v>
      </c>
      <c r="J234" s="633"/>
      <c r="K234" s="20">
        <f t="shared" si="47"/>
        <v>1</v>
      </c>
      <c r="L234" s="633"/>
      <c r="M234" s="20">
        <f t="shared" si="48"/>
        <v>1</v>
      </c>
      <c r="N234" s="633"/>
      <c r="O234" s="20">
        <f t="shared" si="49"/>
        <v>1</v>
      </c>
      <c r="P234" s="633"/>
      <c r="Q234" s="20">
        <f t="shared" si="50"/>
        <v>1</v>
      </c>
      <c r="R234" s="20">
        <f t="shared" si="51"/>
        <v>0</v>
      </c>
      <c r="S234" s="306">
        <f t="shared" si="52"/>
        <v>0</v>
      </c>
    </row>
    <row r="235" spans="1:19">
      <c r="A235" s="140"/>
      <c r="B235" s="51"/>
      <c r="C235" s="20">
        <f t="shared" si="43"/>
        <v>1</v>
      </c>
      <c r="D235" s="633"/>
      <c r="E235" s="20">
        <f t="shared" si="44"/>
        <v>1</v>
      </c>
      <c r="F235" s="633"/>
      <c r="G235" s="20">
        <f t="shared" si="45"/>
        <v>1</v>
      </c>
      <c r="H235" s="633"/>
      <c r="I235" s="20">
        <f t="shared" si="46"/>
        <v>1</v>
      </c>
      <c r="J235" s="633"/>
      <c r="K235" s="20">
        <f t="shared" si="47"/>
        <v>1</v>
      </c>
      <c r="L235" s="633"/>
      <c r="M235" s="20">
        <f t="shared" si="48"/>
        <v>1</v>
      </c>
      <c r="N235" s="633"/>
      <c r="O235" s="20">
        <f t="shared" si="49"/>
        <v>1</v>
      </c>
      <c r="P235" s="633"/>
      <c r="Q235" s="20">
        <f t="shared" si="50"/>
        <v>1</v>
      </c>
      <c r="R235" s="20">
        <f t="shared" si="51"/>
        <v>0</v>
      </c>
      <c r="S235" s="306">
        <f t="shared" si="52"/>
        <v>0</v>
      </c>
    </row>
    <row r="236" spans="1:19">
      <c r="A236" s="140"/>
      <c r="B236" s="51"/>
      <c r="C236" s="20">
        <f t="shared" si="43"/>
        <v>1</v>
      </c>
      <c r="D236" s="633"/>
      <c r="E236" s="20">
        <f t="shared" si="44"/>
        <v>1</v>
      </c>
      <c r="F236" s="633"/>
      <c r="G236" s="20">
        <f t="shared" si="45"/>
        <v>1</v>
      </c>
      <c r="H236" s="633"/>
      <c r="I236" s="20">
        <f t="shared" si="46"/>
        <v>1</v>
      </c>
      <c r="J236" s="633"/>
      <c r="K236" s="20">
        <f t="shared" si="47"/>
        <v>1</v>
      </c>
      <c r="L236" s="633"/>
      <c r="M236" s="20">
        <f t="shared" si="48"/>
        <v>1</v>
      </c>
      <c r="N236" s="633"/>
      <c r="O236" s="20">
        <f t="shared" si="49"/>
        <v>1</v>
      </c>
      <c r="P236" s="633"/>
      <c r="Q236" s="20">
        <f t="shared" si="50"/>
        <v>1</v>
      </c>
      <c r="R236" s="20">
        <f t="shared" si="51"/>
        <v>0</v>
      </c>
      <c r="S236" s="306">
        <f t="shared" si="52"/>
        <v>0</v>
      </c>
    </row>
    <row r="237" spans="1:19">
      <c r="A237" s="140"/>
      <c r="B237" s="51"/>
      <c r="C237" s="20">
        <f t="shared" si="43"/>
        <v>1</v>
      </c>
      <c r="D237" s="633"/>
      <c r="E237" s="20">
        <f t="shared" si="44"/>
        <v>1</v>
      </c>
      <c r="F237" s="633"/>
      <c r="G237" s="20">
        <f t="shared" si="45"/>
        <v>1</v>
      </c>
      <c r="H237" s="633"/>
      <c r="I237" s="20">
        <f t="shared" si="46"/>
        <v>1</v>
      </c>
      <c r="J237" s="633"/>
      <c r="K237" s="20">
        <f t="shared" si="47"/>
        <v>1</v>
      </c>
      <c r="L237" s="633"/>
      <c r="M237" s="20">
        <f t="shared" si="48"/>
        <v>1</v>
      </c>
      <c r="N237" s="633"/>
      <c r="O237" s="20">
        <f t="shared" si="49"/>
        <v>1</v>
      </c>
      <c r="P237" s="633"/>
      <c r="Q237" s="20">
        <f t="shared" si="50"/>
        <v>1</v>
      </c>
      <c r="R237" s="20">
        <f t="shared" si="51"/>
        <v>0</v>
      </c>
      <c r="S237" s="306">
        <f t="shared" si="52"/>
        <v>0</v>
      </c>
    </row>
    <row r="238" spans="1:19">
      <c r="A238" s="140"/>
      <c r="B238" s="51"/>
      <c r="C238" s="20">
        <f t="shared" si="43"/>
        <v>1</v>
      </c>
      <c r="D238" s="633"/>
      <c r="E238" s="20">
        <f t="shared" si="44"/>
        <v>1</v>
      </c>
      <c r="F238" s="633"/>
      <c r="G238" s="20">
        <f t="shared" si="45"/>
        <v>1</v>
      </c>
      <c r="H238" s="633"/>
      <c r="I238" s="20">
        <f t="shared" si="46"/>
        <v>1</v>
      </c>
      <c r="J238" s="633"/>
      <c r="K238" s="20">
        <f t="shared" si="47"/>
        <v>1</v>
      </c>
      <c r="L238" s="633"/>
      <c r="M238" s="20">
        <f t="shared" si="48"/>
        <v>1</v>
      </c>
      <c r="N238" s="633"/>
      <c r="O238" s="20">
        <f t="shared" si="49"/>
        <v>1</v>
      </c>
      <c r="P238" s="633"/>
      <c r="Q238" s="20">
        <f t="shared" si="50"/>
        <v>1</v>
      </c>
      <c r="R238" s="20">
        <f t="shared" si="51"/>
        <v>0</v>
      </c>
      <c r="S238" s="306">
        <f t="shared" si="52"/>
        <v>0</v>
      </c>
    </row>
    <row r="239" spans="1:19">
      <c r="A239" s="140"/>
      <c r="B239" s="51"/>
      <c r="C239" s="20">
        <f t="shared" si="43"/>
        <v>1</v>
      </c>
      <c r="D239" s="633"/>
      <c r="E239" s="20">
        <f t="shared" si="44"/>
        <v>1</v>
      </c>
      <c r="F239" s="633"/>
      <c r="G239" s="20">
        <f t="shared" si="45"/>
        <v>1</v>
      </c>
      <c r="H239" s="633"/>
      <c r="I239" s="20">
        <f t="shared" si="46"/>
        <v>1</v>
      </c>
      <c r="J239" s="633"/>
      <c r="K239" s="20">
        <f t="shared" si="47"/>
        <v>1</v>
      </c>
      <c r="L239" s="633"/>
      <c r="M239" s="20">
        <f t="shared" si="48"/>
        <v>1</v>
      </c>
      <c r="N239" s="633"/>
      <c r="O239" s="20">
        <f t="shared" si="49"/>
        <v>1</v>
      </c>
      <c r="P239" s="633"/>
      <c r="Q239" s="20">
        <f t="shared" si="50"/>
        <v>1</v>
      </c>
      <c r="R239" s="20">
        <f t="shared" si="51"/>
        <v>0</v>
      </c>
      <c r="S239" s="306">
        <f t="shared" si="52"/>
        <v>0</v>
      </c>
    </row>
    <row r="240" spans="1:19">
      <c r="A240" s="140"/>
      <c r="B240" s="51"/>
      <c r="C240" s="20">
        <f t="shared" si="43"/>
        <v>1</v>
      </c>
      <c r="D240" s="633"/>
      <c r="E240" s="20">
        <f t="shared" si="44"/>
        <v>1</v>
      </c>
      <c r="F240" s="633"/>
      <c r="G240" s="20">
        <f t="shared" si="45"/>
        <v>1</v>
      </c>
      <c r="H240" s="633"/>
      <c r="I240" s="20">
        <f t="shared" si="46"/>
        <v>1</v>
      </c>
      <c r="J240" s="633"/>
      <c r="K240" s="20">
        <f t="shared" si="47"/>
        <v>1</v>
      </c>
      <c r="L240" s="633"/>
      <c r="M240" s="20">
        <f t="shared" si="48"/>
        <v>1</v>
      </c>
      <c r="N240" s="633"/>
      <c r="O240" s="20">
        <f t="shared" si="49"/>
        <v>1</v>
      </c>
      <c r="P240" s="633"/>
      <c r="Q240" s="20">
        <f t="shared" si="50"/>
        <v>1</v>
      </c>
      <c r="R240" s="20">
        <f t="shared" si="51"/>
        <v>0</v>
      </c>
      <c r="S240" s="306">
        <f t="shared" si="52"/>
        <v>0</v>
      </c>
    </row>
    <row r="241" spans="1:19">
      <c r="A241" s="140"/>
      <c r="B241" s="51"/>
      <c r="C241" s="20">
        <f t="shared" si="43"/>
        <v>1</v>
      </c>
      <c r="D241" s="633"/>
      <c r="E241" s="20">
        <f t="shared" si="44"/>
        <v>1</v>
      </c>
      <c r="F241" s="633"/>
      <c r="G241" s="20">
        <f t="shared" si="45"/>
        <v>1</v>
      </c>
      <c r="H241" s="633"/>
      <c r="I241" s="20">
        <f t="shared" si="46"/>
        <v>1</v>
      </c>
      <c r="J241" s="633"/>
      <c r="K241" s="20">
        <f t="shared" si="47"/>
        <v>1</v>
      </c>
      <c r="L241" s="633"/>
      <c r="M241" s="20">
        <f t="shared" si="48"/>
        <v>1</v>
      </c>
      <c r="N241" s="633"/>
      <c r="O241" s="20">
        <f t="shared" si="49"/>
        <v>1</v>
      </c>
      <c r="P241" s="633"/>
      <c r="Q241" s="20">
        <f t="shared" si="50"/>
        <v>1</v>
      </c>
      <c r="R241" s="20">
        <f t="shared" si="51"/>
        <v>0</v>
      </c>
      <c r="S241" s="306">
        <f t="shared" si="52"/>
        <v>0</v>
      </c>
    </row>
    <row r="242" spans="1:19">
      <c r="A242" s="140"/>
      <c r="B242" s="51"/>
      <c r="C242" s="20">
        <f t="shared" si="43"/>
        <v>1</v>
      </c>
      <c r="D242" s="633"/>
      <c r="E242" s="20">
        <f t="shared" si="44"/>
        <v>1</v>
      </c>
      <c r="F242" s="633"/>
      <c r="G242" s="20">
        <f t="shared" si="45"/>
        <v>1</v>
      </c>
      <c r="H242" s="633"/>
      <c r="I242" s="20">
        <f t="shared" si="46"/>
        <v>1</v>
      </c>
      <c r="J242" s="633"/>
      <c r="K242" s="20">
        <f t="shared" si="47"/>
        <v>1</v>
      </c>
      <c r="L242" s="633"/>
      <c r="M242" s="20">
        <f t="shared" si="48"/>
        <v>1</v>
      </c>
      <c r="N242" s="633"/>
      <c r="O242" s="20">
        <f t="shared" si="49"/>
        <v>1</v>
      </c>
      <c r="P242" s="633"/>
      <c r="Q242" s="20">
        <f t="shared" si="50"/>
        <v>1</v>
      </c>
      <c r="R242" s="20">
        <f t="shared" si="51"/>
        <v>0</v>
      </c>
      <c r="S242" s="306">
        <f t="shared" si="52"/>
        <v>0</v>
      </c>
    </row>
    <row r="243" spans="1:19">
      <c r="A243" s="140"/>
      <c r="B243" s="51"/>
      <c r="C243" s="20">
        <f t="shared" si="43"/>
        <v>1</v>
      </c>
      <c r="D243" s="633"/>
      <c r="E243" s="20">
        <f t="shared" si="44"/>
        <v>1</v>
      </c>
      <c r="F243" s="633"/>
      <c r="G243" s="20">
        <f t="shared" si="45"/>
        <v>1</v>
      </c>
      <c r="H243" s="633"/>
      <c r="I243" s="20">
        <f t="shared" si="46"/>
        <v>1</v>
      </c>
      <c r="J243" s="633"/>
      <c r="K243" s="20">
        <f t="shared" si="47"/>
        <v>1</v>
      </c>
      <c r="L243" s="633"/>
      <c r="M243" s="20">
        <f t="shared" si="48"/>
        <v>1</v>
      </c>
      <c r="N243" s="633"/>
      <c r="O243" s="20">
        <f t="shared" si="49"/>
        <v>1</v>
      </c>
      <c r="P243" s="633"/>
      <c r="Q243" s="20">
        <f t="shared" si="50"/>
        <v>1</v>
      </c>
      <c r="R243" s="20">
        <f t="shared" si="51"/>
        <v>0</v>
      </c>
      <c r="S243" s="306">
        <f t="shared" si="52"/>
        <v>0</v>
      </c>
    </row>
    <row r="244" spans="1:19">
      <c r="A244" s="140"/>
      <c r="B244" s="51"/>
      <c r="C244" s="20">
        <f t="shared" si="43"/>
        <v>1</v>
      </c>
      <c r="D244" s="633"/>
      <c r="E244" s="20">
        <f t="shared" si="44"/>
        <v>1</v>
      </c>
      <c r="F244" s="633"/>
      <c r="G244" s="20">
        <f t="shared" si="45"/>
        <v>1</v>
      </c>
      <c r="H244" s="633"/>
      <c r="I244" s="20">
        <f t="shared" si="46"/>
        <v>1</v>
      </c>
      <c r="J244" s="633"/>
      <c r="K244" s="20">
        <f t="shared" si="47"/>
        <v>1</v>
      </c>
      <c r="L244" s="633"/>
      <c r="M244" s="20">
        <f t="shared" si="48"/>
        <v>1</v>
      </c>
      <c r="N244" s="633"/>
      <c r="O244" s="20">
        <f t="shared" si="49"/>
        <v>1</v>
      </c>
      <c r="P244" s="633"/>
      <c r="Q244" s="20">
        <f t="shared" si="50"/>
        <v>1</v>
      </c>
      <c r="R244" s="20">
        <f t="shared" si="51"/>
        <v>0</v>
      </c>
      <c r="S244" s="306">
        <f t="shared" si="52"/>
        <v>0</v>
      </c>
    </row>
    <row r="245" spans="1:19">
      <c r="A245" s="140"/>
      <c r="B245" s="51"/>
      <c r="C245" s="20">
        <f t="shared" si="43"/>
        <v>1</v>
      </c>
      <c r="D245" s="633"/>
      <c r="E245" s="20">
        <f t="shared" si="44"/>
        <v>1</v>
      </c>
      <c r="F245" s="633"/>
      <c r="G245" s="20">
        <f t="shared" si="45"/>
        <v>1</v>
      </c>
      <c r="H245" s="633"/>
      <c r="I245" s="20">
        <f t="shared" si="46"/>
        <v>1</v>
      </c>
      <c r="J245" s="633"/>
      <c r="K245" s="20">
        <f t="shared" si="47"/>
        <v>1</v>
      </c>
      <c r="L245" s="633"/>
      <c r="M245" s="20">
        <f t="shared" si="48"/>
        <v>1</v>
      </c>
      <c r="N245" s="633"/>
      <c r="O245" s="20">
        <f t="shared" si="49"/>
        <v>1</v>
      </c>
      <c r="P245" s="633"/>
      <c r="Q245" s="20">
        <f t="shared" si="50"/>
        <v>1</v>
      </c>
      <c r="R245" s="20">
        <f t="shared" si="51"/>
        <v>0</v>
      </c>
      <c r="S245" s="306">
        <f t="shared" si="52"/>
        <v>0</v>
      </c>
    </row>
    <row r="246" spans="1:19">
      <c r="A246" s="140"/>
      <c r="B246" s="51"/>
      <c r="C246" s="20">
        <f t="shared" si="43"/>
        <v>1</v>
      </c>
      <c r="D246" s="633"/>
      <c r="E246" s="20">
        <f t="shared" si="44"/>
        <v>1</v>
      </c>
      <c r="F246" s="633"/>
      <c r="G246" s="20">
        <f t="shared" si="45"/>
        <v>1</v>
      </c>
      <c r="H246" s="633"/>
      <c r="I246" s="20">
        <f t="shared" si="46"/>
        <v>1</v>
      </c>
      <c r="J246" s="633"/>
      <c r="K246" s="20">
        <f t="shared" si="47"/>
        <v>1</v>
      </c>
      <c r="L246" s="633"/>
      <c r="M246" s="20">
        <f t="shared" si="48"/>
        <v>1</v>
      </c>
      <c r="N246" s="633"/>
      <c r="O246" s="20">
        <f t="shared" si="49"/>
        <v>1</v>
      </c>
      <c r="P246" s="633"/>
      <c r="Q246" s="20">
        <f t="shared" si="50"/>
        <v>1</v>
      </c>
      <c r="R246" s="20">
        <f t="shared" si="51"/>
        <v>0</v>
      </c>
      <c r="S246" s="306">
        <f t="shared" si="52"/>
        <v>0</v>
      </c>
    </row>
    <row r="247" spans="1:19">
      <c r="A247" s="140"/>
      <c r="B247" s="51"/>
      <c r="C247" s="20">
        <f t="shared" si="43"/>
        <v>1</v>
      </c>
      <c r="D247" s="633"/>
      <c r="E247" s="20">
        <f t="shared" si="44"/>
        <v>1</v>
      </c>
      <c r="F247" s="633"/>
      <c r="G247" s="20">
        <f t="shared" si="45"/>
        <v>1</v>
      </c>
      <c r="H247" s="633"/>
      <c r="I247" s="20">
        <f t="shared" si="46"/>
        <v>1</v>
      </c>
      <c r="J247" s="633"/>
      <c r="K247" s="20">
        <f t="shared" si="47"/>
        <v>1</v>
      </c>
      <c r="L247" s="633"/>
      <c r="M247" s="20">
        <f t="shared" si="48"/>
        <v>1</v>
      </c>
      <c r="N247" s="633"/>
      <c r="O247" s="20">
        <f t="shared" si="49"/>
        <v>1</v>
      </c>
      <c r="P247" s="633"/>
      <c r="Q247" s="20">
        <f t="shared" si="50"/>
        <v>1</v>
      </c>
      <c r="R247" s="20">
        <f t="shared" si="51"/>
        <v>0</v>
      </c>
      <c r="S247" s="306">
        <f t="shared" si="52"/>
        <v>0</v>
      </c>
    </row>
    <row r="248" spans="1:19">
      <c r="A248" s="140"/>
      <c r="B248" s="51"/>
      <c r="C248" s="20">
        <f t="shared" si="43"/>
        <v>1</v>
      </c>
      <c r="D248" s="633"/>
      <c r="E248" s="20">
        <f t="shared" si="44"/>
        <v>1</v>
      </c>
      <c r="F248" s="633"/>
      <c r="G248" s="20">
        <f t="shared" si="45"/>
        <v>1</v>
      </c>
      <c r="H248" s="633"/>
      <c r="I248" s="20">
        <f t="shared" si="46"/>
        <v>1</v>
      </c>
      <c r="J248" s="633"/>
      <c r="K248" s="20">
        <f t="shared" si="47"/>
        <v>1</v>
      </c>
      <c r="L248" s="633"/>
      <c r="M248" s="20">
        <f t="shared" si="48"/>
        <v>1</v>
      </c>
      <c r="N248" s="633"/>
      <c r="O248" s="20">
        <f t="shared" si="49"/>
        <v>1</v>
      </c>
      <c r="P248" s="633"/>
      <c r="Q248" s="20">
        <f t="shared" si="50"/>
        <v>1</v>
      </c>
      <c r="R248" s="20">
        <f t="shared" si="51"/>
        <v>0</v>
      </c>
      <c r="S248" s="306">
        <f t="shared" si="52"/>
        <v>0</v>
      </c>
    </row>
    <row r="249" spans="1:19">
      <c r="A249" s="140"/>
      <c r="B249" s="51"/>
      <c r="C249" s="20">
        <f t="shared" si="43"/>
        <v>1</v>
      </c>
      <c r="D249" s="633"/>
      <c r="E249" s="20">
        <f t="shared" si="44"/>
        <v>1</v>
      </c>
      <c r="F249" s="633"/>
      <c r="G249" s="20">
        <f t="shared" si="45"/>
        <v>1</v>
      </c>
      <c r="H249" s="633"/>
      <c r="I249" s="20">
        <f t="shared" si="46"/>
        <v>1</v>
      </c>
      <c r="J249" s="633"/>
      <c r="K249" s="20">
        <f t="shared" si="47"/>
        <v>1</v>
      </c>
      <c r="L249" s="633"/>
      <c r="M249" s="20">
        <f t="shared" si="48"/>
        <v>1</v>
      </c>
      <c r="N249" s="633"/>
      <c r="O249" s="20">
        <f t="shared" si="49"/>
        <v>1</v>
      </c>
      <c r="P249" s="633"/>
      <c r="Q249" s="20">
        <f t="shared" si="50"/>
        <v>1</v>
      </c>
      <c r="R249" s="20">
        <f t="shared" si="51"/>
        <v>0</v>
      </c>
      <c r="S249" s="306">
        <f t="shared" si="52"/>
        <v>0</v>
      </c>
    </row>
    <row r="250" spans="1:19">
      <c r="A250" s="140"/>
      <c r="B250" s="51"/>
      <c r="C250" s="20">
        <f t="shared" si="43"/>
        <v>1</v>
      </c>
      <c r="D250" s="633"/>
      <c r="E250" s="20">
        <f t="shared" si="44"/>
        <v>1</v>
      </c>
      <c r="F250" s="633"/>
      <c r="G250" s="20">
        <f t="shared" si="45"/>
        <v>1</v>
      </c>
      <c r="H250" s="633"/>
      <c r="I250" s="20">
        <f t="shared" si="46"/>
        <v>1</v>
      </c>
      <c r="J250" s="633"/>
      <c r="K250" s="20">
        <f t="shared" si="47"/>
        <v>1</v>
      </c>
      <c r="L250" s="633"/>
      <c r="M250" s="20">
        <f t="shared" si="48"/>
        <v>1</v>
      </c>
      <c r="N250" s="633"/>
      <c r="O250" s="20">
        <f t="shared" si="49"/>
        <v>1</v>
      </c>
      <c r="P250" s="633"/>
      <c r="Q250" s="20">
        <f t="shared" si="50"/>
        <v>1</v>
      </c>
      <c r="R250" s="20">
        <f t="shared" si="51"/>
        <v>0</v>
      </c>
      <c r="S250" s="306">
        <f t="shared" si="52"/>
        <v>0</v>
      </c>
    </row>
    <row r="251" spans="1:19">
      <c r="A251" s="140"/>
      <c r="B251" s="51"/>
      <c r="C251" s="20">
        <f t="shared" si="43"/>
        <v>1</v>
      </c>
      <c r="D251" s="633"/>
      <c r="E251" s="20">
        <f t="shared" si="44"/>
        <v>1</v>
      </c>
      <c r="F251" s="633"/>
      <c r="G251" s="20">
        <f t="shared" si="45"/>
        <v>1</v>
      </c>
      <c r="H251" s="633"/>
      <c r="I251" s="20">
        <f t="shared" si="46"/>
        <v>1</v>
      </c>
      <c r="J251" s="633"/>
      <c r="K251" s="20">
        <f t="shared" si="47"/>
        <v>1</v>
      </c>
      <c r="L251" s="633"/>
      <c r="M251" s="20">
        <f t="shared" si="48"/>
        <v>1</v>
      </c>
      <c r="N251" s="633"/>
      <c r="O251" s="20">
        <f t="shared" si="49"/>
        <v>1</v>
      </c>
      <c r="P251" s="633"/>
      <c r="Q251" s="20">
        <f t="shared" si="50"/>
        <v>1</v>
      </c>
      <c r="R251" s="20">
        <f t="shared" si="51"/>
        <v>0</v>
      </c>
      <c r="S251" s="306">
        <f t="shared" si="52"/>
        <v>0</v>
      </c>
    </row>
    <row r="252" spans="1:19">
      <c r="A252" s="140"/>
      <c r="B252" s="51"/>
      <c r="C252" s="20">
        <f t="shared" si="43"/>
        <v>1</v>
      </c>
      <c r="D252" s="633"/>
      <c r="E252" s="20">
        <f t="shared" si="44"/>
        <v>1</v>
      </c>
      <c r="F252" s="633"/>
      <c r="G252" s="20">
        <f t="shared" si="45"/>
        <v>1</v>
      </c>
      <c r="H252" s="633"/>
      <c r="I252" s="20">
        <f t="shared" si="46"/>
        <v>1</v>
      </c>
      <c r="J252" s="633"/>
      <c r="K252" s="20">
        <f t="shared" si="47"/>
        <v>1</v>
      </c>
      <c r="L252" s="633"/>
      <c r="M252" s="20">
        <f t="shared" si="48"/>
        <v>1</v>
      </c>
      <c r="N252" s="633"/>
      <c r="O252" s="20">
        <f t="shared" si="49"/>
        <v>1</v>
      </c>
      <c r="P252" s="633"/>
      <c r="Q252" s="20">
        <f t="shared" si="50"/>
        <v>1</v>
      </c>
      <c r="R252" s="20">
        <f t="shared" si="51"/>
        <v>0</v>
      </c>
      <c r="S252" s="306">
        <f t="shared" si="52"/>
        <v>0</v>
      </c>
    </row>
    <row r="253" spans="1:19">
      <c r="A253" s="140"/>
      <c r="B253" s="51"/>
      <c r="C253" s="20">
        <f t="shared" si="43"/>
        <v>1</v>
      </c>
      <c r="D253" s="633"/>
      <c r="E253" s="20">
        <f t="shared" si="44"/>
        <v>1</v>
      </c>
      <c r="F253" s="633"/>
      <c r="G253" s="20">
        <f t="shared" si="45"/>
        <v>1</v>
      </c>
      <c r="H253" s="633"/>
      <c r="I253" s="20">
        <f t="shared" si="46"/>
        <v>1</v>
      </c>
      <c r="J253" s="633"/>
      <c r="K253" s="20">
        <f t="shared" si="47"/>
        <v>1</v>
      </c>
      <c r="L253" s="633"/>
      <c r="M253" s="20">
        <f t="shared" si="48"/>
        <v>1</v>
      </c>
      <c r="N253" s="633"/>
      <c r="O253" s="20">
        <f t="shared" si="49"/>
        <v>1</v>
      </c>
      <c r="P253" s="633"/>
      <c r="Q253" s="20">
        <f t="shared" si="50"/>
        <v>1</v>
      </c>
      <c r="R253" s="20">
        <f t="shared" si="51"/>
        <v>0</v>
      </c>
      <c r="S253" s="306">
        <f t="shared" si="52"/>
        <v>0</v>
      </c>
    </row>
    <row r="254" spans="1:19">
      <c r="A254" s="140"/>
      <c r="B254" s="51"/>
      <c r="C254" s="20">
        <f t="shared" si="43"/>
        <v>1</v>
      </c>
      <c r="D254" s="633"/>
      <c r="E254" s="20">
        <f t="shared" si="44"/>
        <v>1</v>
      </c>
      <c r="F254" s="633"/>
      <c r="G254" s="20">
        <f t="shared" si="45"/>
        <v>1</v>
      </c>
      <c r="H254" s="633"/>
      <c r="I254" s="20">
        <f t="shared" si="46"/>
        <v>1</v>
      </c>
      <c r="J254" s="633"/>
      <c r="K254" s="20">
        <f t="shared" si="47"/>
        <v>1</v>
      </c>
      <c r="L254" s="633"/>
      <c r="M254" s="20">
        <f t="shared" si="48"/>
        <v>1</v>
      </c>
      <c r="N254" s="633"/>
      <c r="O254" s="20">
        <f t="shared" si="49"/>
        <v>1</v>
      </c>
      <c r="P254" s="633"/>
      <c r="Q254" s="20">
        <f t="shared" si="50"/>
        <v>1</v>
      </c>
      <c r="R254" s="20">
        <f t="shared" si="51"/>
        <v>0</v>
      </c>
      <c r="S254" s="306">
        <f t="shared" si="52"/>
        <v>0</v>
      </c>
    </row>
    <row r="255" spans="1:19">
      <c r="A255" s="140"/>
      <c r="B255" s="51"/>
      <c r="C255" s="20">
        <f t="shared" si="43"/>
        <v>1</v>
      </c>
      <c r="D255" s="633"/>
      <c r="E255" s="20">
        <f t="shared" si="44"/>
        <v>1</v>
      </c>
      <c r="F255" s="633"/>
      <c r="G255" s="20">
        <f t="shared" si="45"/>
        <v>1</v>
      </c>
      <c r="H255" s="633"/>
      <c r="I255" s="20">
        <f t="shared" si="46"/>
        <v>1</v>
      </c>
      <c r="J255" s="633"/>
      <c r="K255" s="20">
        <f t="shared" si="47"/>
        <v>1</v>
      </c>
      <c r="L255" s="633"/>
      <c r="M255" s="20">
        <f t="shared" si="48"/>
        <v>1</v>
      </c>
      <c r="N255" s="633"/>
      <c r="O255" s="20">
        <f t="shared" si="49"/>
        <v>1</v>
      </c>
      <c r="P255" s="633"/>
      <c r="Q255" s="20">
        <f t="shared" si="50"/>
        <v>1</v>
      </c>
      <c r="R255" s="20">
        <f t="shared" si="51"/>
        <v>0</v>
      </c>
      <c r="S255" s="306">
        <f t="shared" si="52"/>
        <v>0</v>
      </c>
    </row>
    <row r="256" spans="1:19">
      <c r="A256" s="140"/>
      <c r="B256" s="51"/>
      <c r="C256" s="20">
        <f t="shared" si="43"/>
        <v>1</v>
      </c>
      <c r="D256" s="633"/>
      <c r="E256" s="20">
        <f t="shared" si="44"/>
        <v>1</v>
      </c>
      <c r="F256" s="633"/>
      <c r="G256" s="20">
        <f t="shared" si="45"/>
        <v>1</v>
      </c>
      <c r="H256" s="633"/>
      <c r="I256" s="20">
        <f t="shared" si="46"/>
        <v>1</v>
      </c>
      <c r="J256" s="633"/>
      <c r="K256" s="20">
        <f t="shared" si="47"/>
        <v>1</v>
      </c>
      <c r="L256" s="633"/>
      <c r="M256" s="20">
        <f t="shared" si="48"/>
        <v>1</v>
      </c>
      <c r="N256" s="633"/>
      <c r="O256" s="20">
        <f t="shared" si="49"/>
        <v>1</v>
      </c>
      <c r="P256" s="633"/>
      <c r="Q256" s="20">
        <f t="shared" si="50"/>
        <v>1</v>
      </c>
      <c r="R256" s="20">
        <f t="shared" si="51"/>
        <v>0</v>
      </c>
      <c r="S256" s="306">
        <f t="shared" si="52"/>
        <v>0</v>
      </c>
    </row>
    <row r="257" spans="1:19">
      <c r="A257" s="140"/>
      <c r="B257" s="51"/>
      <c r="C257" s="20">
        <f t="shared" si="43"/>
        <v>1</v>
      </c>
      <c r="D257" s="633"/>
      <c r="E257" s="20">
        <f t="shared" si="44"/>
        <v>1</v>
      </c>
      <c r="F257" s="633"/>
      <c r="G257" s="20">
        <f t="shared" si="45"/>
        <v>1</v>
      </c>
      <c r="H257" s="633"/>
      <c r="I257" s="20">
        <f t="shared" si="46"/>
        <v>1</v>
      </c>
      <c r="J257" s="633"/>
      <c r="K257" s="20">
        <f t="shared" si="47"/>
        <v>1</v>
      </c>
      <c r="L257" s="633"/>
      <c r="M257" s="20">
        <f t="shared" si="48"/>
        <v>1</v>
      </c>
      <c r="N257" s="633"/>
      <c r="O257" s="20">
        <f t="shared" si="49"/>
        <v>1</v>
      </c>
      <c r="P257" s="633"/>
      <c r="Q257" s="20">
        <f t="shared" si="50"/>
        <v>1</v>
      </c>
      <c r="R257" s="20">
        <f t="shared" si="51"/>
        <v>0</v>
      </c>
      <c r="S257" s="306">
        <f t="shared" si="52"/>
        <v>0</v>
      </c>
    </row>
    <row r="258" spans="1:19">
      <c r="A258" s="140"/>
      <c r="B258" s="51"/>
      <c r="C258" s="20">
        <f t="shared" si="43"/>
        <v>1</v>
      </c>
      <c r="D258" s="633"/>
      <c r="E258" s="20">
        <f t="shared" si="44"/>
        <v>1</v>
      </c>
      <c r="F258" s="633"/>
      <c r="G258" s="20">
        <f t="shared" si="45"/>
        <v>1</v>
      </c>
      <c r="H258" s="633"/>
      <c r="I258" s="20">
        <f t="shared" si="46"/>
        <v>1</v>
      </c>
      <c r="J258" s="633"/>
      <c r="K258" s="20">
        <f t="shared" si="47"/>
        <v>1</v>
      </c>
      <c r="L258" s="633"/>
      <c r="M258" s="20">
        <f t="shared" si="48"/>
        <v>1</v>
      </c>
      <c r="N258" s="633"/>
      <c r="O258" s="20">
        <f t="shared" si="49"/>
        <v>1</v>
      </c>
      <c r="P258" s="633"/>
      <c r="Q258" s="20">
        <f t="shared" si="50"/>
        <v>1</v>
      </c>
      <c r="R258" s="20">
        <f t="shared" si="51"/>
        <v>0</v>
      </c>
      <c r="S258" s="306">
        <f t="shared" si="52"/>
        <v>0</v>
      </c>
    </row>
    <row r="259" spans="1:19">
      <c r="A259" s="140"/>
      <c r="B259" s="51"/>
      <c r="C259" s="20">
        <f t="shared" si="43"/>
        <v>1</v>
      </c>
      <c r="D259" s="633"/>
      <c r="E259" s="20">
        <f t="shared" si="44"/>
        <v>1</v>
      </c>
      <c r="F259" s="633"/>
      <c r="G259" s="20">
        <f t="shared" si="45"/>
        <v>1</v>
      </c>
      <c r="H259" s="633"/>
      <c r="I259" s="20">
        <f t="shared" si="46"/>
        <v>1</v>
      </c>
      <c r="J259" s="633"/>
      <c r="K259" s="20">
        <f t="shared" si="47"/>
        <v>1</v>
      </c>
      <c r="L259" s="633"/>
      <c r="M259" s="20">
        <f t="shared" si="48"/>
        <v>1</v>
      </c>
      <c r="N259" s="633"/>
      <c r="O259" s="20">
        <f t="shared" si="49"/>
        <v>1</v>
      </c>
      <c r="P259" s="633"/>
      <c r="Q259" s="20">
        <f t="shared" si="50"/>
        <v>1</v>
      </c>
      <c r="R259" s="20">
        <f t="shared" si="51"/>
        <v>0</v>
      </c>
      <c r="S259" s="306">
        <f t="shared" si="52"/>
        <v>0</v>
      </c>
    </row>
    <row r="260" spans="1:19">
      <c r="A260" s="140"/>
      <c r="B260" s="51"/>
      <c r="C260" s="20">
        <f t="shared" si="43"/>
        <v>1</v>
      </c>
      <c r="D260" s="633"/>
      <c r="E260" s="20">
        <f t="shared" si="44"/>
        <v>1</v>
      </c>
      <c r="F260" s="633"/>
      <c r="G260" s="20">
        <f t="shared" si="45"/>
        <v>1</v>
      </c>
      <c r="H260" s="633"/>
      <c r="I260" s="20">
        <f t="shared" si="46"/>
        <v>1</v>
      </c>
      <c r="J260" s="633"/>
      <c r="K260" s="20">
        <f t="shared" si="47"/>
        <v>1</v>
      </c>
      <c r="L260" s="633"/>
      <c r="M260" s="20">
        <f t="shared" si="48"/>
        <v>1</v>
      </c>
      <c r="N260" s="633"/>
      <c r="O260" s="20">
        <f t="shared" si="49"/>
        <v>1</v>
      </c>
      <c r="P260" s="633"/>
      <c r="Q260" s="20">
        <f t="shared" si="50"/>
        <v>1</v>
      </c>
      <c r="R260" s="20">
        <f t="shared" si="51"/>
        <v>0</v>
      </c>
      <c r="S260" s="306">
        <f t="shared" si="52"/>
        <v>0</v>
      </c>
    </row>
    <row r="261" spans="1:19">
      <c r="A261" s="140"/>
      <c r="B261" s="51"/>
      <c r="C261" s="20">
        <f t="shared" si="43"/>
        <v>1</v>
      </c>
      <c r="D261" s="633"/>
      <c r="E261" s="20">
        <f t="shared" si="44"/>
        <v>1</v>
      </c>
      <c r="F261" s="633"/>
      <c r="G261" s="20">
        <f t="shared" si="45"/>
        <v>1</v>
      </c>
      <c r="H261" s="633"/>
      <c r="I261" s="20">
        <f t="shared" si="46"/>
        <v>1</v>
      </c>
      <c r="J261" s="633"/>
      <c r="K261" s="20">
        <f t="shared" si="47"/>
        <v>1</v>
      </c>
      <c r="L261" s="633"/>
      <c r="M261" s="20">
        <f t="shared" si="48"/>
        <v>1</v>
      </c>
      <c r="N261" s="633"/>
      <c r="O261" s="20">
        <f t="shared" si="49"/>
        <v>1</v>
      </c>
      <c r="P261" s="633"/>
      <c r="Q261" s="20">
        <f t="shared" si="50"/>
        <v>1</v>
      </c>
      <c r="R261" s="20">
        <f t="shared" si="51"/>
        <v>0</v>
      </c>
      <c r="S261" s="306">
        <f t="shared" si="52"/>
        <v>0</v>
      </c>
    </row>
    <row r="262" spans="1:19">
      <c r="A262" s="140"/>
      <c r="B262" s="51"/>
      <c r="C262" s="20">
        <f t="shared" si="43"/>
        <v>1</v>
      </c>
      <c r="D262" s="633"/>
      <c r="E262" s="20">
        <f t="shared" si="44"/>
        <v>1</v>
      </c>
      <c r="F262" s="633"/>
      <c r="G262" s="20">
        <f t="shared" si="45"/>
        <v>1</v>
      </c>
      <c r="H262" s="633"/>
      <c r="I262" s="20">
        <f t="shared" si="46"/>
        <v>1</v>
      </c>
      <c r="J262" s="633"/>
      <c r="K262" s="20">
        <f t="shared" si="47"/>
        <v>1</v>
      </c>
      <c r="L262" s="633"/>
      <c r="M262" s="20">
        <f t="shared" si="48"/>
        <v>1</v>
      </c>
      <c r="N262" s="633"/>
      <c r="O262" s="20">
        <f t="shared" si="49"/>
        <v>1</v>
      </c>
      <c r="P262" s="633"/>
      <c r="Q262" s="20">
        <f t="shared" si="50"/>
        <v>1</v>
      </c>
      <c r="R262" s="20">
        <f t="shared" si="51"/>
        <v>0</v>
      </c>
      <c r="S262" s="306">
        <f t="shared" si="52"/>
        <v>0</v>
      </c>
    </row>
    <row r="263" spans="1:19">
      <c r="A263" s="140"/>
      <c r="B263" s="51"/>
      <c r="C263" s="20">
        <f t="shared" si="43"/>
        <v>1</v>
      </c>
      <c r="D263" s="633"/>
      <c r="E263" s="20">
        <f t="shared" si="44"/>
        <v>1</v>
      </c>
      <c r="F263" s="633"/>
      <c r="G263" s="20">
        <f t="shared" si="45"/>
        <v>1</v>
      </c>
      <c r="H263" s="633"/>
      <c r="I263" s="20">
        <f t="shared" si="46"/>
        <v>1</v>
      </c>
      <c r="J263" s="633"/>
      <c r="K263" s="20">
        <f t="shared" si="47"/>
        <v>1</v>
      </c>
      <c r="L263" s="633"/>
      <c r="M263" s="20">
        <f t="shared" si="48"/>
        <v>1</v>
      </c>
      <c r="N263" s="633"/>
      <c r="O263" s="20">
        <f t="shared" si="49"/>
        <v>1</v>
      </c>
      <c r="P263" s="633"/>
      <c r="Q263" s="20">
        <f t="shared" si="50"/>
        <v>1</v>
      </c>
      <c r="R263" s="20">
        <f t="shared" si="51"/>
        <v>0</v>
      </c>
      <c r="S263" s="306">
        <f t="shared" si="52"/>
        <v>0</v>
      </c>
    </row>
    <row r="264" spans="1:19">
      <c r="A264" s="140"/>
      <c r="B264" s="51"/>
      <c r="C264" s="20">
        <f t="shared" si="43"/>
        <v>1</v>
      </c>
      <c r="D264" s="633"/>
      <c r="E264" s="20">
        <f t="shared" si="44"/>
        <v>1</v>
      </c>
      <c r="F264" s="633"/>
      <c r="G264" s="20">
        <f t="shared" si="45"/>
        <v>1</v>
      </c>
      <c r="H264" s="633"/>
      <c r="I264" s="20">
        <f t="shared" si="46"/>
        <v>1</v>
      </c>
      <c r="J264" s="633"/>
      <c r="K264" s="20">
        <f t="shared" si="47"/>
        <v>1</v>
      </c>
      <c r="L264" s="633"/>
      <c r="M264" s="20">
        <f t="shared" si="48"/>
        <v>1</v>
      </c>
      <c r="N264" s="633"/>
      <c r="O264" s="20">
        <f t="shared" si="49"/>
        <v>1</v>
      </c>
      <c r="P264" s="633"/>
      <c r="Q264" s="20">
        <f t="shared" si="50"/>
        <v>1</v>
      </c>
      <c r="R264" s="20">
        <f t="shared" si="51"/>
        <v>0</v>
      </c>
      <c r="S264" s="306">
        <f t="shared" si="52"/>
        <v>0</v>
      </c>
    </row>
    <row r="265" spans="1:19">
      <c r="A265" s="140"/>
      <c r="B265" s="51"/>
      <c r="C265" s="20">
        <f t="shared" si="43"/>
        <v>1</v>
      </c>
      <c r="D265" s="633"/>
      <c r="E265" s="20">
        <f t="shared" si="44"/>
        <v>1</v>
      </c>
      <c r="F265" s="633"/>
      <c r="G265" s="20">
        <f t="shared" si="45"/>
        <v>1</v>
      </c>
      <c r="H265" s="633"/>
      <c r="I265" s="20">
        <f t="shared" si="46"/>
        <v>1</v>
      </c>
      <c r="J265" s="633"/>
      <c r="K265" s="20">
        <f t="shared" si="47"/>
        <v>1</v>
      </c>
      <c r="L265" s="633"/>
      <c r="M265" s="20">
        <f t="shared" si="48"/>
        <v>1</v>
      </c>
      <c r="N265" s="633"/>
      <c r="O265" s="20">
        <f t="shared" si="49"/>
        <v>1</v>
      </c>
      <c r="P265" s="633"/>
      <c r="Q265" s="20">
        <f t="shared" si="50"/>
        <v>1</v>
      </c>
      <c r="R265" s="20">
        <f t="shared" si="51"/>
        <v>0</v>
      </c>
      <c r="S265" s="306">
        <f t="shared" si="52"/>
        <v>0</v>
      </c>
    </row>
    <row r="266" spans="1:19">
      <c r="A266" s="140"/>
      <c r="B266" s="51"/>
      <c r="C266" s="20">
        <f t="shared" si="43"/>
        <v>1</v>
      </c>
      <c r="D266" s="633"/>
      <c r="E266" s="20">
        <f t="shared" si="44"/>
        <v>1</v>
      </c>
      <c r="F266" s="633"/>
      <c r="G266" s="20">
        <f t="shared" si="45"/>
        <v>1</v>
      </c>
      <c r="H266" s="633"/>
      <c r="I266" s="20">
        <f t="shared" si="46"/>
        <v>1</v>
      </c>
      <c r="J266" s="633"/>
      <c r="K266" s="20">
        <f t="shared" si="47"/>
        <v>1</v>
      </c>
      <c r="L266" s="633"/>
      <c r="M266" s="20">
        <f t="shared" si="48"/>
        <v>1</v>
      </c>
      <c r="N266" s="633"/>
      <c r="O266" s="20">
        <f t="shared" si="49"/>
        <v>1</v>
      </c>
      <c r="P266" s="633"/>
      <c r="Q266" s="20">
        <f t="shared" si="50"/>
        <v>1</v>
      </c>
      <c r="R266" s="20">
        <f t="shared" si="51"/>
        <v>0</v>
      </c>
      <c r="S266" s="306">
        <f t="shared" si="52"/>
        <v>0</v>
      </c>
    </row>
    <row r="267" spans="1:19">
      <c r="A267" s="140"/>
      <c r="B267" s="51"/>
      <c r="C267" s="20">
        <f t="shared" si="43"/>
        <v>1</v>
      </c>
      <c r="D267" s="633"/>
      <c r="E267" s="20">
        <f t="shared" si="44"/>
        <v>1</v>
      </c>
      <c r="F267" s="633"/>
      <c r="G267" s="20">
        <f t="shared" si="45"/>
        <v>1</v>
      </c>
      <c r="H267" s="633"/>
      <c r="I267" s="20">
        <f t="shared" si="46"/>
        <v>1</v>
      </c>
      <c r="J267" s="633"/>
      <c r="K267" s="20">
        <f t="shared" si="47"/>
        <v>1</v>
      </c>
      <c r="L267" s="633"/>
      <c r="M267" s="20">
        <f t="shared" si="48"/>
        <v>1</v>
      </c>
      <c r="N267" s="633"/>
      <c r="O267" s="20">
        <f t="shared" si="49"/>
        <v>1</v>
      </c>
      <c r="P267" s="633"/>
      <c r="Q267" s="20">
        <f t="shared" si="50"/>
        <v>1</v>
      </c>
      <c r="R267" s="20">
        <f t="shared" si="51"/>
        <v>0</v>
      </c>
      <c r="S267" s="306">
        <f t="shared" si="52"/>
        <v>0</v>
      </c>
    </row>
    <row r="268" spans="1:19">
      <c r="A268" s="140"/>
      <c r="B268" s="51"/>
      <c r="C268" s="20">
        <f t="shared" si="43"/>
        <v>1</v>
      </c>
      <c r="D268" s="633"/>
      <c r="E268" s="20">
        <f t="shared" si="44"/>
        <v>1</v>
      </c>
      <c r="F268" s="633"/>
      <c r="G268" s="20">
        <f t="shared" si="45"/>
        <v>1</v>
      </c>
      <c r="H268" s="633"/>
      <c r="I268" s="20">
        <f t="shared" si="46"/>
        <v>1</v>
      </c>
      <c r="J268" s="633"/>
      <c r="K268" s="20">
        <f t="shared" si="47"/>
        <v>1</v>
      </c>
      <c r="L268" s="633"/>
      <c r="M268" s="20">
        <f t="shared" si="48"/>
        <v>1</v>
      </c>
      <c r="N268" s="633"/>
      <c r="O268" s="20">
        <f t="shared" si="49"/>
        <v>1</v>
      </c>
      <c r="P268" s="633"/>
      <c r="Q268" s="20">
        <f t="shared" si="50"/>
        <v>1</v>
      </c>
      <c r="R268" s="20">
        <f t="shared" si="51"/>
        <v>0</v>
      </c>
      <c r="S268" s="306">
        <f t="shared" si="52"/>
        <v>0</v>
      </c>
    </row>
    <row r="269" spans="1:19">
      <c r="A269" s="140"/>
      <c r="B269" s="51"/>
      <c r="C269" s="20">
        <f t="shared" si="43"/>
        <v>1</v>
      </c>
      <c r="D269" s="633"/>
      <c r="E269" s="20">
        <f t="shared" si="44"/>
        <v>1</v>
      </c>
      <c r="F269" s="633"/>
      <c r="G269" s="20">
        <f t="shared" si="45"/>
        <v>1</v>
      </c>
      <c r="H269" s="633"/>
      <c r="I269" s="20">
        <f t="shared" si="46"/>
        <v>1</v>
      </c>
      <c r="J269" s="633"/>
      <c r="K269" s="20">
        <f t="shared" si="47"/>
        <v>1</v>
      </c>
      <c r="L269" s="633"/>
      <c r="M269" s="20">
        <f t="shared" si="48"/>
        <v>1</v>
      </c>
      <c r="N269" s="633"/>
      <c r="O269" s="20">
        <f t="shared" si="49"/>
        <v>1</v>
      </c>
      <c r="P269" s="633"/>
      <c r="Q269" s="20">
        <f t="shared" si="50"/>
        <v>1</v>
      </c>
      <c r="R269" s="20">
        <f t="shared" si="51"/>
        <v>0</v>
      </c>
      <c r="S269" s="306">
        <f t="shared" si="52"/>
        <v>0</v>
      </c>
    </row>
    <row r="270" spans="1:19">
      <c r="A270" s="140"/>
      <c r="B270" s="51"/>
      <c r="C270" s="20">
        <f t="shared" si="43"/>
        <v>1</v>
      </c>
      <c r="D270" s="633"/>
      <c r="E270" s="20">
        <f t="shared" si="44"/>
        <v>1</v>
      </c>
      <c r="F270" s="633"/>
      <c r="G270" s="20">
        <f t="shared" si="45"/>
        <v>1</v>
      </c>
      <c r="H270" s="633"/>
      <c r="I270" s="20">
        <f t="shared" si="46"/>
        <v>1</v>
      </c>
      <c r="J270" s="633"/>
      <c r="K270" s="20">
        <f t="shared" si="47"/>
        <v>1</v>
      </c>
      <c r="L270" s="633"/>
      <c r="M270" s="20">
        <f t="shared" si="48"/>
        <v>1</v>
      </c>
      <c r="N270" s="633"/>
      <c r="O270" s="20">
        <f t="shared" si="49"/>
        <v>1</v>
      </c>
      <c r="P270" s="633"/>
      <c r="Q270" s="20">
        <f t="shared" si="50"/>
        <v>1</v>
      </c>
      <c r="R270" s="20">
        <f t="shared" si="51"/>
        <v>0</v>
      </c>
      <c r="S270" s="306">
        <f t="shared" si="52"/>
        <v>0</v>
      </c>
    </row>
    <row r="271" spans="1:19">
      <c r="A271" s="140"/>
      <c r="B271" s="51"/>
      <c r="C271" s="20">
        <f t="shared" si="43"/>
        <v>1</v>
      </c>
      <c r="D271" s="633"/>
      <c r="E271" s="20">
        <f t="shared" si="44"/>
        <v>1</v>
      </c>
      <c r="F271" s="633"/>
      <c r="G271" s="20">
        <f t="shared" si="45"/>
        <v>1</v>
      </c>
      <c r="H271" s="633"/>
      <c r="I271" s="20">
        <f t="shared" si="46"/>
        <v>1</v>
      </c>
      <c r="J271" s="633"/>
      <c r="K271" s="20">
        <f t="shared" si="47"/>
        <v>1</v>
      </c>
      <c r="L271" s="633"/>
      <c r="M271" s="20">
        <f t="shared" si="48"/>
        <v>1</v>
      </c>
      <c r="N271" s="633"/>
      <c r="O271" s="20">
        <f t="shared" si="49"/>
        <v>1</v>
      </c>
      <c r="P271" s="633"/>
      <c r="Q271" s="20">
        <f t="shared" si="50"/>
        <v>1</v>
      </c>
      <c r="R271" s="20">
        <f t="shared" si="51"/>
        <v>0</v>
      </c>
      <c r="S271" s="306">
        <f t="shared" si="52"/>
        <v>0</v>
      </c>
    </row>
    <row r="272" spans="1:19">
      <c r="A272" s="140"/>
      <c r="B272" s="51"/>
      <c r="C272" s="20">
        <f t="shared" si="43"/>
        <v>1</v>
      </c>
      <c r="D272" s="633"/>
      <c r="E272" s="20">
        <f t="shared" si="44"/>
        <v>1</v>
      </c>
      <c r="F272" s="633"/>
      <c r="G272" s="20">
        <f t="shared" si="45"/>
        <v>1</v>
      </c>
      <c r="H272" s="633"/>
      <c r="I272" s="20">
        <f t="shared" si="46"/>
        <v>1</v>
      </c>
      <c r="J272" s="633"/>
      <c r="K272" s="20">
        <f t="shared" si="47"/>
        <v>1</v>
      </c>
      <c r="L272" s="633"/>
      <c r="M272" s="20">
        <f t="shared" si="48"/>
        <v>1</v>
      </c>
      <c r="N272" s="633"/>
      <c r="O272" s="20">
        <f t="shared" si="49"/>
        <v>1</v>
      </c>
      <c r="P272" s="633"/>
      <c r="Q272" s="20">
        <f t="shared" si="50"/>
        <v>1</v>
      </c>
      <c r="R272" s="20">
        <f t="shared" si="51"/>
        <v>0</v>
      </c>
      <c r="S272" s="306">
        <f t="shared" si="52"/>
        <v>0</v>
      </c>
    </row>
    <row r="273" spans="1:19">
      <c r="A273" s="140"/>
      <c r="B273" s="51"/>
      <c r="C273" s="20">
        <f t="shared" si="43"/>
        <v>1</v>
      </c>
      <c r="D273" s="633"/>
      <c r="E273" s="20">
        <f t="shared" si="44"/>
        <v>1</v>
      </c>
      <c r="F273" s="633"/>
      <c r="G273" s="20">
        <f t="shared" si="45"/>
        <v>1</v>
      </c>
      <c r="H273" s="633"/>
      <c r="I273" s="20">
        <f t="shared" si="46"/>
        <v>1</v>
      </c>
      <c r="J273" s="633"/>
      <c r="K273" s="20">
        <f t="shared" si="47"/>
        <v>1</v>
      </c>
      <c r="L273" s="633"/>
      <c r="M273" s="20">
        <f t="shared" si="48"/>
        <v>1</v>
      </c>
      <c r="N273" s="633"/>
      <c r="O273" s="20">
        <f t="shared" si="49"/>
        <v>1</v>
      </c>
      <c r="P273" s="633"/>
      <c r="Q273" s="20">
        <f t="shared" si="50"/>
        <v>1</v>
      </c>
      <c r="R273" s="20">
        <f t="shared" si="51"/>
        <v>0</v>
      </c>
      <c r="S273" s="306">
        <f t="shared" si="52"/>
        <v>0</v>
      </c>
    </row>
    <row r="274" spans="1:19">
      <c r="A274" s="140"/>
      <c r="B274" s="51"/>
      <c r="C274" s="20">
        <f t="shared" si="43"/>
        <v>1</v>
      </c>
      <c r="D274" s="633"/>
      <c r="E274" s="20">
        <f t="shared" si="44"/>
        <v>1</v>
      </c>
      <c r="F274" s="633"/>
      <c r="G274" s="20">
        <f t="shared" si="45"/>
        <v>1</v>
      </c>
      <c r="H274" s="633"/>
      <c r="I274" s="20">
        <f t="shared" si="46"/>
        <v>1</v>
      </c>
      <c r="J274" s="633"/>
      <c r="K274" s="20">
        <f t="shared" si="47"/>
        <v>1</v>
      </c>
      <c r="L274" s="633"/>
      <c r="M274" s="20">
        <f t="shared" si="48"/>
        <v>1</v>
      </c>
      <c r="N274" s="633"/>
      <c r="O274" s="20">
        <f t="shared" si="49"/>
        <v>1</v>
      </c>
      <c r="P274" s="633"/>
      <c r="Q274" s="20">
        <f t="shared" si="50"/>
        <v>1</v>
      </c>
      <c r="R274" s="20">
        <f t="shared" si="51"/>
        <v>0</v>
      </c>
      <c r="S274" s="306">
        <f t="shared" si="52"/>
        <v>0</v>
      </c>
    </row>
    <row r="275" spans="1:19">
      <c r="A275" s="140"/>
      <c r="B275" s="51"/>
      <c r="C275" s="20">
        <f t="shared" si="43"/>
        <v>1</v>
      </c>
      <c r="D275" s="633"/>
      <c r="E275" s="20">
        <f t="shared" si="44"/>
        <v>1</v>
      </c>
      <c r="F275" s="633"/>
      <c r="G275" s="20">
        <f t="shared" si="45"/>
        <v>1</v>
      </c>
      <c r="H275" s="633"/>
      <c r="I275" s="20">
        <f t="shared" si="46"/>
        <v>1</v>
      </c>
      <c r="J275" s="633"/>
      <c r="K275" s="20">
        <f t="shared" si="47"/>
        <v>1</v>
      </c>
      <c r="L275" s="633"/>
      <c r="M275" s="20">
        <f t="shared" si="48"/>
        <v>1</v>
      </c>
      <c r="N275" s="633"/>
      <c r="O275" s="20">
        <f t="shared" si="49"/>
        <v>1</v>
      </c>
      <c r="P275" s="633"/>
      <c r="Q275" s="20">
        <f t="shared" si="50"/>
        <v>1</v>
      </c>
      <c r="R275" s="20">
        <f t="shared" si="51"/>
        <v>0</v>
      </c>
      <c r="S275" s="306">
        <f t="shared" si="52"/>
        <v>0</v>
      </c>
    </row>
    <row r="276" spans="1:19">
      <c r="A276" s="140"/>
      <c r="B276" s="51"/>
      <c r="C276" s="20">
        <f t="shared" si="43"/>
        <v>1</v>
      </c>
      <c r="D276" s="633"/>
      <c r="E276" s="20">
        <f t="shared" si="44"/>
        <v>1</v>
      </c>
      <c r="F276" s="633"/>
      <c r="G276" s="20">
        <f t="shared" si="45"/>
        <v>1</v>
      </c>
      <c r="H276" s="633"/>
      <c r="I276" s="20">
        <f t="shared" si="46"/>
        <v>1</v>
      </c>
      <c r="J276" s="633"/>
      <c r="K276" s="20">
        <f t="shared" si="47"/>
        <v>1</v>
      </c>
      <c r="L276" s="633"/>
      <c r="M276" s="20">
        <f t="shared" si="48"/>
        <v>1</v>
      </c>
      <c r="N276" s="633"/>
      <c r="O276" s="20">
        <f t="shared" si="49"/>
        <v>1</v>
      </c>
      <c r="P276" s="633"/>
      <c r="Q276" s="20">
        <f t="shared" si="50"/>
        <v>1</v>
      </c>
      <c r="R276" s="20">
        <f t="shared" si="51"/>
        <v>0</v>
      </c>
      <c r="S276" s="306">
        <f t="shared" si="52"/>
        <v>0</v>
      </c>
    </row>
    <row r="277" spans="1:19">
      <c r="A277" s="140"/>
      <c r="B277" s="51"/>
      <c r="C277" s="20">
        <f t="shared" si="43"/>
        <v>1</v>
      </c>
      <c r="D277" s="633"/>
      <c r="E277" s="20">
        <f t="shared" si="44"/>
        <v>1</v>
      </c>
      <c r="F277" s="633"/>
      <c r="G277" s="20">
        <f t="shared" si="45"/>
        <v>1</v>
      </c>
      <c r="H277" s="633"/>
      <c r="I277" s="20">
        <f t="shared" si="46"/>
        <v>1</v>
      </c>
      <c r="J277" s="633"/>
      <c r="K277" s="20">
        <f t="shared" si="47"/>
        <v>1</v>
      </c>
      <c r="L277" s="633"/>
      <c r="M277" s="20">
        <f t="shared" si="48"/>
        <v>1</v>
      </c>
      <c r="N277" s="633"/>
      <c r="O277" s="20">
        <f t="shared" si="49"/>
        <v>1</v>
      </c>
      <c r="P277" s="633"/>
      <c r="Q277" s="20">
        <f t="shared" si="50"/>
        <v>1</v>
      </c>
      <c r="R277" s="20">
        <f t="shared" si="51"/>
        <v>0</v>
      </c>
      <c r="S277" s="306">
        <f t="shared" si="52"/>
        <v>0</v>
      </c>
    </row>
    <row r="278" spans="1:19">
      <c r="A278" s="140"/>
      <c r="B278" s="51"/>
      <c r="C278" s="20">
        <f t="shared" si="43"/>
        <v>1</v>
      </c>
      <c r="D278" s="633"/>
      <c r="E278" s="20">
        <f t="shared" si="44"/>
        <v>1</v>
      </c>
      <c r="F278" s="633"/>
      <c r="G278" s="20">
        <f t="shared" si="45"/>
        <v>1</v>
      </c>
      <c r="H278" s="633"/>
      <c r="I278" s="20">
        <f t="shared" si="46"/>
        <v>1</v>
      </c>
      <c r="J278" s="633"/>
      <c r="K278" s="20">
        <f t="shared" si="47"/>
        <v>1</v>
      </c>
      <c r="L278" s="633"/>
      <c r="M278" s="20">
        <f t="shared" si="48"/>
        <v>1</v>
      </c>
      <c r="N278" s="633"/>
      <c r="O278" s="20">
        <f t="shared" si="49"/>
        <v>1</v>
      </c>
      <c r="P278" s="633"/>
      <c r="Q278" s="20">
        <f t="shared" si="50"/>
        <v>1</v>
      </c>
      <c r="R278" s="20">
        <f t="shared" si="51"/>
        <v>0</v>
      </c>
      <c r="S278" s="306">
        <f t="shared" si="52"/>
        <v>0</v>
      </c>
    </row>
    <row r="279" spans="1:19">
      <c r="A279" s="140"/>
      <c r="B279" s="51"/>
      <c r="C279" s="20">
        <f t="shared" si="43"/>
        <v>1</v>
      </c>
      <c r="D279" s="633"/>
      <c r="E279" s="20">
        <f t="shared" si="44"/>
        <v>1</v>
      </c>
      <c r="F279" s="633"/>
      <c r="G279" s="20">
        <f t="shared" si="45"/>
        <v>1</v>
      </c>
      <c r="H279" s="633"/>
      <c r="I279" s="20">
        <f t="shared" si="46"/>
        <v>1</v>
      </c>
      <c r="J279" s="633"/>
      <c r="K279" s="20">
        <f t="shared" si="47"/>
        <v>1</v>
      </c>
      <c r="L279" s="633"/>
      <c r="M279" s="20">
        <f t="shared" si="48"/>
        <v>1</v>
      </c>
      <c r="N279" s="633"/>
      <c r="O279" s="20">
        <f t="shared" si="49"/>
        <v>1</v>
      </c>
      <c r="P279" s="633"/>
      <c r="Q279" s="20">
        <f t="shared" si="50"/>
        <v>1</v>
      </c>
      <c r="R279" s="20">
        <f t="shared" si="51"/>
        <v>0</v>
      </c>
      <c r="S279" s="306">
        <f t="shared" si="52"/>
        <v>0</v>
      </c>
    </row>
    <row r="280" spans="1:19">
      <c r="A280" s="140"/>
      <c r="B280" s="51"/>
      <c r="C280" s="20">
        <f t="shared" si="43"/>
        <v>1</v>
      </c>
      <c r="D280" s="633"/>
      <c r="E280" s="20">
        <f t="shared" si="44"/>
        <v>1</v>
      </c>
      <c r="F280" s="633"/>
      <c r="G280" s="20">
        <f t="shared" si="45"/>
        <v>1</v>
      </c>
      <c r="H280" s="633"/>
      <c r="I280" s="20">
        <f t="shared" si="46"/>
        <v>1</v>
      </c>
      <c r="J280" s="633"/>
      <c r="K280" s="20">
        <f t="shared" si="47"/>
        <v>1</v>
      </c>
      <c r="L280" s="633"/>
      <c r="M280" s="20">
        <f t="shared" si="48"/>
        <v>1</v>
      </c>
      <c r="N280" s="633"/>
      <c r="O280" s="20">
        <f t="shared" si="49"/>
        <v>1</v>
      </c>
      <c r="P280" s="633"/>
      <c r="Q280" s="20">
        <f t="shared" si="50"/>
        <v>1</v>
      </c>
      <c r="R280" s="20">
        <f t="shared" si="51"/>
        <v>0</v>
      </c>
      <c r="S280" s="306">
        <f t="shared" si="52"/>
        <v>0</v>
      </c>
    </row>
    <row r="281" spans="1:19">
      <c r="A281" s="140"/>
      <c r="B281" s="51"/>
      <c r="C281" s="20">
        <f t="shared" si="43"/>
        <v>1</v>
      </c>
      <c r="D281" s="633"/>
      <c r="E281" s="20">
        <f t="shared" si="44"/>
        <v>1</v>
      </c>
      <c r="F281" s="633"/>
      <c r="G281" s="20">
        <f t="shared" si="45"/>
        <v>1</v>
      </c>
      <c r="H281" s="633"/>
      <c r="I281" s="20">
        <f t="shared" si="46"/>
        <v>1</v>
      </c>
      <c r="J281" s="633"/>
      <c r="K281" s="20">
        <f t="shared" si="47"/>
        <v>1</v>
      </c>
      <c r="L281" s="633"/>
      <c r="M281" s="20">
        <f t="shared" si="48"/>
        <v>1</v>
      </c>
      <c r="N281" s="633"/>
      <c r="O281" s="20">
        <f t="shared" si="49"/>
        <v>1</v>
      </c>
      <c r="P281" s="633"/>
      <c r="Q281" s="20">
        <f t="shared" si="50"/>
        <v>1</v>
      </c>
      <c r="R281" s="20">
        <f t="shared" si="51"/>
        <v>0</v>
      </c>
      <c r="S281" s="306">
        <f t="shared" si="52"/>
        <v>0</v>
      </c>
    </row>
    <row r="282" spans="1:19">
      <c r="A282" s="140"/>
      <c r="B282" s="51"/>
      <c r="C282" s="20">
        <f t="shared" ref="C282:C345" si="53">IF(B282="",1,(LOOKUP(B282,$3:$3,$4:$4)-LOOKUP($B$24,$3:$3,$4:$4)+100)/100)</f>
        <v>1</v>
      </c>
      <c r="D282" s="633"/>
      <c r="E282" s="20">
        <f t="shared" ref="E282:E345" si="54">(SUMIF($5:$5,D282,$6:$6)-SUMIF($5:$5,$D$24,$6:$6)+100)/100</f>
        <v>1</v>
      </c>
      <c r="F282" s="633"/>
      <c r="G282" s="20">
        <f t="shared" ref="G282:G345" si="55">(SUMIF($7:$7,F282,$8:$8)-SUMIF($7:$7,$F$24,$8:$8)+100)/100</f>
        <v>1</v>
      </c>
      <c r="H282" s="633"/>
      <c r="I282" s="20">
        <f t="shared" ref="I282:I345" si="56">(SUMIF($9:$9,H282,$10:$10)-SUMIF($9:$9,$H$24,$10:$10)+100)/100</f>
        <v>1</v>
      </c>
      <c r="J282" s="633"/>
      <c r="K282" s="20">
        <f t="shared" ref="K282:K345" si="57">(SUMIF($11:$11,J282,$12:$12)-SUMIF($11:$11,$J$24,$12:$12)+100)/100</f>
        <v>1</v>
      </c>
      <c r="L282" s="633"/>
      <c r="M282" s="20">
        <f t="shared" ref="M282:M345" si="58">(SUMIF($13:$13,L282,$14:$14)-SUMIF($13:$13,$L$24,$14:$14)+100)/100</f>
        <v>1</v>
      </c>
      <c r="N282" s="633"/>
      <c r="O282" s="20">
        <f t="shared" ref="O282:O345" si="59">(SUMIF($15:$15,N282,$16:$16)-SUMIF($15:$15,$N$24,$16:$16)+100)/100</f>
        <v>1</v>
      </c>
      <c r="P282" s="633"/>
      <c r="Q282" s="20">
        <f t="shared" ref="Q282:Q345" si="60">(SUMIF($17:$17,P282,$18:$18)-SUMIF($17:$17,$P$24,$18:$18)+100)/100</f>
        <v>1</v>
      </c>
      <c r="R282" s="20">
        <f t="shared" ref="R282:R345" si="61">IF(B282="",0,ROUND($R$24*C282*E282*G282*I282*K282*M282*O282*Q282,0))</f>
        <v>0</v>
      </c>
      <c r="S282" s="306">
        <f t="shared" si="52"/>
        <v>0</v>
      </c>
    </row>
    <row r="283" spans="1:19">
      <c r="A283" s="140"/>
      <c r="B283" s="51"/>
      <c r="C283" s="20">
        <f t="shared" si="53"/>
        <v>1</v>
      </c>
      <c r="D283" s="633"/>
      <c r="E283" s="20">
        <f t="shared" si="54"/>
        <v>1</v>
      </c>
      <c r="F283" s="633"/>
      <c r="G283" s="20">
        <f t="shared" si="55"/>
        <v>1</v>
      </c>
      <c r="H283" s="633"/>
      <c r="I283" s="20">
        <f t="shared" si="56"/>
        <v>1</v>
      </c>
      <c r="J283" s="633"/>
      <c r="K283" s="20">
        <f t="shared" si="57"/>
        <v>1</v>
      </c>
      <c r="L283" s="633"/>
      <c r="M283" s="20">
        <f t="shared" si="58"/>
        <v>1</v>
      </c>
      <c r="N283" s="633"/>
      <c r="O283" s="20">
        <f t="shared" si="59"/>
        <v>1</v>
      </c>
      <c r="P283" s="633"/>
      <c r="Q283" s="20">
        <f t="shared" si="60"/>
        <v>1</v>
      </c>
      <c r="R283" s="20">
        <f t="shared" si="61"/>
        <v>0</v>
      </c>
      <c r="S283" s="306">
        <f t="shared" si="52"/>
        <v>0</v>
      </c>
    </row>
    <row r="284" spans="1:19">
      <c r="A284" s="140"/>
      <c r="B284" s="51"/>
      <c r="C284" s="20">
        <f t="shared" si="53"/>
        <v>1</v>
      </c>
      <c r="D284" s="633"/>
      <c r="E284" s="20">
        <f t="shared" si="54"/>
        <v>1</v>
      </c>
      <c r="F284" s="633"/>
      <c r="G284" s="20">
        <f t="shared" si="55"/>
        <v>1</v>
      </c>
      <c r="H284" s="633"/>
      <c r="I284" s="20">
        <f t="shared" si="56"/>
        <v>1</v>
      </c>
      <c r="J284" s="633"/>
      <c r="K284" s="20">
        <f t="shared" si="57"/>
        <v>1</v>
      </c>
      <c r="L284" s="633"/>
      <c r="M284" s="20">
        <f t="shared" si="58"/>
        <v>1</v>
      </c>
      <c r="N284" s="633"/>
      <c r="O284" s="20">
        <f t="shared" si="59"/>
        <v>1</v>
      </c>
      <c r="P284" s="633"/>
      <c r="Q284" s="20">
        <f t="shared" si="60"/>
        <v>1</v>
      </c>
      <c r="R284" s="20">
        <f t="shared" si="61"/>
        <v>0</v>
      </c>
      <c r="S284" s="306">
        <f t="shared" si="52"/>
        <v>0</v>
      </c>
    </row>
    <row r="285" spans="1:19">
      <c r="A285" s="140"/>
      <c r="B285" s="51"/>
      <c r="C285" s="20">
        <f t="shared" si="53"/>
        <v>1</v>
      </c>
      <c r="D285" s="633"/>
      <c r="E285" s="20">
        <f t="shared" si="54"/>
        <v>1</v>
      </c>
      <c r="F285" s="633"/>
      <c r="G285" s="20">
        <f t="shared" si="55"/>
        <v>1</v>
      </c>
      <c r="H285" s="633"/>
      <c r="I285" s="20">
        <f t="shared" si="56"/>
        <v>1</v>
      </c>
      <c r="J285" s="633"/>
      <c r="K285" s="20">
        <f t="shared" si="57"/>
        <v>1</v>
      </c>
      <c r="L285" s="633"/>
      <c r="M285" s="20">
        <f t="shared" si="58"/>
        <v>1</v>
      </c>
      <c r="N285" s="633"/>
      <c r="O285" s="20">
        <f t="shared" si="59"/>
        <v>1</v>
      </c>
      <c r="P285" s="633"/>
      <c r="Q285" s="20">
        <f t="shared" si="60"/>
        <v>1</v>
      </c>
      <c r="R285" s="20">
        <f t="shared" si="61"/>
        <v>0</v>
      </c>
      <c r="S285" s="306">
        <f t="shared" si="52"/>
        <v>0</v>
      </c>
    </row>
    <row r="286" spans="1:19">
      <c r="A286" s="140"/>
      <c r="B286" s="51"/>
      <c r="C286" s="20">
        <f t="shared" si="53"/>
        <v>1</v>
      </c>
      <c r="D286" s="633"/>
      <c r="E286" s="20">
        <f t="shared" si="54"/>
        <v>1</v>
      </c>
      <c r="F286" s="633"/>
      <c r="G286" s="20">
        <f t="shared" si="55"/>
        <v>1</v>
      </c>
      <c r="H286" s="633"/>
      <c r="I286" s="20">
        <f t="shared" si="56"/>
        <v>1</v>
      </c>
      <c r="J286" s="633"/>
      <c r="K286" s="20">
        <f t="shared" si="57"/>
        <v>1</v>
      </c>
      <c r="L286" s="633"/>
      <c r="M286" s="20">
        <f t="shared" si="58"/>
        <v>1</v>
      </c>
      <c r="N286" s="633"/>
      <c r="O286" s="20">
        <f t="shared" si="59"/>
        <v>1</v>
      </c>
      <c r="P286" s="633"/>
      <c r="Q286" s="20">
        <f t="shared" si="60"/>
        <v>1</v>
      </c>
      <c r="R286" s="20">
        <f t="shared" si="61"/>
        <v>0</v>
      </c>
      <c r="S286" s="306">
        <f t="shared" si="52"/>
        <v>0</v>
      </c>
    </row>
    <row r="287" spans="1:19">
      <c r="A287" s="140"/>
      <c r="B287" s="51"/>
      <c r="C287" s="20">
        <f t="shared" si="53"/>
        <v>1</v>
      </c>
      <c r="D287" s="633"/>
      <c r="E287" s="20">
        <f t="shared" si="54"/>
        <v>1</v>
      </c>
      <c r="F287" s="633"/>
      <c r="G287" s="20">
        <f t="shared" si="55"/>
        <v>1</v>
      </c>
      <c r="H287" s="633"/>
      <c r="I287" s="20">
        <f t="shared" si="56"/>
        <v>1</v>
      </c>
      <c r="J287" s="633"/>
      <c r="K287" s="20">
        <f t="shared" si="57"/>
        <v>1</v>
      </c>
      <c r="L287" s="633"/>
      <c r="M287" s="20">
        <f t="shared" si="58"/>
        <v>1</v>
      </c>
      <c r="N287" s="633"/>
      <c r="O287" s="20">
        <f t="shared" si="59"/>
        <v>1</v>
      </c>
      <c r="P287" s="633"/>
      <c r="Q287" s="20">
        <f t="shared" si="60"/>
        <v>1</v>
      </c>
      <c r="R287" s="20">
        <f t="shared" si="61"/>
        <v>0</v>
      </c>
      <c r="S287" s="306">
        <f t="shared" ref="S287:S320" si="62">ROUND(R287*B287/10000,0)</f>
        <v>0</v>
      </c>
    </row>
    <row r="288" spans="1:19">
      <c r="A288" s="140"/>
      <c r="B288" s="51"/>
      <c r="C288" s="20">
        <f t="shared" si="53"/>
        <v>1</v>
      </c>
      <c r="D288" s="633"/>
      <c r="E288" s="20">
        <f t="shared" si="54"/>
        <v>1</v>
      </c>
      <c r="F288" s="633"/>
      <c r="G288" s="20">
        <f t="shared" si="55"/>
        <v>1</v>
      </c>
      <c r="H288" s="633"/>
      <c r="I288" s="20">
        <f t="shared" si="56"/>
        <v>1</v>
      </c>
      <c r="J288" s="633"/>
      <c r="K288" s="20">
        <f t="shared" si="57"/>
        <v>1</v>
      </c>
      <c r="L288" s="633"/>
      <c r="M288" s="20">
        <f t="shared" si="58"/>
        <v>1</v>
      </c>
      <c r="N288" s="633"/>
      <c r="O288" s="20">
        <f t="shared" si="59"/>
        <v>1</v>
      </c>
      <c r="P288" s="633"/>
      <c r="Q288" s="20">
        <f t="shared" si="60"/>
        <v>1</v>
      </c>
      <c r="R288" s="20">
        <f t="shared" si="61"/>
        <v>0</v>
      </c>
      <c r="S288" s="306">
        <f t="shared" si="62"/>
        <v>0</v>
      </c>
    </row>
    <row r="289" spans="1:19">
      <c r="A289" s="140"/>
      <c r="B289" s="51"/>
      <c r="C289" s="20">
        <f t="shared" si="53"/>
        <v>1</v>
      </c>
      <c r="D289" s="633"/>
      <c r="E289" s="20">
        <f t="shared" si="54"/>
        <v>1</v>
      </c>
      <c r="F289" s="633"/>
      <c r="G289" s="20">
        <f t="shared" si="55"/>
        <v>1</v>
      </c>
      <c r="H289" s="633"/>
      <c r="I289" s="20">
        <f t="shared" si="56"/>
        <v>1</v>
      </c>
      <c r="J289" s="633"/>
      <c r="K289" s="20">
        <f t="shared" si="57"/>
        <v>1</v>
      </c>
      <c r="L289" s="633"/>
      <c r="M289" s="20">
        <f t="shared" si="58"/>
        <v>1</v>
      </c>
      <c r="N289" s="633"/>
      <c r="O289" s="20">
        <f t="shared" si="59"/>
        <v>1</v>
      </c>
      <c r="P289" s="633"/>
      <c r="Q289" s="20">
        <f t="shared" si="60"/>
        <v>1</v>
      </c>
      <c r="R289" s="20">
        <f t="shared" si="61"/>
        <v>0</v>
      </c>
      <c r="S289" s="306">
        <f t="shared" si="62"/>
        <v>0</v>
      </c>
    </row>
    <row r="290" spans="1:19">
      <c r="A290" s="140"/>
      <c r="B290" s="51"/>
      <c r="C290" s="20">
        <f t="shared" si="53"/>
        <v>1</v>
      </c>
      <c r="D290" s="633"/>
      <c r="E290" s="20">
        <f t="shared" si="54"/>
        <v>1</v>
      </c>
      <c r="F290" s="633"/>
      <c r="G290" s="20">
        <f t="shared" si="55"/>
        <v>1</v>
      </c>
      <c r="H290" s="633"/>
      <c r="I290" s="20">
        <f t="shared" si="56"/>
        <v>1</v>
      </c>
      <c r="J290" s="633"/>
      <c r="K290" s="20">
        <f t="shared" si="57"/>
        <v>1</v>
      </c>
      <c r="L290" s="633"/>
      <c r="M290" s="20">
        <f t="shared" si="58"/>
        <v>1</v>
      </c>
      <c r="N290" s="633"/>
      <c r="O290" s="20">
        <f t="shared" si="59"/>
        <v>1</v>
      </c>
      <c r="P290" s="633"/>
      <c r="Q290" s="20">
        <f t="shared" si="60"/>
        <v>1</v>
      </c>
      <c r="R290" s="20">
        <f t="shared" si="61"/>
        <v>0</v>
      </c>
      <c r="S290" s="306">
        <f t="shared" si="62"/>
        <v>0</v>
      </c>
    </row>
    <row r="291" spans="1:19">
      <c r="A291" s="140"/>
      <c r="B291" s="51"/>
      <c r="C291" s="20">
        <f t="shared" si="53"/>
        <v>1</v>
      </c>
      <c r="D291" s="633"/>
      <c r="E291" s="20">
        <f t="shared" si="54"/>
        <v>1</v>
      </c>
      <c r="F291" s="633"/>
      <c r="G291" s="20">
        <f t="shared" si="55"/>
        <v>1</v>
      </c>
      <c r="H291" s="633"/>
      <c r="I291" s="20">
        <f t="shared" si="56"/>
        <v>1</v>
      </c>
      <c r="J291" s="633"/>
      <c r="K291" s="20">
        <f t="shared" si="57"/>
        <v>1</v>
      </c>
      <c r="L291" s="633"/>
      <c r="M291" s="20">
        <f t="shared" si="58"/>
        <v>1</v>
      </c>
      <c r="N291" s="633"/>
      <c r="O291" s="20">
        <f t="shared" si="59"/>
        <v>1</v>
      </c>
      <c r="P291" s="633"/>
      <c r="Q291" s="20">
        <f t="shared" si="60"/>
        <v>1</v>
      </c>
      <c r="R291" s="20">
        <f t="shared" si="61"/>
        <v>0</v>
      </c>
      <c r="S291" s="306">
        <f t="shared" si="62"/>
        <v>0</v>
      </c>
    </row>
    <row r="292" spans="1:19">
      <c r="A292" s="140"/>
      <c r="B292" s="51"/>
      <c r="C292" s="20">
        <f t="shared" si="53"/>
        <v>1</v>
      </c>
      <c r="D292" s="633"/>
      <c r="E292" s="20">
        <f t="shared" si="54"/>
        <v>1</v>
      </c>
      <c r="F292" s="633"/>
      <c r="G292" s="20">
        <f t="shared" si="55"/>
        <v>1</v>
      </c>
      <c r="H292" s="633"/>
      <c r="I292" s="20">
        <f t="shared" si="56"/>
        <v>1</v>
      </c>
      <c r="J292" s="633"/>
      <c r="K292" s="20">
        <f t="shared" si="57"/>
        <v>1</v>
      </c>
      <c r="L292" s="633"/>
      <c r="M292" s="20">
        <f t="shared" si="58"/>
        <v>1</v>
      </c>
      <c r="N292" s="633"/>
      <c r="O292" s="20">
        <f t="shared" si="59"/>
        <v>1</v>
      </c>
      <c r="P292" s="633"/>
      <c r="Q292" s="20">
        <f t="shared" si="60"/>
        <v>1</v>
      </c>
      <c r="R292" s="20">
        <f t="shared" si="61"/>
        <v>0</v>
      </c>
      <c r="S292" s="306">
        <f t="shared" si="62"/>
        <v>0</v>
      </c>
    </row>
    <row r="293" spans="1:19">
      <c r="A293" s="140"/>
      <c r="B293" s="51"/>
      <c r="C293" s="20">
        <f t="shared" si="53"/>
        <v>1</v>
      </c>
      <c r="D293" s="633"/>
      <c r="E293" s="20">
        <f t="shared" si="54"/>
        <v>1</v>
      </c>
      <c r="F293" s="633"/>
      <c r="G293" s="20">
        <f t="shared" si="55"/>
        <v>1</v>
      </c>
      <c r="H293" s="633"/>
      <c r="I293" s="20">
        <f t="shared" si="56"/>
        <v>1</v>
      </c>
      <c r="J293" s="633"/>
      <c r="K293" s="20">
        <f t="shared" si="57"/>
        <v>1</v>
      </c>
      <c r="L293" s="633"/>
      <c r="M293" s="20">
        <f t="shared" si="58"/>
        <v>1</v>
      </c>
      <c r="N293" s="633"/>
      <c r="O293" s="20">
        <f t="shared" si="59"/>
        <v>1</v>
      </c>
      <c r="P293" s="633"/>
      <c r="Q293" s="20">
        <f t="shared" si="60"/>
        <v>1</v>
      </c>
      <c r="R293" s="20">
        <f t="shared" si="61"/>
        <v>0</v>
      </c>
      <c r="S293" s="306">
        <f t="shared" si="62"/>
        <v>0</v>
      </c>
    </row>
    <row r="294" spans="1:19">
      <c r="A294" s="140"/>
      <c r="B294" s="51"/>
      <c r="C294" s="20">
        <f t="shared" si="53"/>
        <v>1</v>
      </c>
      <c r="D294" s="633"/>
      <c r="E294" s="20">
        <f t="shared" si="54"/>
        <v>1</v>
      </c>
      <c r="F294" s="633"/>
      <c r="G294" s="20">
        <f t="shared" si="55"/>
        <v>1</v>
      </c>
      <c r="H294" s="633"/>
      <c r="I294" s="20">
        <f t="shared" si="56"/>
        <v>1</v>
      </c>
      <c r="J294" s="633"/>
      <c r="K294" s="20">
        <f t="shared" si="57"/>
        <v>1</v>
      </c>
      <c r="L294" s="633"/>
      <c r="M294" s="20">
        <f t="shared" si="58"/>
        <v>1</v>
      </c>
      <c r="N294" s="633"/>
      <c r="O294" s="20">
        <f t="shared" si="59"/>
        <v>1</v>
      </c>
      <c r="P294" s="633"/>
      <c r="Q294" s="20">
        <f t="shared" si="60"/>
        <v>1</v>
      </c>
      <c r="R294" s="20">
        <f t="shared" si="61"/>
        <v>0</v>
      </c>
      <c r="S294" s="306">
        <f t="shared" si="62"/>
        <v>0</v>
      </c>
    </row>
    <row r="295" spans="1:19">
      <c r="A295" s="140"/>
      <c r="B295" s="51"/>
      <c r="C295" s="20">
        <f t="shared" si="53"/>
        <v>1</v>
      </c>
      <c r="D295" s="633"/>
      <c r="E295" s="20">
        <f t="shared" si="54"/>
        <v>1</v>
      </c>
      <c r="F295" s="633"/>
      <c r="G295" s="20">
        <f t="shared" si="55"/>
        <v>1</v>
      </c>
      <c r="H295" s="633"/>
      <c r="I295" s="20">
        <f t="shared" si="56"/>
        <v>1</v>
      </c>
      <c r="J295" s="633"/>
      <c r="K295" s="20">
        <f t="shared" si="57"/>
        <v>1</v>
      </c>
      <c r="L295" s="633"/>
      <c r="M295" s="20">
        <f t="shared" si="58"/>
        <v>1</v>
      </c>
      <c r="N295" s="633"/>
      <c r="O295" s="20">
        <f t="shared" si="59"/>
        <v>1</v>
      </c>
      <c r="P295" s="633"/>
      <c r="Q295" s="20">
        <f t="shared" si="60"/>
        <v>1</v>
      </c>
      <c r="R295" s="20">
        <f t="shared" si="61"/>
        <v>0</v>
      </c>
      <c r="S295" s="306">
        <f t="shared" si="62"/>
        <v>0</v>
      </c>
    </row>
    <row r="296" spans="1:19">
      <c r="A296" s="140"/>
      <c r="B296" s="51"/>
      <c r="C296" s="20">
        <f t="shared" si="53"/>
        <v>1</v>
      </c>
      <c r="D296" s="633"/>
      <c r="E296" s="20">
        <f t="shared" si="54"/>
        <v>1</v>
      </c>
      <c r="F296" s="633"/>
      <c r="G296" s="20">
        <f t="shared" si="55"/>
        <v>1</v>
      </c>
      <c r="H296" s="633"/>
      <c r="I296" s="20">
        <f t="shared" si="56"/>
        <v>1</v>
      </c>
      <c r="J296" s="633"/>
      <c r="K296" s="20">
        <f t="shared" si="57"/>
        <v>1</v>
      </c>
      <c r="L296" s="633"/>
      <c r="M296" s="20">
        <f t="shared" si="58"/>
        <v>1</v>
      </c>
      <c r="N296" s="633"/>
      <c r="O296" s="20">
        <f t="shared" si="59"/>
        <v>1</v>
      </c>
      <c r="P296" s="633"/>
      <c r="Q296" s="20">
        <f t="shared" si="60"/>
        <v>1</v>
      </c>
      <c r="R296" s="20">
        <f t="shared" si="61"/>
        <v>0</v>
      </c>
      <c r="S296" s="306">
        <f t="shared" si="62"/>
        <v>0</v>
      </c>
    </row>
    <row r="297" spans="1:19">
      <c r="A297" s="140"/>
      <c r="B297" s="51"/>
      <c r="C297" s="20">
        <f t="shared" si="53"/>
        <v>1</v>
      </c>
      <c r="D297" s="633"/>
      <c r="E297" s="20">
        <f t="shared" si="54"/>
        <v>1</v>
      </c>
      <c r="F297" s="633"/>
      <c r="G297" s="20">
        <f t="shared" si="55"/>
        <v>1</v>
      </c>
      <c r="H297" s="633"/>
      <c r="I297" s="20">
        <f t="shared" si="56"/>
        <v>1</v>
      </c>
      <c r="J297" s="633"/>
      <c r="K297" s="20">
        <f t="shared" si="57"/>
        <v>1</v>
      </c>
      <c r="L297" s="633"/>
      <c r="M297" s="20">
        <f t="shared" si="58"/>
        <v>1</v>
      </c>
      <c r="N297" s="633"/>
      <c r="O297" s="20">
        <f t="shared" si="59"/>
        <v>1</v>
      </c>
      <c r="P297" s="633"/>
      <c r="Q297" s="20">
        <f t="shared" si="60"/>
        <v>1</v>
      </c>
      <c r="R297" s="20">
        <f t="shared" si="61"/>
        <v>0</v>
      </c>
      <c r="S297" s="306">
        <f t="shared" si="62"/>
        <v>0</v>
      </c>
    </row>
    <row r="298" spans="1:19">
      <c r="A298" s="140"/>
      <c r="B298" s="51"/>
      <c r="C298" s="20">
        <f t="shared" si="53"/>
        <v>1</v>
      </c>
      <c r="D298" s="633"/>
      <c r="E298" s="20">
        <f t="shared" si="54"/>
        <v>1</v>
      </c>
      <c r="F298" s="633"/>
      <c r="G298" s="20">
        <f t="shared" si="55"/>
        <v>1</v>
      </c>
      <c r="H298" s="633"/>
      <c r="I298" s="20">
        <f t="shared" si="56"/>
        <v>1</v>
      </c>
      <c r="J298" s="633"/>
      <c r="K298" s="20">
        <f t="shared" si="57"/>
        <v>1</v>
      </c>
      <c r="L298" s="633"/>
      <c r="M298" s="20">
        <f t="shared" si="58"/>
        <v>1</v>
      </c>
      <c r="N298" s="633"/>
      <c r="O298" s="20">
        <f t="shared" si="59"/>
        <v>1</v>
      </c>
      <c r="P298" s="633"/>
      <c r="Q298" s="20">
        <f t="shared" si="60"/>
        <v>1</v>
      </c>
      <c r="R298" s="20">
        <f t="shared" si="61"/>
        <v>0</v>
      </c>
      <c r="S298" s="306">
        <f t="shared" si="62"/>
        <v>0</v>
      </c>
    </row>
    <row r="299" spans="1:19">
      <c r="A299" s="140"/>
      <c r="B299" s="51"/>
      <c r="C299" s="20">
        <f t="shared" si="53"/>
        <v>1</v>
      </c>
      <c r="D299" s="633"/>
      <c r="E299" s="20">
        <f t="shared" si="54"/>
        <v>1</v>
      </c>
      <c r="F299" s="633"/>
      <c r="G299" s="20">
        <f t="shared" si="55"/>
        <v>1</v>
      </c>
      <c r="H299" s="633"/>
      <c r="I299" s="20">
        <f t="shared" si="56"/>
        <v>1</v>
      </c>
      <c r="J299" s="633"/>
      <c r="K299" s="20">
        <f t="shared" si="57"/>
        <v>1</v>
      </c>
      <c r="L299" s="633"/>
      <c r="M299" s="20">
        <f t="shared" si="58"/>
        <v>1</v>
      </c>
      <c r="N299" s="633"/>
      <c r="O299" s="20">
        <f t="shared" si="59"/>
        <v>1</v>
      </c>
      <c r="P299" s="633"/>
      <c r="Q299" s="20">
        <f t="shared" si="60"/>
        <v>1</v>
      </c>
      <c r="R299" s="20">
        <f t="shared" si="61"/>
        <v>0</v>
      </c>
      <c r="S299" s="306">
        <f t="shared" si="62"/>
        <v>0</v>
      </c>
    </row>
    <row r="300" spans="1:19">
      <c r="A300" s="140"/>
      <c r="B300" s="51"/>
      <c r="C300" s="20">
        <f t="shared" si="53"/>
        <v>1</v>
      </c>
      <c r="D300" s="633"/>
      <c r="E300" s="20">
        <f t="shared" si="54"/>
        <v>1</v>
      </c>
      <c r="F300" s="633"/>
      <c r="G300" s="20">
        <f t="shared" si="55"/>
        <v>1</v>
      </c>
      <c r="H300" s="633"/>
      <c r="I300" s="20">
        <f t="shared" si="56"/>
        <v>1</v>
      </c>
      <c r="J300" s="633"/>
      <c r="K300" s="20">
        <f t="shared" si="57"/>
        <v>1</v>
      </c>
      <c r="L300" s="633"/>
      <c r="M300" s="20">
        <f t="shared" si="58"/>
        <v>1</v>
      </c>
      <c r="N300" s="633"/>
      <c r="O300" s="20">
        <f t="shared" si="59"/>
        <v>1</v>
      </c>
      <c r="P300" s="633"/>
      <c r="Q300" s="20">
        <f t="shared" si="60"/>
        <v>1</v>
      </c>
      <c r="R300" s="20">
        <f t="shared" si="61"/>
        <v>0</v>
      </c>
      <c r="S300" s="306">
        <f t="shared" si="62"/>
        <v>0</v>
      </c>
    </row>
    <row r="301" spans="1:19">
      <c r="A301" s="140"/>
      <c r="B301" s="51"/>
      <c r="C301" s="20">
        <f t="shared" si="53"/>
        <v>1</v>
      </c>
      <c r="D301" s="633"/>
      <c r="E301" s="20">
        <f t="shared" si="54"/>
        <v>1</v>
      </c>
      <c r="F301" s="633"/>
      <c r="G301" s="20">
        <f t="shared" si="55"/>
        <v>1</v>
      </c>
      <c r="H301" s="633"/>
      <c r="I301" s="20">
        <f t="shared" si="56"/>
        <v>1</v>
      </c>
      <c r="J301" s="633"/>
      <c r="K301" s="20">
        <f t="shared" si="57"/>
        <v>1</v>
      </c>
      <c r="L301" s="633"/>
      <c r="M301" s="20">
        <f t="shared" si="58"/>
        <v>1</v>
      </c>
      <c r="N301" s="633"/>
      <c r="O301" s="20">
        <f t="shared" si="59"/>
        <v>1</v>
      </c>
      <c r="P301" s="633"/>
      <c r="Q301" s="20">
        <f t="shared" si="60"/>
        <v>1</v>
      </c>
      <c r="R301" s="20">
        <f t="shared" si="61"/>
        <v>0</v>
      </c>
      <c r="S301" s="306">
        <f t="shared" si="62"/>
        <v>0</v>
      </c>
    </row>
    <row r="302" spans="1:19">
      <c r="A302" s="140"/>
      <c r="B302" s="51"/>
      <c r="C302" s="20">
        <f t="shared" si="53"/>
        <v>1</v>
      </c>
      <c r="D302" s="633"/>
      <c r="E302" s="20">
        <f t="shared" si="54"/>
        <v>1</v>
      </c>
      <c r="F302" s="633"/>
      <c r="G302" s="20">
        <f t="shared" si="55"/>
        <v>1</v>
      </c>
      <c r="H302" s="633"/>
      <c r="I302" s="20">
        <f t="shared" si="56"/>
        <v>1</v>
      </c>
      <c r="J302" s="633"/>
      <c r="K302" s="20">
        <f t="shared" si="57"/>
        <v>1</v>
      </c>
      <c r="L302" s="633"/>
      <c r="M302" s="20">
        <f t="shared" si="58"/>
        <v>1</v>
      </c>
      <c r="N302" s="633"/>
      <c r="O302" s="20">
        <f t="shared" si="59"/>
        <v>1</v>
      </c>
      <c r="P302" s="633"/>
      <c r="Q302" s="20">
        <f t="shared" si="60"/>
        <v>1</v>
      </c>
      <c r="R302" s="20">
        <f t="shared" si="61"/>
        <v>0</v>
      </c>
      <c r="S302" s="306">
        <f t="shared" si="62"/>
        <v>0</v>
      </c>
    </row>
    <row r="303" spans="1:19">
      <c r="A303" s="140"/>
      <c r="B303" s="51"/>
      <c r="C303" s="20">
        <f t="shared" si="53"/>
        <v>1</v>
      </c>
      <c r="D303" s="633"/>
      <c r="E303" s="20">
        <f t="shared" si="54"/>
        <v>1</v>
      </c>
      <c r="F303" s="633"/>
      <c r="G303" s="20">
        <f t="shared" si="55"/>
        <v>1</v>
      </c>
      <c r="H303" s="633"/>
      <c r="I303" s="20">
        <f t="shared" si="56"/>
        <v>1</v>
      </c>
      <c r="J303" s="633"/>
      <c r="K303" s="20">
        <f t="shared" si="57"/>
        <v>1</v>
      </c>
      <c r="L303" s="633"/>
      <c r="M303" s="20">
        <f t="shared" si="58"/>
        <v>1</v>
      </c>
      <c r="N303" s="633"/>
      <c r="O303" s="20">
        <f t="shared" si="59"/>
        <v>1</v>
      </c>
      <c r="P303" s="633"/>
      <c r="Q303" s="20">
        <f t="shared" si="60"/>
        <v>1</v>
      </c>
      <c r="R303" s="20">
        <f t="shared" si="61"/>
        <v>0</v>
      </c>
      <c r="S303" s="306">
        <f t="shared" si="62"/>
        <v>0</v>
      </c>
    </row>
    <row r="304" spans="1:19">
      <c r="A304" s="140"/>
      <c r="B304" s="51"/>
      <c r="C304" s="20">
        <f t="shared" si="53"/>
        <v>1</v>
      </c>
      <c r="D304" s="633"/>
      <c r="E304" s="20">
        <f t="shared" si="54"/>
        <v>1</v>
      </c>
      <c r="F304" s="633"/>
      <c r="G304" s="20">
        <f t="shared" si="55"/>
        <v>1</v>
      </c>
      <c r="H304" s="633"/>
      <c r="I304" s="20">
        <f t="shared" si="56"/>
        <v>1</v>
      </c>
      <c r="J304" s="633"/>
      <c r="K304" s="20">
        <f t="shared" si="57"/>
        <v>1</v>
      </c>
      <c r="L304" s="633"/>
      <c r="M304" s="20">
        <f t="shared" si="58"/>
        <v>1</v>
      </c>
      <c r="N304" s="633"/>
      <c r="O304" s="20">
        <f t="shared" si="59"/>
        <v>1</v>
      </c>
      <c r="P304" s="633"/>
      <c r="Q304" s="20">
        <f t="shared" si="60"/>
        <v>1</v>
      </c>
      <c r="R304" s="20">
        <f t="shared" si="61"/>
        <v>0</v>
      </c>
      <c r="S304" s="306">
        <f t="shared" si="62"/>
        <v>0</v>
      </c>
    </row>
    <row r="305" spans="1:19">
      <c r="A305" s="140"/>
      <c r="B305" s="51"/>
      <c r="C305" s="20">
        <f t="shared" si="53"/>
        <v>1</v>
      </c>
      <c r="D305" s="633"/>
      <c r="E305" s="20">
        <f t="shared" si="54"/>
        <v>1</v>
      </c>
      <c r="F305" s="633"/>
      <c r="G305" s="20">
        <f t="shared" si="55"/>
        <v>1</v>
      </c>
      <c r="H305" s="633"/>
      <c r="I305" s="20">
        <f t="shared" si="56"/>
        <v>1</v>
      </c>
      <c r="J305" s="633"/>
      <c r="K305" s="20">
        <f t="shared" si="57"/>
        <v>1</v>
      </c>
      <c r="L305" s="633"/>
      <c r="M305" s="20">
        <f t="shared" si="58"/>
        <v>1</v>
      </c>
      <c r="N305" s="633"/>
      <c r="O305" s="20">
        <f t="shared" si="59"/>
        <v>1</v>
      </c>
      <c r="P305" s="633"/>
      <c r="Q305" s="20">
        <f t="shared" si="60"/>
        <v>1</v>
      </c>
      <c r="R305" s="20">
        <f t="shared" si="61"/>
        <v>0</v>
      </c>
      <c r="S305" s="306">
        <f t="shared" si="62"/>
        <v>0</v>
      </c>
    </row>
    <row r="306" spans="1:19">
      <c r="A306" s="140"/>
      <c r="B306" s="51"/>
      <c r="C306" s="20">
        <f t="shared" si="53"/>
        <v>1</v>
      </c>
      <c r="D306" s="633"/>
      <c r="E306" s="20">
        <f t="shared" si="54"/>
        <v>1</v>
      </c>
      <c r="F306" s="633"/>
      <c r="G306" s="20">
        <f t="shared" si="55"/>
        <v>1</v>
      </c>
      <c r="H306" s="633"/>
      <c r="I306" s="20">
        <f t="shared" si="56"/>
        <v>1</v>
      </c>
      <c r="J306" s="633"/>
      <c r="K306" s="20">
        <f t="shared" si="57"/>
        <v>1</v>
      </c>
      <c r="L306" s="633"/>
      <c r="M306" s="20">
        <f t="shared" si="58"/>
        <v>1</v>
      </c>
      <c r="N306" s="633"/>
      <c r="O306" s="20">
        <f t="shared" si="59"/>
        <v>1</v>
      </c>
      <c r="P306" s="633"/>
      <c r="Q306" s="20">
        <f t="shared" si="60"/>
        <v>1</v>
      </c>
      <c r="R306" s="20">
        <f t="shared" si="61"/>
        <v>0</v>
      </c>
      <c r="S306" s="306">
        <f t="shared" si="62"/>
        <v>0</v>
      </c>
    </row>
    <row r="307" spans="1:19">
      <c r="A307" s="140"/>
      <c r="B307" s="51"/>
      <c r="C307" s="20">
        <f t="shared" si="53"/>
        <v>1</v>
      </c>
      <c r="D307" s="633"/>
      <c r="E307" s="20">
        <f t="shared" si="54"/>
        <v>1</v>
      </c>
      <c r="F307" s="633"/>
      <c r="G307" s="20">
        <f t="shared" si="55"/>
        <v>1</v>
      </c>
      <c r="H307" s="633"/>
      <c r="I307" s="20">
        <f t="shared" si="56"/>
        <v>1</v>
      </c>
      <c r="J307" s="633"/>
      <c r="K307" s="20">
        <f t="shared" si="57"/>
        <v>1</v>
      </c>
      <c r="L307" s="633"/>
      <c r="M307" s="20">
        <f t="shared" si="58"/>
        <v>1</v>
      </c>
      <c r="N307" s="633"/>
      <c r="O307" s="20">
        <f t="shared" si="59"/>
        <v>1</v>
      </c>
      <c r="P307" s="633"/>
      <c r="Q307" s="20">
        <f t="shared" si="60"/>
        <v>1</v>
      </c>
      <c r="R307" s="20">
        <f t="shared" si="61"/>
        <v>0</v>
      </c>
      <c r="S307" s="306">
        <f t="shared" si="62"/>
        <v>0</v>
      </c>
    </row>
    <row r="308" spans="1:19">
      <c r="A308" s="140"/>
      <c r="B308" s="51"/>
      <c r="C308" s="20">
        <f t="shared" si="53"/>
        <v>1</v>
      </c>
      <c r="D308" s="633"/>
      <c r="E308" s="20">
        <f t="shared" si="54"/>
        <v>1</v>
      </c>
      <c r="F308" s="633"/>
      <c r="G308" s="20">
        <f t="shared" si="55"/>
        <v>1</v>
      </c>
      <c r="H308" s="633"/>
      <c r="I308" s="20">
        <f t="shared" si="56"/>
        <v>1</v>
      </c>
      <c r="J308" s="633"/>
      <c r="K308" s="20">
        <f t="shared" si="57"/>
        <v>1</v>
      </c>
      <c r="L308" s="633"/>
      <c r="M308" s="20">
        <f t="shared" si="58"/>
        <v>1</v>
      </c>
      <c r="N308" s="633"/>
      <c r="O308" s="20">
        <f t="shared" si="59"/>
        <v>1</v>
      </c>
      <c r="P308" s="633"/>
      <c r="Q308" s="20">
        <f t="shared" si="60"/>
        <v>1</v>
      </c>
      <c r="R308" s="20">
        <f t="shared" si="61"/>
        <v>0</v>
      </c>
      <c r="S308" s="306">
        <f t="shared" si="62"/>
        <v>0</v>
      </c>
    </row>
    <row r="309" spans="1:19">
      <c r="A309" s="140"/>
      <c r="B309" s="51"/>
      <c r="C309" s="20">
        <f t="shared" si="53"/>
        <v>1</v>
      </c>
      <c r="D309" s="633"/>
      <c r="E309" s="20">
        <f t="shared" si="54"/>
        <v>1</v>
      </c>
      <c r="F309" s="633"/>
      <c r="G309" s="20">
        <f t="shared" si="55"/>
        <v>1</v>
      </c>
      <c r="H309" s="633"/>
      <c r="I309" s="20">
        <f t="shared" si="56"/>
        <v>1</v>
      </c>
      <c r="J309" s="633"/>
      <c r="K309" s="20">
        <f t="shared" si="57"/>
        <v>1</v>
      </c>
      <c r="L309" s="633"/>
      <c r="M309" s="20">
        <f t="shared" si="58"/>
        <v>1</v>
      </c>
      <c r="N309" s="633"/>
      <c r="O309" s="20">
        <f t="shared" si="59"/>
        <v>1</v>
      </c>
      <c r="P309" s="633"/>
      <c r="Q309" s="20">
        <f t="shared" si="60"/>
        <v>1</v>
      </c>
      <c r="R309" s="20">
        <f t="shared" si="61"/>
        <v>0</v>
      </c>
      <c r="S309" s="306">
        <f t="shared" si="62"/>
        <v>0</v>
      </c>
    </row>
    <row r="310" spans="1:19">
      <c r="A310" s="140"/>
      <c r="B310" s="51"/>
      <c r="C310" s="20">
        <f t="shared" si="53"/>
        <v>1</v>
      </c>
      <c r="D310" s="633"/>
      <c r="E310" s="20">
        <f t="shared" si="54"/>
        <v>1</v>
      </c>
      <c r="F310" s="633"/>
      <c r="G310" s="20">
        <f t="shared" si="55"/>
        <v>1</v>
      </c>
      <c r="H310" s="633"/>
      <c r="I310" s="20">
        <f t="shared" si="56"/>
        <v>1</v>
      </c>
      <c r="J310" s="633"/>
      <c r="K310" s="20">
        <f t="shared" si="57"/>
        <v>1</v>
      </c>
      <c r="L310" s="633"/>
      <c r="M310" s="20">
        <f t="shared" si="58"/>
        <v>1</v>
      </c>
      <c r="N310" s="633"/>
      <c r="O310" s="20">
        <f t="shared" si="59"/>
        <v>1</v>
      </c>
      <c r="P310" s="633"/>
      <c r="Q310" s="20">
        <f t="shared" si="60"/>
        <v>1</v>
      </c>
      <c r="R310" s="20">
        <f t="shared" si="61"/>
        <v>0</v>
      </c>
      <c r="S310" s="306">
        <f t="shared" si="62"/>
        <v>0</v>
      </c>
    </row>
    <row r="311" spans="1:19">
      <c r="A311" s="140"/>
      <c r="B311" s="51"/>
      <c r="C311" s="20">
        <f t="shared" si="53"/>
        <v>1</v>
      </c>
      <c r="D311" s="633"/>
      <c r="E311" s="20">
        <f t="shared" si="54"/>
        <v>1</v>
      </c>
      <c r="F311" s="633"/>
      <c r="G311" s="20">
        <f t="shared" si="55"/>
        <v>1</v>
      </c>
      <c r="H311" s="633"/>
      <c r="I311" s="20">
        <f t="shared" si="56"/>
        <v>1</v>
      </c>
      <c r="J311" s="633"/>
      <c r="K311" s="20">
        <f t="shared" si="57"/>
        <v>1</v>
      </c>
      <c r="L311" s="633"/>
      <c r="M311" s="20">
        <f t="shared" si="58"/>
        <v>1</v>
      </c>
      <c r="N311" s="633"/>
      <c r="O311" s="20">
        <f t="shared" si="59"/>
        <v>1</v>
      </c>
      <c r="P311" s="633"/>
      <c r="Q311" s="20">
        <f t="shared" si="60"/>
        <v>1</v>
      </c>
      <c r="R311" s="20">
        <f t="shared" si="61"/>
        <v>0</v>
      </c>
      <c r="S311" s="306">
        <f t="shared" si="62"/>
        <v>0</v>
      </c>
    </row>
    <row r="312" spans="1:19">
      <c r="A312" s="140"/>
      <c r="B312" s="51"/>
      <c r="C312" s="20">
        <f t="shared" si="53"/>
        <v>1</v>
      </c>
      <c r="D312" s="633"/>
      <c r="E312" s="20">
        <f t="shared" si="54"/>
        <v>1</v>
      </c>
      <c r="F312" s="633"/>
      <c r="G312" s="20">
        <f t="shared" si="55"/>
        <v>1</v>
      </c>
      <c r="H312" s="633"/>
      <c r="I312" s="20">
        <f t="shared" si="56"/>
        <v>1</v>
      </c>
      <c r="J312" s="633"/>
      <c r="K312" s="20">
        <f t="shared" si="57"/>
        <v>1</v>
      </c>
      <c r="L312" s="633"/>
      <c r="M312" s="20">
        <f t="shared" si="58"/>
        <v>1</v>
      </c>
      <c r="N312" s="633"/>
      <c r="O312" s="20">
        <f t="shared" si="59"/>
        <v>1</v>
      </c>
      <c r="P312" s="633"/>
      <c r="Q312" s="20">
        <f t="shared" si="60"/>
        <v>1</v>
      </c>
      <c r="R312" s="20">
        <f t="shared" si="61"/>
        <v>0</v>
      </c>
      <c r="S312" s="306">
        <f t="shared" si="62"/>
        <v>0</v>
      </c>
    </row>
    <row r="313" spans="1:19">
      <c r="A313" s="140"/>
      <c r="B313" s="51"/>
      <c r="C313" s="20">
        <f t="shared" si="53"/>
        <v>1</v>
      </c>
      <c r="D313" s="633"/>
      <c r="E313" s="20">
        <f t="shared" si="54"/>
        <v>1</v>
      </c>
      <c r="F313" s="633"/>
      <c r="G313" s="20">
        <f t="shared" si="55"/>
        <v>1</v>
      </c>
      <c r="H313" s="633"/>
      <c r="I313" s="20">
        <f t="shared" si="56"/>
        <v>1</v>
      </c>
      <c r="J313" s="633"/>
      <c r="K313" s="20">
        <f t="shared" si="57"/>
        <v>1</v>
      </c>
      <c r="L313" s="633"/>
      <c r="M313" s="20">
        <f t="shared" si="58"/>
        <v>1</v>
      </c>
      <c r="N313" s="633"/>
      <c r="O313" s="20">
        <f t="shared" si="59"/>
        <v>1</v>
      </c>
      <c r="P313" s="633"/>
      <c r="Q313" s="20">
        <f t="shared" si="60"/>
        <v>1</v>
      </c>
      <c r="R313" s="20">
        <f t="shared" si="61"/>
        <v>0</v>
      </c>
      <c r="S313" s="306">
        <f t="shared" si="62"/>
        <v>0</v>
      </c>
    </row>
    <row r="314" spans="1:19">
      <c r="A314" s="140"/>
      <c r="B314" s="51"/>
      <c r="C314" s="20">
        <f t="shared" si="53"/>
        <v>1</v>
      </c>
      <c r="D314" s="633"/>
      <c r="E314" s="20">
        <f t="shared" si="54"/>
        <v>1</v>
      </c>
      <c r="F314" s="633"/>
      <c r="G314" s="20">
        <f t="shared" si="55"/>
        <v>1</v>
      </c>
      <c r="H314" s="633"/>
      <c r="I314" s="20">
        <f t="shared" si="56"/>
        <v>1</v>
      </c>
      <c r="J314" s="633"/>
      <c r="K314" s="20">
        <f t="shared" si="57"/>
        <v>1</v>
      </c>
      <c r="L314" s="633"/>
      <c r="M314" s="20">
        <f t="shared" si="58"/>
        <v>1</v>
      </c>
      <c r="N314" s="633"/>
      <c r="O314" s="20">
        <f t="shared" si="59"/>
        <v>1</v>
      </c>
      <c r="P314" s="633"/>
      <c r="Q314" s="20">
        <f t="shared" si="60"/>
        <v>1</v>
      </c>
      <c r="R314" s="20">
        <f t="shared" si="61"/>
        <v>0</v>
      </c>
      <c r="S314" s="306">
        <f t="shared" si="62"/>
        <v>0</v>
      </c>
    </row>
    <row r="315" spans="1:19">
      <c r="A315" s="140"/>
      <c r="B315" s="51"/>
      <c r="C315" s="20">
        <f t="shared" si="53"/>
        <v>1</v>
      </c>
      <c r="D315" s="633"/>
      <c r="E315" s="20">
        <f t="shared" si="54"/>
        <v>1</v>
      </c>
      <c r="F315" s="633"/>
      <c r="G315" s="20">
        <f t="shared" si="55"/>
        <v>1</v>
      </c>
      <c r="H315" s="633"/>
      <c r="I315" s="20">
        <f t="shared" si="56"/>
        <v>1</v>
      </c>
      <c r="J315" s="633"/>
      <c r="K315" s="20">
        <f t="shared" si="57"/>
        <v>1</v>
      </c>
      <c r="L315" s="633"/>
      <c r="M315" s="20">
        <f t="shared" si="58"/>
        <v>1</v>
      </c>
      <c r="N315" s="633"/>
      <c r="O315" s="20">
        <f t="shared" si="59"/>
        <v>1</v>
      </c>
      <c r="P315" s="633"/>
      <c r="Q315" s="20">
        <f t="shared" si="60"/>
        <v>1</v>
      </c>
      <c r="R315" s="20">
        <f t="shared" si="61"/>
        <v>0</v>
      </c>
      <c r="S315" s="306">
        <f t="shared" si="62"/>
        <v>0</v>
      </c>
    </row>
    <row r="316" spans="1:19">
      <c r="A316" s="140"/>
      <c r="B316" s="51"/>
      <c r="C316" s="20">
        <f t="shared" si="53"/>
        <v>1</v>
      </c>
      <c r="D316" s="633"/>
      <c r="E316" s="20">
        <f t="shared" si="54"/>
        <v>1</v>
      </c>
      <c r="F316" s="633"/>
      <c r="G316" s="20">
        <f t="shared" si="55"/>
        <v>1</v>
      </c>
      <c r="H316" s="633"/>
      <c r="I316" s="20">
        <f t="shared" si="56"/>
        <v>1</v>
      </c>
      <c r="J316" s="633"/>
      <c r="K316" s="20">
        <f t="shared" si="57"/>
        <v>1</v>
      </c>
      <c r="L316" s="633"/>
      <c r="M316" s="20">
        <f t="shared" si="58"/>
        <v>1</v>
      </c>
      <c r="N316" s="633"/>
      <c r="O316" s="20">
        <f t="shared" si="59"/>
        <v>1</v>
      </c>
      <c r="P316" s="633"/>
      <c r="Q316" s="20">
        <f t="shared" si="60"/>
        <v>1</v>
      </c>
      <c r="R316" s="20">
        <f t="shared" si="61"/>
        <v>0</v>
      </c>
      <c r="S316" s="306">
        <f t="shared" si="62"/>
        <v>0</v>
      </c>
    </row>
    <row r="317" spans="1:19">
      <c r="A317" s="140"/>
      <c r="B317" s="51"/>
      <c r="C317" s="20">
        <f t="shared" si="53"/>
        <v>1</v>
      </c>
      <c r="D317" s="633"/>
      <c r="E317" s="20">
        <f t="shared" si="54"/>
        <v>1</v>
      </c>
      <c r="F317" s="633"/>
      <c r="G317" s="20">
        <f t="shared" si="55"/>
        <v>1</v>
      </c>
      <c r="H317" s="633"/>
      <c r="I317" s="20">
        <f t="shared" si="56"/>
        <v>1</v>
      </c>
      <c r="J317" s="633"/>
      <c r="K317" s="20">
        <f t="shared" si="57"/>
        <v>1</v>
      </c>
      <c r="L317" s="633"/>
      <c r="M317" s="20">
        <f t="shared" si="58"/>
        <v>1</v>
      </c>
      <c r="N317" s="633"/>
      <c r="O317" s="20">
        <f t="shared" si="59"/>
        <v>1</v>
      </c>
      <c r="P317" s="633"/>
      <c r="Q317" s="20">
        <f t="shared" si="60"/>
        <v>1</v>
      </c>
      <c r="R317" s="20">
        <f t="shared" si="61"/>
        <v>0</v>
      </c>
      <c r="S317" s="306">
        <f t="shared" si="62"/>
        <v>0</v>
      </c>
    </row>
    <row r="318" spans="1:19">
      <c r="A318" s="140"/>
      <c r="B318" s="51"/>
      <c r="C318" s="20">
        <f t="shared" si="53"/>
        <v>1</v>
      </c>
      <c r="D318" s="633"/>
      <c r="E318" s="20">
        <f t="shared" si="54"/>
        <v>1</v>
      </c>
      <c r="F318" s="633"/>
      <c r="G318" s="20">
        <f t="shared" si="55"/>
        <v>1</v>
      </c>
      <c r="H318" s="633"/>
      <c r="I318" s="20">
        <f t="shared" si="56"/>
        <v>1</v>
      </c>
      <c r="J318" s="633"/>
      <c r="K318" s="20">
        <f t="shared" si="57"/>
        <v>1</v>
      </c>
      <c r="L318" s="633"/>
      <c r="M318" s="20">
        <f t="shared" si="58"/>
        <v>1</v>
      </c>
      <c r="N318" s="633"/>
      <c r="O318" s="20">
        <f t="shared" si="59"/>
        <v>1</v>
      </c>
      <c r="P318" s="633"/>
      <c r="Q318" s="20">
        <f t="shared" si="60"/>
        <v>1</v>
      </c>
      <c r="R318" s="20">
        <f t="shared" si="61"/>
        <v>0</v>
      </c>
      <c r="S318" s="306">
        <f t="shared" si="62"/>
        <v>0</v>
      </c>
    </row>
    <row r="319" spans="1:19">
      <c r="A319" s="140"/>
      <c r="B319" s="51"/>
      <c r="C319" s="20">
        <f t="shared" si="53"/>
        <v>1</v>
      </c>
      <c r="D319" s="633"/>
      <c r="E319" s="20">
        <f t="shared" si="54"/>
        <v>1</v>
      </c>
      <c r="F319" s="633"/>
      <c r="G319" s="20">
        <f t="shared" si="55"/>
        <v>1</v>
      </c>
      <c r="H319" s="633"/>
      <c r="I319" s="20">
        <f t="shared" si="56"/>
        <v>1</v>
      </c>
      <c r="J319" s="633"/>
      <c r="K319" s="20">
        <f t="shared" si="57"/>
        <v>1</v>
      </c>
      <c r="L319" s="633"/>
      <c r="M319" s="20">
        <f t="shared" si="58"/>
        <v>1</v>
      </c>
      <c r="N319" s="633"/>
      <c r="O319" s="20">
        <f t="shared" si="59"/>
        <v>1</v>
      </c>
      <c r="P319" s="633"/>
      <c r="Q319" s="20">
        <f t="shared" si="60"/>
        <v>1</v>
      </c>
      <c r="R319" s="20">
        <f t="shared" si="61"/>
        <v>0</v>
      </c>
      <c r="S319" s="306">
        <f t="shared" si="62"/>
        <v>0</v>
      </c>
    </row>
    <row r="320" spans="1:19">
      <c r="A320" s="140"/>
      <c r="B320" s="51"/>
      <c r="C320" s="20">
        <f t="shared" si="53"/>
        <v>1</v>
      </c>
      <c r="D320" s="633"/>
      <c r="E320" s="20">
        <f t="shared" si="54"/>
        <v>1</v>
      </c>
      <c r="F320" s="633"/>
      <c r="G320" s="20">
        <f t="shared" si="55"/>
        <v>1</v>
      </c>
      <c r="H320" s="633"/>
      <c r="I320" s="20">
        <f t="shared" si="56"/>
        <v>1</v>
      </c>
      <c r="J320" s="633"/>
      <c r="K320" s="20">
        <f t="shared" si="57"/>
        <v>1</v>
      </c>
      <c r="L320" s="633"/>
      <c r="M320" s="20">
        <f t="shared" si="58"/>
        <v>1</v>
      </c>
      <c r="N320" s="633"/>
      <c r="O320" s="20">
        <f t="shared" si="59"/>
        <v>1</v>
      </c>
      <c r="P320" s="633"/>
      <c r="Q320" s="20">
        <f t="shared" si="60"/>
        <v>1</v>
      </c>
      <c r="R320" s="20">
        <f t="shared" si="61"/>
        <v>0</v>
      </c>
      <c r="S320" s="306">
        <f t="shared" si="62"/>
        <v>0</v>
      </c>
    </row>
    <row r="321" spans="1:19">
      <c r="A321" s="140"/>
      <c r="B321" s="51"/>
      <c r="C321" s="20">
        <f t="shared" si="53"/>
        <v>1</v>
      </c>
      <c r="D321" s="633"/>
      <c r="E321" s="20">
        <f t="shared" si="54"/>
        <v>1</v>
      </c>
      <c r="F321" s="633"/>
      <c r="G321" s="20">
        <f t="shared" si="55"/>
        <v>1</v>
      </c>
      <c r="H321" s="633"/>
      <c r="I321" s="20">
        <f t="shared" si="56"/>
        <v>1</v>
      </c>
      <c r="J321" s="633"/>
      <c r="K321" s="20">
        <f t="shared" si="57"/>
        <v>1</v>
      </c>
      <c r="L321" s="633"/>
      <c r="M321" s="20">
        <f t="shared" si="58"/>
        <v>1</v>
      </c>
      <c r="N321" s="633"/>
      <c r="O321" s="20">
        <f t="shared" si="59"/>
        <v>1</v>
      </c>
      <c r="P321" s="633"/>
      <c r="Q321" s="20">
        <f t="shared" si="60"/>
        <v>1</v>
      </c>
      <c r="R321" s="20">
        <f t="shared" si="61"/>
        <v>0</v>
      </c>
      <c r="S321" s="306">
        <f t="shared" ref="S321:S384" si="63">ROUND(R321*B321/10000,0)</f>
        <v>0</v>
      </c>
    </row>
    <row r="322" spans="1:19">
      <c r="A322" s="140"/>
      <c r="B322" s="51"/>
      <c r="C322" s="20">
        <f t="shared" si="53"/>
        <v>1</v>
      </c>
      <c r="D322" s="633"/>
      <c r="E322" s="20">
        <f t="shared" si="54"/>
        <v>1</v>
      </c>
      <c r="F322" s="633"/>
      <c r="G322" s="20">
        <f t="shared" si="55"/>
        <v>1</v>
      </c>
      <c r="H322" s="633"/>
      <c r="I322" s="20">
        <f t="shared" si="56"/>
        <v>1</v>
      </c>
      <c r="J322" s="633"/>
      <c r="K322" s="20">
        <f t="shared" si="57"/>
        <v>1</v>
      </c>
      <c r="L322" s="633"/>
      <c r="M322" s="20">
        <f t="shared" si="58"/>
        <v>1</v>
      </c>
      <c r="N322" s="633"/>
      <c r="O322" s="20">
        <f t="shared" si="59"/>
        <v>1</v>
      </c>
      <c r="P322" s="633"/>
      <c r="Q322" s="20">
        <f t="shared" si="60"/>
        <v>1</v>
      </c>
      <c r="R322" s="20">
        <f t="shared" si="61"/>
        <v>0</v>
      </c>
      <c r="S322" s="306">
        <f t="shared" si="63"/>
        <v>0</v>
      </c>
    </row>
    <row r="323" spans="1:19">
      <c r="A323" s="140"/>
      <c r="B323" s="51"/>
      <c r="C323" s="20">
        <f t="shared" si="53"/>
        <v>1</v>
      </c>
      <c r="D323" s="633"/>
      <c r="E323" s="20">
        <f t="shared" si="54"/>
        <v>1</v>
      </c>
      <c r="F323" s="633"/>
      <c r="G323" s="20">
        <f t="shared" si="55"/>
        <v>1</v>
      </c>
      <c r="H323" s="633"/>
      <c r="I323" s="20">
        <f t="shared" si="56"/>
        <v>1</v>
      </c>
      <c r="J323" s="633"/>
      <c r="K323" s="20">
        <f t="shared" si="57"/>
        <v>1</v>
      </c>
      <c r="L323" s="633"/>
      <c r="M323" s="20">
        <f t="shared" si="58"/>
        <v>1</v>
      </c>
      <c r="N323" s="633"/>
      <c r="O323" s="20">
        <f t="shared" si="59"/>
        <v>1</v>
      </c>
      <c r="P323" s="633"/>
      <c r="Q323" s="20">
        <f t="shared" si="60"/>
        <v>1</v>
      </c>
      <c r="R323" s="20">
        <f t="shared" si="61"/>
        <v>0</v>
      </c>
      <c r="S323" s="306">
        <f t="shared" si="63"/>
        <v>0</v>
      </c>
    </row>
    <row r="324" spans="1:19">
      <c r="A324" s="140"/>
      <c r="B324" s="51"/>
      <c r="C324" s="20">
        <f t="shared" si="53"/>
        <v>1</v>
      </c>
      <c r="D324" s="633"/>
      <c r="E324" s="20">
        <f t="shared" si="54"/>
        <v>1</v>
      </c>
      <c r="F324" s="633"/>
      <c r="G324" s="20">
        <f t="shared" si="55"/>
        <v>1</v>
      </c>
      <c r="H324" s="633"/>
      <c r="I324" s="20">
        <f t="shared" si="56"/>
        <v>1</v>
      </c>
      <c r="J324" s="633"/>
      <c r="K324" s="20">
        <f t="shared" si="57"/>
        <v>1</v>
      </c>
      <c r="L324" s="633"/>
      <c r="M324" s="20">
        <f t="shared" si="58"/>
        <v>1</v>
      </c>
      <c r="N324" s="633"/>
      <c r="O324" s="20">
        <f t="shared" si="59"/>
        <v>1</v>
      </c>
      <c r="P324" s="633"/>
      <c r="Q324" s="20">
        <f t="shared" si="60"/>
        <v>1</v>
      </c>
      <c r="R324" s="20">
        <f t="shared" si="61"/>
        <v>0</v>
      </c>
      <c r="S324" s="306">
        <f t="shared" si="63"/>
        <v>0</v>
      </c>
    </row>
    <row r="325" spans="1:19">
      <c r="A325" s="140"/>
      <c r="B325" s="51"/>
      <c r="C325" s="20">
        <f t="shared" si="53"/>
        <v>1</v>
      </c>
      <c r="D325" s="633"/>
      <c r="E325" s="20">
        <f t="shared" si="54"/>
        <v>1</v>
      </c>
      <c r="F325" s="633"/>
      <c r="G325" s="20">
        <f t="shared" si="55"/>
        <v>1</v>
      </c>
      <c r="H325" s="633"/>
      <c r="I325" s="20">
        <f t="shared" si="56"/>
        <v>1</v>
      </c>
      <c r="J325" s="633"/>
      <c r="K325" s="20">
        <f t="shared" si="57"/>
        <v>1</v>
      </c>
      <c r="L325" s="633"/>
      <c r="M325" s="20">
        <f t="shared" si="58"/>
        <v>1</v>
      </c>
      <c r="N325" s="633"/>
      <c r="O325" s="20">
        <f t="shared" si="59"/>
        <v>1</v>
      </c>
      <c r="P325" s="633"/>
      <c r="Q325" s="20">
        <f t="shared" si="60"/>
        <v>1</v>
      </c>
      <c r="R325" s="20">
        <f t="shared" si="61"/>
        <v>0</v>
      </c>
      <c r="S325" s="306">
        <f t="shared" si="63"/>
        <v>0</v>
      </c>
    </row>
    <row r="326" spans="1:19">
      <c r="A326" s="140"/>
      <c r="B326" s="51"/>
      <c r="C326" s="20">
        <f t="shared" si="53"/>
        <v>1</v>
      </c>
      <c r="D326" s="633"/>
      <c r="E326" s="20">
        <f t="shared" si="54"/>
        <v>1</v>
      </c>
      <c r="F326" s="633"/>
      <c r="G326" s="20">
        <f t="shared" si="55"/>
        <v>1</v>
      </c>
      <c r="H326" s="633"/>
      <c r="I326" s="20">
        <f t="shared" si="56"/>
        <v>1</v>
      </c>
      <c r="J326" s="633"/>
      <c r="K326" s="20">
        <f t="shared" si="57"/>
        <v>1</v>
      </c>
      <c r="L326" s="633"/>
      <c r="M326" s="20">
        <f t="shared" si="58"/>
        <v>1</v>
      </c>
      <c r="N326" s="633"/>
      <c r="O326" s="20">
        <f t="shared" si="59"/>
        <v>1</v>
      </c>
      <c r="P326" s="633"/>
      <c r="Q326" s="20">
        <f t="shared" si="60"/>
        <v>1</v>
      </c>
      <c r="R326" s="20">
        <f t="shared" si="61"/>
        <v>0</v>
      </c>
      <c r="S326" s="306">
        <f t="shared" si="63"/>
        <v>0</v>
      </c>
    </row>
    <row r="327" spans="1:19">
      <c r="A327" s="140"/>
      <c r="B327" s="51"/>
      <c r="C327" s="20">
        <f t="shared" si="53"/>
        <v>1</v>
      </c>
      <c r="D327" s="633"/>
      <c r="E327" s="20">
        <f t="shared" si="54"/>
        <v>1</v>
      </c>
      <c r="F327" s="633"/>
      <c r="G327" s="20">
        <f t="shared" si="55"/>
        <v>1</v>
      </c>
      <c r="H327" s="633"/>
      <c r="I327" s="20">
        <f t="shared" si="56"/>
        <v>1</v>
      </c>
      <c r="J327" s="633"/>
      <c r="K327" s="20">
        <f t="shared" si="57"/>
        <v>1</v>
      </c>
      <c r="L327" s="633"/>
      <c r="M327" s="20">
        <f t="shared" si="58"/>
        <v>1</v>
      </c>
      <c r="N327" s="633"/>
      <c r="O327" s="20">
        <f t="shared" si="59"/>
        <v>1</v>
      </c>
      <c r="P327" s="633"/>
      <c r="Q327" s="20">
        <f t="shared" si="60"/>
        <v>1</v>
      </c>
      <c r="R327" s="20">
        <f t="shared" si="61"/>
        <v>0</v>
      </c>
      <c r="S327" s="306">
        <f t="shared" si="63"/>
        <v>0</v>
      </c>
    </row>
    <row r="328" spans="1:19">
      <c r="A328" s="140"/>
      <c r="B328" s="51"/>
      <c r="C328" s="20">
        <f t="shared" si="53"/>
        <v>1</v>
      </c>
      <c r="D328" s="633"/>
      <c r="E328" s="20">
        <f t="shared" si="54"/>
        <v>1</v>
      </c>
      <c r="F328" s="633"/>
      <c r="G328" s="20">
        <f t="shared" si="55"/>
        <v>1</v>
      </c>
      <c r="H328" s="633"/>
      <c r="I328" s="20">
        <f t="shared" si="56"/>
        <v>1</v>
      </c>
      <c r="J328" s="633"/>
      <c r="K328" s="20">
        <f t="shared" si="57"/>
        <v>1</v>
      </c>
      <c r="L328" s="633"/>
      <c r="M328" s="20">
        <f t="shared" si="58"/>
        <v>1</v>
      </c>
      <c r="N328" s="633"/>
      <c r="O328" s="20">
        <f t="shared" si="59"/>
        <v>1</v>
      </c>
      <c r="P328" s="633"/>
      <c r="Q328" s="20">
        <f t="shared" si="60"/>
        <v>1</v>
      </c>
      <c r="R328" s="20">
        <f t="shared" si="61"/>
        <v>0</v>
      </c>
      <c r="S328" s="306">
        <f t="shared" si="63"/>
        <v>0</v>
      </c>
    </row>
    <row r="329" spans="1:19">
      <c r="A329" s="140"/>
      <c r="B329" s="51"/>
      <c r="C329" s="20">
        <f t="shared" si="53"/>
        <v>1</v>
      </c>
      <c r="D329" s="633"/>
      <c r="E329" s="20">
        <f t="shared" si="54"/>
        <v>1</v>
      </c>
      <c r="F329" s="633"/>
      <c r="G329" s="20">
        <f t="shared" si="55"/>
        <v>1</v>
      </c>
      <c r="H329" s="633"/>
      <c r="I329" s="20">
        <f t="shared" si="56"/>
        <v>1</v>
      </c>
      <c r="J329" s="633"/>
      <c r="K329" s="20">
        <f t="shared" si="57"/>
        <v>1</v>
      </c>
      <c r="L329" s="633"/>
      <c r="M329" s="20">
        <f t="shared" si="58"/>
        <v>1</v>
      </c>
      <c r="N329" s="633"/>
      <c r="O329" s="20">
        <f t="shared" si="59"/>
        <v>1</v>
      </c>
      <c r="P329" s="633"/>
      <c r="Q329" s="20">
        <f t="shared" si="60"/>
        <v>1</v>
      </c>
      <c r="R329" s="20">
        <f t="shared" si="61"/>
        <v>0</v>
      </c>
      <c r="S329" s="306">
        <f t="shared" si="63"/>
        <v>0</v>
      </c>
    </row>
    <row r="330" spans="1:19">
      <c r="A330" s="140"/>
      <c r="B330" s="51"/>
      <c r="C330" s="20">
        <f t="shared" si="53"/>
        <v>1</v>
      </c>
      <c r="D330" s="633"/>
      <c r="E330" s="20">
        <f t="shared" si="54"/>
        <v>1</v>
      </c>
      <c r="F330" s="633"/>
      <c r="G330" s="20">
        <f t="shared" si="55"/>
        <v>1</v>
      </c>
      <c r="H330" s="633"/>
      <c r="I330" s="20">
        <f t="shared" si="56"/>
        <v>1</v>
      </c>
      <c r="J330" s="633"/>
      <c r="K330" s="20">
        <f t="shared" si="57"/>
        <v>1</v>
      </c>
      <c r="L330" s="633"/>
      <c r="M330" s="20">
        <f t="shared" si="58"/>
        <v>1</v>
      </c>
      <c r="N330" s="633"/>
      <c r="O330" s="20">
        <f t="shared" si="59"/>
        <v>1</v>
      </c>
      <c r="P330" s="633"/>
      <c r="Q330" s="20">
        <f t="shared" si="60"/>
        <v>1</v>
      </c>
      <c r="R330" s="20">
        <f t="shared" si="61"/>
        <v>0</v>
      </c>
      <c r="S330" s="306">
        <f t="shared" si="63"/>
        <v>0</v>
      </c>
    </row>
    <row r="331" spans="1:19">
      <c r="A331" s="140"/>
      <c r="B331" s="51"/>
      <c r="C331" s="20">
        <f t="shared" si="53"/>
        <v>1</v>
      </c>
      <c r="D331" s="633"/>
      <c r="E331" s="20">
        <f t="shared" si="54"/>
        <v>1</v>
      </c>
      <c r="F331" s="633"/>
      <c r="G331" s="20">
        <f t="shared" si="55"/>
        <v>1</v>
      </c>
      <c r="H331" s="633"/>
      <c r="I331" s="20">
        <f t="shared" si="56"/>
        <v>1</v>
      </c>
      <c r="J331" s="633"/>
      <c r="K331" s="20">
        <f t="shared" si="57"/>
        <v>1</v>
      </c>
      <c r="L331" s="633"/>
      <c r="M331" s="20">
        <f t="shared" si="58"/>
        <v>1</v>
      </c>
      <c r="N331" s="633"/>
      <c r="O331" s="20">
        <f t="shared" si="59"/>
        <v>1</v>
      </c>
      <c r="P331" s="633"/>
      <c r="Q331" s="20">
        <f t="shared" si="60"/>
        <v>1</v>
      </c>
      <c r="R331" s="20">
        <f t="shared" si="61"/>
        <v>0</v>
      </c>
      <c r="S331" s="306">
        <f t="shared" si="63"/>
        <v>0</v>
      </c>
    </row>
    <row r="332" spans="1:19">
      <c r="A332" s="140"/>
      <c r="B332" s="51"/>
      <c r="C332" s="20">
        <f t="shared" si="53"/>
        <v>1</v>
      </c>
      <c r="D332" s="633"/>
      <c r="E332" s="20">
        <f t="shared" si="54"/>
        <v>1</v>
      </c>
      <c r="F332" s="633"/>
      <c r="G332" s="20">
        <f t="shared" si="55"/>
        <v>1</v>
      </c>
      <c r="H332" s="633"/>
      <c r="I332" s="20">
        <f t="shared" si="56"/>
        <v>1</v>
      </c>
      <c r="J332" s="633"/>
      <c r="K332" s="20">
        <f t="shared" si="57"/>
        <v>1</v>
      </c>
      <c r="L332" s="633"/>
      <c r="M332" s="20">
        <f t="shared" si="58"/>
        <v>1</v>
      </c>
      <c r="N332" s="633"/>
      <c r="O332" s="20">
        <f t="shared" si="59"/>
        <v>1</v>
      </c>
      <c r="P332" s="633"/>
      <c r="Q332" s="20">
        <f t="shared" si="60"/>
        <v>1</v>
      </c>
      <c r="R332" s="20">
        <f t="shared" si="61"/>
        <v>0</v>
      </c>
      <c r="S332" s="306">
        <f t="shared" si="63"/>
        <v>0</v>
      </c>
    </row>
    <row r="333" spans="1:19">
      <c r="A333" s="140"/>
      <c r="B333" s="51"/>
      <c r="C333" s="20">
        <f t="shared" si="53"/>
        <v>1</v>
      </c>
      <c r="D333" s="633"/>
      <c r="E333" s="20">
        <f t="shared" si="54"/>
        <v>1</v>
      </c>
      <c r="F333" s="633"/>
      <c r="G333" s="20">
        <f t="shared" si="55"/>
        <v>1</v>
      </c>
      <c r="H333" s="633"/>
      <c r="I333" s="20">
        <f t="shared" si="56"/>
        <v>1</v>
      </c>
      <c r="J333" s="633"/>
      <c r="K333" s="20">
        <f t="shared" si="57"/>
        <v>1</v>
      </c>
      <c r="L333" s="633"/>
      <c r="M333" s="20">
        <f t="shared" si="58"/>
        <v>1</v>
      </c>
      <c r="N333" s="633"/>
      <c r="O333" s="20">
        <f t="shared" si="59"/>
        <v>1</v>
      </c>
      <c r="P333" s="633"/>
      <c r="Q333" s="20">
        <f t="shared" si="60"/>
        <v>1</v>
      </c>
      <c r="R333" s="20">
        <f t="shared" si="61"/>
        <v>0</v>
      </c>
      <c r="S333" s="306">
        <f t="shared" si="63"/>
        <v>0</v>
      </c>
    </row>
    <row r="334" spans="1:19">
      <c r="A334" s="140"/>
      <c r="B334" s="51"/>
      <c r="C334" s="20">
        <f t="shared" si="53"/>
        <v>1</v>
      </c>
      <c r="D334" s="633"/>
      <c r="E334" s="20">
        <f t="shared" si="54"/>
        <v>1</v>
      </c>
      <c r="F334" s="633"/>
      <c r="G334" s="20">
        <f t="shared" si="55"/>
        <v>1</v>
      </c>
      <c r="H334" s="633"/>
      <c r="I334" s="20">
        <f t="shared" si="56"/>
        <v>1</v>
      </c>
      <c r="J334" s="633"/>
      <c r="K334" s="20">
        <f t="shared" si="57"/>
        <v>1</v>
      </c>
      <c r="L334" s="633"/>
      <c r="M334" s="20">
        <f t="shared" si="58"/>
        <v>1</v>
      </c>
      <c r="N334" s="633"/>
      <c r="O334" s="20">
        <f t="shared" si="59"/>
        <v>1</v>
      </c>
      <c r="P334" s="633"/>
      <c r="Q334" s="20">
        <f t="shared" si="60"/>
        <v>1</v>
      </c>
      <c r="R334" s="20">
        <f t="shared" si="61"/>
        <v>0</v>
      </c>
      <c r="S334" s="306">
        <f t="shared" si="63"/>
        <v>0</v>
      </c>
    </row>
    <row r="335" spans="1:19">
      <c r="A335" s="140"/>
      <c r="B335" s="51"/>
      <c r="C335" s="20">
        <f t="shared" si="53"/>
        <v>1</v>
      </c>
      <c r="D335" s="633"/>
      <c r="E335" s="20">
        <f t="shared" si="54"/>
        <v>1</v>
      </c>
      <c r="F335" s="633"/>
      <c r="G335" s="20">
        <f t="shared" si="55"/>
        <v>1</v>
      </c>
      <c r="H335" s="633"/>
      <c r="I335" s="20">
        <f t="shared" si="56"/>
        <v>1</v>
      </c>
      <c r="J335" s="633"/>
      <c r="K335" s="20">
        <f t="shared" si="57"/>
        <v>1</v>
      </c>
      <c r="L335" s="633"/>
      <c r="M335" s="20">
        <f t="shared" si="58"/>
        <v>1</v>
      </c>
      <c r="N335" s="633"/>
      <c r="O335" s="20">
        <f t="shared" si="59"/>
        <v>1</v>
      </c>
      <c r="P335" s="633"/>
      <c r="Q335" s="20">
        <f t="shared" si="60"/>
        <v>1</v>
      </c>
      <c r="R335" s="20">
        <f t="shared" si="61"/>
        <v>0</v>
      </c>
      <c r="S335" s="306">
        <f t="shared" si="63"/>
        <v>0</v>
      </c>
    </row>
    <row r="336" spans="1:19">
      <c r="A336" s="140"/>
      <c r="B336" s="51"/>
      <c r="C336" s="20">
        <f t="shared" si="53"/>
        <v>1</v>
      </c>
      <c r="D336" s="633"/>
      <c r="E336" s="20">
        <f t="shared" si="54"/>
        <v>1</v>
      </c>
      <c r="F336" s="633"/>
      <c r="G336" s="20">
        <f t="shared" si="55"/>
        <v>1</v>
      </c>
      <c r="H336" s="633"/>
      <c r="I336" s="20">
        <f t="shared" si="56"/>
        <v>1</v>
      </c>
      <c r="J336" s="633"/>
      <c r="K336" s="20">
        <f t="shared" si="57"/>
        <v>1</v>
      </c>
      <c r="L336" s="633"/>
      <c r="M336" s="20">
        <f t="shared" si="58"/>
        <v>1</v>
      </c>
      <c r="N336" s="633"/>
      <c r="O336" s="20">
        <f t="shared" si="59"/>
        <v>1</v>
      </c>
      <c r="P336" s="633"/>
      <c r="Q336" s="20">
        <f t="shared" si="60"/>
        <v>1</v>
      </c>
      <c r="R336" s="20">
        <f t="shared" si="61"/>
        <v>0</v>
      </c>
      <c r="S336" s="306">
        <f t="shared" si="63"/>
        <v>0</v>
      </c>
    </row>
    <row r="337" spans="1:19">
      <c r="A337" s="140"/>
      <c r="B337" s="51"/>
      <c r="C337" s="20">
        <f t="shared" si="53"/>
        <v>1</v>
      </c>
      <c r="D337" s="633"/>
      <c r="E337" s="20">
        <f t="shared" si="54"/>
        <v>1</v>
      </c>
      <c r="F337" s="633"/>
      <c r="G337" s="20">
        <f t="shared" si="55"/>
        <v>1</v>
      </c>
      <c r="H337" s="633"/>
      <c r="I337" s="20">
        <f t="shared" si="56"/>
        <v>1</v>
      </c>
      <c r="J337" s="633"/>
      <c r="K337" s="20">
        <f t="shared" si="57"/>
        <v>1</v>
      </c>
      <c r="L337" s="633"/>
      <c r="M337" s="20">
        <f t="shared" si="58"/>
        <v>1</v>
      </c>
      <c r="N337" s="633"/>
      <c r="O337" s="20">
        <f t="shared" si="59"/>
        <v>1</v>
      </c>
      <c r="P337" s="633"/>
      <c r="Q337" s="20">
        <f t="shared" si="60"/>
        <v>1</v>
      </c>
      <c r="R337" s="20">
        <f t="shared" si="61"/>
        <v>0</v>
      </c>
      <c r="S337" s="306">
        <f t="shared" si="63"/>
        <v>0</v>
      </c>
    </row>
    <row r="338" spans="1:19">
      <c r="A338" s="140"/>
      <c r="B338" s="51"/>
      <c r="C338" s="20">
        <f t="shared" si="53"/>
        <v>1</v>
      </c>
      <c r="D338" s="633"/>
      <c r="E338" s="20">
        <f t="shared" si="54"/>
        <v>1</v>
      </c>
      <c r="F338" s="633"/>
      <c r="G338" s="20">
        <f t="shared" si="55"/>
        <v>1</v>
      </c>
      <c r="H338" s="633"/>
      <c r="I338" s="20">
        <f t="shared" si="56"/>
        <v>1</v>
      </c>
      <c r="J338" s="633"/>
      <c r="K338" s="20">
        <f t="shared" si="57"/>
        <v>1</v>
      </c>
      <c r="L338" s="633"/>
      <c r="M338" s="20">
        <f t="shared" si="58"/>
        <v>1</v>
      </c>
      <c r="N338" s="633"/>
      <c r="O338" s="20">
        <f t="shared" si="59"/>
        <v>1</v>
      </c>
      <c r="P338" s="633"/>
      <c r="Q338" s="20">
        <f t="shared" si="60"/>
        <v>1</v>
      </c>
      <c r="R338" s="20">
        <f t="shared" si="61"/>
        <v>0</v>
      </c>
      <c r="S338" s="306">
        <f t="shared" si="63"/>
        <v>0</v>
      </c>
    </row>
    <row r="339" spans="1:19">
      <c r="A339" s="140"/>
      <c r="B339" s="51"/>
      <c r="C339" s="20">
        <f t="shared" si="53"/>
        <v>1</v>
      </c>
      <c r="D339" s="633"/>
      <c r="E339" s="20">
        <f t="shared" si="54"/>
        <v>1</v>
      </c>
      <c r="F339" s="633"/>
      <c r="G339" s="20">
        <f t="shared" si="55"/>
        <v>1</v>
      </c>
      <c r="H339" s="633"/>
      <c r="I339" s="20">
        <f t="shared" si="56"/>
        <v>1</v>
      </c>
      <c r="J339" s="633"/>
      <c r="K339" s="20">
        <f t="shared" si="57"/>
        <v>1</v>
      </c>
      <c r="L339" s="633"/>
      <c r="M339" s="20">
        <f t="shared" si="58"/>
        <v>1</v>
      </c>
      <c r="N339" s="633"/>
      <c r="O339" s="20">
        <f t="shared" si="59"/>
        <v>1</v>
      </c>
      <c r="P339" s="633"/>
      <c r="Q339" s="20">
        <f t="shared" si="60"/>
        <v>1</v>
      </c>
      <c r="R339" s="20">
        <f t="shared" si="61"/>
        <v>0</v>
      </c>
      <c r="S339" s="306">
        <f t="shared" si="63"/>
        <v>0</v>
      </c>
    </row>
    <row r="340" spans="1:19">
      <c r="A340" s="140"/>
      <c r="B340" s="51"/>
      <c r="C340" s="20">
        <f t="shared" si="53"/>
        <v>1</v>
      </c>
      <c r="D340" s="633"/>
      <c r="E340" s="20">
        <f t="shared" si="54"/>
        <v>1</v>
      </c>
      <c r="F340" s="633"/>
      <c r="G340" s="20">
        <f t="shared" si="55"/>
        <v>1</v>
      </c>
      <c r="H340" s="633"/>
      <c r="I340" s="20">
        <f t="shared" si="56"/>
        <v>1</v>
      </c>
      <c r="J340" s="633"/>
      <c r="K340" s="20">
        <f t="shared" si="57"/>
        <v>1</v>
      </c>
      <c r="L340" s="633"/>
      <c r="M340" s="20">
        <f t="shared" si="58"/>
        <v>1</v>
      </c>
      <c r="N340" s="633"/>
      <c r="O340" s="20">
        <f t="shared" si="59"/>
        <v>1</v>
      </c>
      <c r="P340" s="633"/>
      <c r="Q340" s="20">
        <f t="shared" si="60"/>
        <v>1</v>
      </c>
      <c r="R340" s="20">
        <f t="shared" si="61"/>
        <v>0</v>
      </c>
      <c r="S340" s="306">
        <f t="shared" si="63"/>
        <v>0</v>
      </c>
    </row>
    <row r="341" spans="1:19">
      <c r="A341" s="140"/>
      <c r="B341" s="51"/>
      <c r="C341" s="20">
        <f t="shared" si="53"/>
        <v>1</v>
      </c>
      <c r="D341" s="633"/>
      <c r="E341" s="20">
        <f t="shared" si="54"/>
        <v>1</v>
      </c>
      <c r="F341" s="633"/>
      <c r="G341" s="20">
        <f t="shared" si="55"/>
        <v>1</v>
      </c>
      <c r="H341" s="633"/>
      <c r="I341" s="20">
        <f t="shared" si="56"/>
        <v>1</v>
      </c>
      <c r="J341" s="633"/>
      <c r="K341" s="20">
        <f t="shared" si="57"/>
        <v>1</v>
      </c>
      <c r="L341" s="633"/>
      <c r="M341" s="20">
        <f t="shared" si="58"/>
        <v>1</v>
      </c>
      <c r="N341" s="633"/>
      <c r="O341" s="20">
        <f t="shared" si="59"/>
        <v>1</v>
      </c>
      <c r="P341" s="633"/>
      <c r="Q341" s="20">
        <f t="shared" si="60"/>
        <v>1</v>
      </c>
      <c r="R341" s="20">
        <f t="shared" si="61"/>
        <v>0</v>
      </c>
      <c r="S341" s="306">
        <f t="shared" si="63"/>
        <v>0</v>
      </c>
    </row>
    <row r="342" spans="1:19">
      <c r="A342" s="140"/>
      <c r="B342" s="51"/>
      <c r="C342" s="20">
        <f t="shared" si="53"/>
        <v>1</v>
      </c>
      <c r="D342" s="633"/>
      <c r="E342" s="20">
        <f t="shared" si="54"/>
        <v>1</v>
      </c>
      <c r="F342" s="633"/>
      <c r="G342" s="20">
        <f t="shared" si="55"/>
        <v>1</v>
      </c>
      <c r="H342" s="633"/>
      <c r="I342" s="20">
        <f t="shared" si="56"/>
        <v>1</v>
      </c>
      <c r="J342" s="633"/>
      <c r="K342" s="20">
        <f t="shared" si="57"/>
        <v>1</v>
      </c>
      <c r="L342" s="633"/>
      <c r="M342" s="20">
        <f t="shared" si="58"/>
        <v>1</v>
      </c>
      <c r="N342" s="633"/>
      <c r="O342" s="20">
        <f t="shared" si="59"/>
        <v>1</v>
      </c>
      <c r="P342" s="633"/>
      <c r="Q342" s="20">
        <f t="shared" si="60"/>
        <v>1</v>
      </c>
      <c r="R342" s="20">
        <f t="shared" si="61"/>
        <v>0</v>
      </c>
      <c r="S342" s="306">
        <f t="shared" si="63"/>
        <v>0</v>
      </c>
    </row>
    <row r="343" spans="1:19">
      <c r="A343" s="140"/>
      <c r="B343" s="51"/>
      <c r="C343" s="20">
        <f t="shared" si="53"/>
        <v>1</v>
      </c>
      <c r="D343" s="633"/>
      <c r="E343" s="20">
        <f t="shared" si="54"/>
        <v>1</v>
      </c>
      <c r="F343" s="633"/>
      <c r="G343" s="20">
        <f t="shared" si="55"/>
        <v>1</v>
      </c>
      <c r="H343" s="633"/>
      <c r="I343" s="20">
        <f t="shared" si="56"/>
        <v>1</v>
      </c>
      <c r="J343" s="633"/>
      <c r="K343" s="20">
        <f t="shared" si="57"/>
        <v>1</v>
      </c>
      <c r="L343" s="633"/>
      <c r="M343" s="20">
        <f t="shared" si="58"/>
        <v>1</v>
      </c>
      <c r="N343" s="633"/>
      <c r="O343" s="20">
        <f t="shared" si="59"/>
        <v>1</v>
      </c>
      <c r="P343" s="633"/>
      <c r="Q343" s="20">
        <f t="shared" si="60"/>
        <v>1</v>
      </c>
      <c r="R343" s="20">
        <f t="shared" si="61"/>
        <v>0</v>
      </c>
      <c r="S343" s="306">
        <f t="shared" si="63"/>
        <v>0</v>
      </c>
    </row>
    <row r="344" spans="1:19">
      <c r="A344" s="140"/>
      <c r="B344" s="51"/>
      <c r="C344" s="20">
        <f t="shared" si="53"/>
        <v>1</v>
      </c>
      <c r="D344" s="633"/>
      <c r="E344" s="20">
        <f t="shared" si="54"/>
        <v>1</v>
      </c>
      <c r="F344" s="633"/>
      <c r="G344" s="20">
        <f t="shared" si="55"/>
        <v>1</v>
      </c>
      <c r="H344" s="633"/>
      <c r="I344" s="20">
        <f t="shared" si="56"/>
        <v>1</v>
      </c>
      <c r="J344" s="633"/>
      <c r="K344" s="20">
        <f t="shared" si="57"/>
        <v>1</v>
      </c>
      <c r="L344" s="633"/>
      <c r="M344" s="20">
        <f t="shared" si="58"/>
        <v>1</v>
      </c>
      <c r="N344" s="633"/>
      <c r="O344" s="20">
        <f t="shared" si="59"/>
        <v>1</v>
      </c>
      <c r="P344" s="633"/>
      <c r="Q344" s="20">
        <f t="shared" si="60"/>
        <v>1</v>
      </c>
      <c r="R344" s="20">
        <f t="shared" si="61"/>
        <v>0</v>
      </c>
      <c r="S344" s="306">
        <f t="shared" si="63"/>
        <v>0</v>
      </c>
    </row>
    <row r="345" spans="1:19">
      <c r="A345" s="140"/>
      <c r="B345" s="51"/>
      <c r="C345" s="20">
        <f t="shared" si="53"/>
        <v>1</v>
      </c>
      <c r="D345" s="633"/>
      <c r="E345" s="20">
        <f t="shared" si="54"/>
        <v>1</v>
      </c>
      <c r="F345" s="633"/>
      <c r="G345" s="20">
        <f t="shared" si="55"/>
        <v>1</v>
      </c>
      <c r="H345" s="633"/>
      <c r="I345" s="20">
        <f t="shared" si="56"/>
        <v>1</v>
      </c>
      <c r="J345" s="633"/>
      <c r="K345" s="20">
        <f t="shared" si="57"/>
        <v>1</v>
      </c>
      <c r="L345" s="633"/>
      <c r="M345" s="20">
        <f t="shared" si="58"/>
        <v>1</v>
      </c>
      <c r="N345" s="633"/>
      <c r="O345" s="20">
        <f t="shared" si="59"/>
        <v>1</v>
      </c>
      <c r="P345" s="633"/>
      <c r="Q345" s="20">
        <f t="shared" si="60"/>
        <v>1</v>
      </c>
      <c r="R345" s="20">
        <f t="shared" si="61"/>
        <v>0</v>
      </c>
      <c r="S345" s="306">
        <f t="shared" si="63"/>
        <v>0</v>
      </c>
    </row>
    <row r="346" spans="1:19">
      <c r="A346" s="140"/>
      <c r="B346" s="51"/>
      <c r="C346" s="20">
        <f t="shared" ref="C346:C409" si="64">IF(B346="",1,(LOOKUP(B346,$3:$3,$4:$4)-LOOKUP($B$24,$3:$3,$4:$4)+100)/100)</f>
        <v>1</v>
      </c>
      <c r="D346" s="633"/>
      <c r="E346" s="20">
        <f t="shared" ref="E346:E409" si="65">(SUMIF($5:$5,D346,$6:$6)-SUMIF($5:$5,$D$24,$6:$6)+100)/100</f>
        <v>1</v>
      </c>
      <c r="F346" s="633"/>
      <c r="G346" s="20">
        <f t="shared" ref="G346:G409" si="66">(SUMIF($7:$7,F346,$8:$8)-SUMIF($7:$7,$F$24,$8:$8)+100)/100</f>
        <v>1</v>
      </c>
      <c r="H346" s="633"/>
      <c r="I346" s="20">
        <f t="shared" ref="I346:I409" si="67">(SUMIF($9:$9,H346,$10:$10)-SUMIF($9:$9,$H$24,$10:$10)+100)/100</f>
        <v>1</v>
      </c>
      <c r="J346" s="633"/>
      <c r="K346" s="20">
        <f t="shared" ref="K346:K409" si="68">(SUMIF($11:$11,J346,$12:$12)-SUMIF($11:$11,$J$24,$12:$12)+100)/100</f>
        <v>1</v>
      </c>
      <c r="L346" s="633"/>
      <c r="M346" s="20">
        <f t="shared" ref="M346:M409" si="69">(SUMIF($13:$13,L346,$14:$14)-SUMIF($13:$13,$L$24,$14:$14)+100)/100</f>
        <v>1</v>
      </c>
      <c r="N346" s="633"/>
      <c r="O346" s="20">
        <f t="shared" ref="O346:O409" si="70">(SUMIF($15:$15,N346,$16:$16)-SUMIF($15:$15,$N$24,$16:$16)+100)/100</f>
        <v>1</v>
      </c>
      <c r="P346" s="633"/>
      <c r="Q346" s="20">
        <f t="shared" ref="Q346:Q409" si="71">(SUMIF($17:$17,P346,$18:$18)-SUMIF($17:$17,$P$24,$18:$18)+100)/100</f>
        <v>1</v>
      </c>
      <c r="R346" s="20">
        <f t="shared" ref="R346:R409" si="72">IF(B346="",0,ROUND($R$24*C346*E346*G346*I346*K346*M346*O346*Q346,0))</f>
        <v>0</v>
      </c>
      <c r="S346" s="306">
        <f t="shared" si="63"/>
        <v>0</v>
      </c>
    </row>
    <row r="347" spans="1:19">
      <c r="A347" s="140"/>
      <c r="B347" s="51"/>
      <c r="C347" s="20">
        <f t="shared" si="64"/>
        <v>1</v>
      </c>
      <c r="D347" s="633"/>
      <c r="E347" s="20">
        <f t="shared" si="65"/>
        <v>1</v>
      </c>
      <c r="F347" s="633"/>
      <c r="G347" s="20">
        <f t="shared" si="66"/>
        <v>1</v>
      </c>
      <c r="H347" s="633"/>
      <c r="I347" s="20">
        <f t="shared" si="67"/>
        <v>1</v>
      </c>
      <c r="J347" s="633"/>
      <c r="K347" s="20">
        <f t="shared" si="68"/>
        <v>1</v>
      </c>
      <c r="L347" s="633"/>
      <c r="M347" s="20">
        <f t="shared" si="69"/>
        <v>1</v>
      </c>
      <c r="N347" s="633"/>
      <c r="O347" s="20">
        <f t="shared" si="70"/>
        <v>1</v>
      </c>
      <c r="P347" s="633"/>
      <c r="Q347" s="20">
        <f t="shared" si="71"/>
        <v>1</v>
      </c>
      <c r="R347" s="20">
        <f t="shared" si="72"/>
        <v>0</v>
      </c>
      <c r="S347" s="306">
        <f t="shared" si="63"/>
        <v>0</v>
      </c>
    </row>
    <row r="348" spans="1:19">
      <c r="A348" s="140"/>
      <c r="B348" s="51"/>
      <c r="C348" s="20">
        <f t="shared" si="64"/>
        <v>1</v>
      </c>
      <c r="D348" s="633"/>
      <c r="E348" s="20">
        <f t="shared" si="65"/>
        <v>1</v>
      </c>
      <c r="F348" s="633"/>
      <c r="G348" s="20">
        <f t="shared" si="66"/>
        <v>1</v>
      </c>
      <c r="H348" s="633"/>
      <c r="I348" s="20">
        <f t="shared" si="67"/>
        <v>1</v>
      </c>
      <c r="J348" s="633"/>
      <c r="K348" s="20">
        <f t="shared" si="68"/>
        <v>1</v>
      </c>
      <c r="L348" s="633"/>
      <c r="M348" s="20">
        <f t="shared" si="69"/>
        <v>1</v>
      </c>
      <c r="N348" s="633"/>
      <c r="O348" s="20">
        <f t="shared" si="70"/>
        <v>1</v>
      </c>
      <c r="P348" s="633"/>
      <c r="Q348" s="20">
        <f t="shared" si="71"/>
        <v>1</v>
      </c>
      <c r="R348" s="20">
        <f t="shared" si="72"/>
        <v>0</v>
      </c>
      <c r="S348" s="306">
        <f t="shared" si="63"/>
        <v>0</v>
      </c>
    </row>
    <row r="349" spans="1:19">
      <c r="A349" s="140"/>
      <c r="B349" s="51"/>
      <c r="C349" s="20">
        <f t="shared" si="64"/>
        <v>1</v>
      </c>
      <c r="D349" s="633"/>
      <c r="E349" s="20">
        <f t="shared" si="65"/>
        <v>1</v>
      </c>
      <c r="F349" s="633"/>
      <c r="G349" s="20">
        <f t="shared" si="66"/>
        <v>1</v>
      </c>
      <c r="H349" s="633"/>
      <c r="I349" s="20">
        <f t="shared" si="67"/>
        <v>1</v>
      </c>
      <c r="J349" s="633"/>
      <c r="K349" s="20">
        <f t="shared" si="68"/>
        <v>1</v>
      </c>
      <c r="L349" s="633"/>
      <c r="M349" s="20">
        <f t="shared" si="69"/>
        <v>1</v>
      </c>
      <c r="N349" s="633"/>
      <c r="O349" s="20">
        <f t="shared" si="70"/>
        <v>1</v>
      </c>
      <c r="P349" s="633"/>
      <c r="Q349" s="20">
        <f t="shared" si="71"/>
        <v>1</v>
      </c>
      <c r="R349" s="20">
        <f t="shared" si="72"/>
        <v>0</v>
      </c>
      <c r="S349" s="306">
        <f t="shared" si="63"/>
        <v>0</v>
      </c>
    </row>
    <row r="350" spans="1:19">
      <c r="A350" s="140"/>
      <c r="B350" s="51"/>
      <c r="C350" s="20">
        <f t="shared" si="64"/>
        <v>1</v>
      </c>
      <c r="D350" s="633"/>
      <c r="E350" s="20">
        <f t="shared" si="65"/>
        <v>1</v>
      </c>
      <c r="F350" s="633"/>
      <c r="G350" s="20">
        <f t="shared" si="66"/>
        <v>1</v>
      </c>
      <c r="H350" s="633"/>
      <c r="I350" s="20">
        <f t="shared" si="67"/>
        <v>1</v>
      </c>
      <c r="J350" s="633"/>
      <c r="K350" s="20">
        <f t="shared" si="68"/>
        <v>1</v>
      </c>
      <c r="L350" s="633"/>
      <c r="M350" s="20">
        <f t="shared" si="69"/>
        <v>1</v>
      </c>
      <c r="N350" s="633"/>
      <c r="O350" s="20">
        <f t="shared" si="70"/>
        <v>1</v>
      </c>
      <c r="P350" s="633"/>
      <c r="Q350" s="20">
        <f t="shared" si="71"/>
        <v>1</v>
      </c>
      <c r="R350" s="20">
        <f t="shared" si="72"/>
        <v>0</v>
      </c>
      <c r="S350" s="306">
        <f t="shared" si="63"/>
        <v>0</v>
      </c>
    </row>
    <row r="351" spans="1:19">
      <c r="A351" s="140"/>
      <c r="B351" s="51"/>
      <c r="C351" s="20">
        <f t="shared" si="64"/>
        <v>1</v>
      </c>
      <c r="D351" s="633"/>
      <c r="E351" s="20">
        <f t="shared" si="65"/>
        <v>1</v>
      </c>
      <c r="F351" s="633"/>
      <c r="G351" s="20">
        <f t="shared" si="66"/>
        <v>1</v>
      </c>
      <c r="H351" s="633"/>
      <c r="I351" s="20">
        <f t="shared" si="67"/>
        <v>1</v>
      </c>
      <c r="J351" s="633"/>
      <c r="K351" s="20">
        <f t="shared" si="68"/>
        <v>1</v>
      </c>
      <c r="L351" s="633"/>
      <c r="M351" s="20">
        <f t="shared" si="69"/>
        <v>1</v>
      </c>
      <c r="N351" s="633"/>
      <c r="O351" s="20">
        <f t="shared" si="70"/>
        <v>1</v>
      </c>
      <c r="P351" s="633"/>
      <c r="Q351" s="20">
        <f t="shared" si="71"/>
        <v>1</v>
      </c>
      <c r="R351" s="20">
        <f t="shared" si="72"/>
        <v>0</v>
      </c>
      <c r="S351" s="306">
        <f t="shared" si="63"/>
        <v>0</v>
      </c>
    </row>
    <row r="352" spans="1:19">
      <c r="A352" s="140"/>
      <c r="B352" s="51"/>
      <c r="C352" s="20">
        <f t="shared" si="64"/>
        <v>1</v>
      </c>
      <c r="D352" s="633"/>
      <c r="E352" s="20">
        <f t="shared" si="65"/>
        <v>1</v>
      </c>
      <c r="F352" s="633"/>
      <c r="G352" s="20">
        <f t="shared" si="66"/>
        <v>1</v>
      </c>
      <c r="H352" s="633"/>
      <c r="I352" s="20">
        <f t="shared" si="67"/>
        <v>1</v>
      </c>
      <c r="J352" s="633"/>
      <c r="K352" s="20">
        <f t="shared" si="68"/>
        <v>1</v>
      </c>
      <c r="L352" s="633"/>
      <c r="M352" s="20">
        <f t="shared" si="69"/>
        <v>1</v>
      </c>
      <c r="N352" s="633"/>
      <c r="O352" s="20">
        <f t="shared" si="70"/>
        <v>1</v>
      </c>
      <c r="P352" s="633"/>
      <c r="Q352" s="20">
        <f t="shared" si="71"/>
        <v>1</v>
      </c>
      <c r="R352" s="20">
        <f t="shared" si="72"/>
        <v>0</v>
      </c>
      <c r="S352" s="306">
        <f t="shared" si="63"/>
        <v>0</v>
      </c>
    </row>
    <row r="353" spans="1:19">
      <c r="A353" s="140"/>
      <c r="B353" s="51"/>
      <c r="C353" s="20">
        <f t="shared" si="64"/>
        <v>1</v>
      </c>
      <c r="D353" s="633"/>
      <c r="E353" s="20">
        <f t="shared" si="65"/>
        <v>1</v>
      </c>
      <c r="F353" s="633"/>
      <c r="G353" s="20">
        <f t="shared" si="66"/>
        <v>1</v>
      </c>
      <c r="H353" s="633"/>
      <c r="I353" s="20">
        <f t="shared" si="67"/>
        <v>1</v>
      </c>
      <c r="J353" s="633"/>
      <c r="K353" s="20">
        <f t="shared" si="68"/>
        <v>1</v>
      </c>
      <c r="L353" s="633"/>
      <c r="M353" s="20">
        <f t="shared" si="69"/>
        <v>1</v>
      </c>
      <c r="N353" s="633"/>
      <c r="O353" s="20">
        <f t="shared" si="70"/>
        <v>1</v>
      </c>
      <c r="P353" s="633"/>
      <c r="Q353" s="20">
        <f t="shared" si="71"/>
        <v>1</v>
      </c>
      <c r="R353" s="20">
        <f t="shared" si="72"/>
        <v>0</v>
      </c>
      <c r="S353" s="306">
        <f t="shared" si="63"/>
        <v>0</v>
      </c>
    </row>
    <row r="354" spans="1:19">
      <c r="A354" s="140"/>
      <c r="B354" s="51"/>
      <c r="C354" s="20">
        <f t="shared" si="64"/>
        <v>1</v>
      </c>
      <c r="D354" s="633"/>
      <c r="E354" s="20">
        <f t="shared" si="65"/>
        <v>1</v>
      </c>
      <c r="F354" s="633"/>
      <c r="G354" s="20">
        <f t="shared" si="66"/>
        <v>1</v>
      </c>
      <c r="H354" s="633"/>
      <c r="I354" s="20">
        <f t="shared" si="67"/>
        <v>1</v>
      </c>
      <c r="J354" s="633"/>
      <c r="K354" s="20">
        <f t="shared" si="68"/>
        <v>1</v>
      </c>
      <c r="L354" s="633"/>
      <c r="M354" s="20">
        <f t="shared" si="69"/>
        <v>1</v>
      </c>
      <c r="N354" s="633"/>
      <c r="O354" s="20">
        <f t="shared" si="70"/>
        <v>1</v>
      </c>
      <c r="P354" s="633"/>
      <c r="Q354" s="20">
        <f t="shared" si="71"/>
        <v>1</v>
      </c>
      <c r="R354" s="20">
        <f t="shared" si="72"/>
        <v>0</v>
      </c>
      <c r="S354" s="306">
        <f t="shared" si="63"/>
        <v>0</v>
      </c>
    </row>
    <row r="355" spans="1:19">
      <c r="A355" s="140"/>
      <c r="B355" s="51"/>
      <c r="C355" s="20">
        <f t="shared" si="64"/>
        <v>1</v>
      </c>
      <c r="D355" s="633"/>
      <c r="E355" s="20">
        <f t="shared" si="65"/>
        <v>1</v>
      </c>
      <c r="F355" s="633"/>
      <c r="G355" s="20">
        <f t="shared" si="66"/>
        <v>1</v>
      </c>
      <c r="H355" s="633"/>
      <c r="I355" s="20">
        <f t="shared" si="67"/>
        <v>1</v>
      </c>
      <c r="J355" s="633"/>
      <c r="K355" s="20">
        <f t="shared" si="68"/>
        <v>1</v>
      </c>
      <c r="L355" s="633"/>
      <c r="M355" s="20">
        <f t="shared" si="69"/>
        <v>1</v>
      </c>
      <c r="N355" s="633"/>
      <c r="O355" s="20">
        <f t="shared" si="70"/>
        <v>1</v>
      </c>
      <c r="P355" s="633"/>
      <c r="Q355" s="20">
        <f t="shared" si="71"/>
        <v>1</v>
      </c>
      <c r="R355" s="20">
        <f t="shared" si="72"/>
        <v>0</v>
      </c>
      <c r="S355" s="306">
        <f t="shared" si="63"/>
        <v>0</v>
      </c>
    </row>
    <row r="356" spans="1:19">
      <c r="A356" s="140"/>
      <c r="B356" s="51"/>
      <c r="C356" s="20">
        <f t="shared" si="64"/>
        <v>1</v>
      </c>
      <c r="D356" s="633"/>
      <c r="E356" s="20">
        <f t="shared" si="65"/>
        <v>1</v>
      </c>
      <c r="F356" s="633"/>
      <c r="G356" s="20">
        <f t="shared" si="66"/>
        <v>1</v>
      </c>
      <c r="H356" s="633"/>
      <c r="I356" s="20">
        <f t="shared" si="67"/>
        <v>1</v>
      </c>
      <c r="J356" s="633"/>
      <c r="K356" s="20">
        <f t="shared" si="68"/>
        <v>1</v>
      </c>
      <c r="L356" s="633"/>
      <c r="M356" s="20">
        <f t="shared" si="69"/>
        <v>1</v>
      </c>
      <c r="N356" s="633"/>
      <c r="O356" s="20">
        <f t="shared" si="70"/>
        <v>1</v>
      </c>
      <c r="P356" s="633"/>
      <c r="Q356" s="20">
        <f t="shared" si="71"/>
        <v>1</v>
      </c>
      <c r="R356" s="20">
        <f t="shared" si="72"/>
        <v>0</v>
      </c>
      <c r="S356" s="306">
        <f t="shared" si="63"/>
        <v>0</v>
      </c>
    </row>
    <row r="357" spans="1:19">
      <c r="A357" s="140"/>
      <c r="B357" s="51"/>
      <c r="C357" s="20">
        <f t="shared" si="64"/>
        <v>1</v>
      </c>
      <c r="D357" s="633"/>
      <c r="E357" s="20">
        <f t="shared" si="65"/>
        <v>1</v>
      </c>
      <c r="F357" s="633"/>
      <c r="G357" s="20">
        <f t="shared" si="66"/>
        <v>1</v>
      </c>
      <c r="H357" s="633"/>
      <c r="I357" s="20">
        <f t="shared" si="67"/>
        <v>1</v>
      </c>
      <c r="J357" s="633"/>
      <c r="K357" s="20">
        <f t="shared" si="68"/>
        <v>1</v>
      </c>
      <c r="L357" s="633"/>
      <c r="M357" s="20">
        <f t="shared" si="69"/>
        <v>1</v>
      </c>
      <c r="N357" s="633"/>
      <c r="O357" s="20">
        <f t="shared" si="70"/>
        <v>1</v>
      </c>
      <c r="P357" s="633"/>
      <c r="Q357" s="20">
        <f t="shared" si="71"/>
        <v>1</v>
      </c>
      <c r="R357" s="20">
        <f t="shared" si="72"/>
        <v>0</v>
      </c>
      <c r="S357" s="306">
        <f t="shared" si="63"/>
        <v>0</v>
      </c>
    </row>
    <row r="358" spans="1:19">
      <c r="A358" s="140"/>
      <c r="B358" s="51"/>
      <c r="C358" s="20">
        <f t="shared" si="64"/>
        <v>1</v>
      </c>
      <c r="D358" s="633"/>
      <c r="E358" s="20">
        <f t="shared" si="65"/>
        <v>1</v>
      </c>
      <c r="F358" s="633"/>
      <c r="G358" s="20">
        <f t="shared" si="66"/>
        <v>1</v>
      </c>
      <c r="H358" s="633"/>
      <c r="I358" s="20">
        <f t="shared" si="67"/>
        <v>1</v>
      </c>
      <c r="J358" s="633"/>
      <c r="K358" s="20">
        <f t="shared" si="68"/>
        <v>1</v>
      </c>
      <c r="L358" s="633"/>
      <c r="M358" s="20">
        <f t="shared" si="69"/>
        <v>1</v>
      </c>
      <c r="N358" s="633"/>
      <c r="O358" s="20">
        <f t="shared" si="70"/>
        <v>1</v>
      </c>
      <c r="P358" s="633"/>
      <c r="Q358" s="20">
        <f t="shared" si="71"/>
        <v>1</v>
      </c>
      <c r="R358" s="20">
        <f t="shared" si="72"/>
        <v>0</v>
      </c>
      <c r="S358" s="306">
        <f t="shared" si="63"/>
        <v>0</v>
      </c>
    </row>
    <row r="359" spans="1:19">
      <c r="A359" s="140"/>
      <c r="B359" s="51"/>
      <c r="C359" s="20">
        <f t="shared" si="64"/>
        <v>1</v>
      </c>
      <c r="D359" s="633"/>
      <c r="E359" s="20">
        <f t="shared" si="65"/>
        <v>1</v>
      </c>
      <c r="F359" s="633"/>
      <c r="G359" s="20">
        <f t="shared" si="66"/>
        <v>1</v>
      </c>
      <c r="H359" s="633"/>
      <c r="I359" s="20">
        <f t="shared" si="67"/>
        <v>1</v>
      </c>
      <c r="J359" s="633"/>
      <c r="K359" s="20">
        <f t="shared" si="68"/>
        <v>1</v>
      </c>
      <c r="L359" s="633"/>
      <c r="M359" s="20">
        <f t="shared" si="69"/>
        <v>1</v>
      </c>
      <c r="N359" s="633"/>
      <c r="O359" s="20">
        <f t="shared" si="70"/>
        <v>1</v>
      </c>
      <c r="P359" s="633"/>
      <c r="Q359" s="20">
        <f t="shared" si="71"/>
        <v>1</v>
      </c>
      <c r="R359" s="20">
        <f t="shared" si="72"/>
        <v>0</v>
      </c>
      <c r="S359" s="306">
        <f t="shared" si="63"/>
        <v>0</v>
      </c>
    </row>
    <row r="360" spans="1:19">
      <c r="A360" s="140"/>
      <c r="B360" s="51"/>
      <c r="C360" s="20">
        <f t="shared" si="64"/>
        <v>1</v>
      </c>
      <c r="D360" s="633"/>
      <c r="E360" s="20">
        <f t="shared" si="65"/>
        <v>1</v>
      </c>
      <c r="F360" s="633"/>
      <c r="G360" s="20">
        <f t="shared" si="66"/>
        <v>1</v>
      </c>
      <c r="H360" s="633"/>
      <c r="I360" s="20">
        <f t="shared" si="67"/>
        <v>1</v>
      </c>
      <c r="J360" s="633"/>
      <c r="K360" s="20">
        <f t="shared" si="68"/>
        <v>1</v>
      </c>
      <c r="L360" s="633"/>
      <c r="M360" s="20">
        <f t="shared" si="69"/>
        <v>1</v>
      </c>
      <c r="N360" s="633"/>
      <c r="O360" s="20">
        <f t="shared" si="70"/>
        <v>1</v>
      </c>
      <c r="P360" s="633"/>
      <c r="Q360" s="20">
        <f t="shared" si="71"/>
        <v>1</v>
      </c>
      <c r="R360" s="20">
        <f t="shared" si="72"/>
        <v>0</v>
      </c>
      <c r="S360" s="306">
        <f t="shared" si="63"/>
        <v>0</v>
      </c>
    </row>
    <row r="361" spans="1:19">
      <c r="A361" s="140"/>
      <c r="B361" s="51"/>
      <c r="C361" s="20">
        <f t="shared" si="64"/>
        <v>1</v>
      </c>
      <c r="D361" s="633"/>
      <c r="E361" s="20">
        <f t="shared" si="65"/>
        <v>1</v>
      </c>
      <c r="F361" s="633"/>
      <c r="G361" s="20">
        <f t="shared" si="66"/>
        <v>1</v>
      </c>
      <c r="H361" s="633"/>
      <c r="I361" s="20">
        <f t="shared" si="67"/>
        <v>1</v>
      </c>
      <c r="J361" s="633"/>
      <c r="K361" s="20">
        <f t="shared" si="68"/>
        <v>1</v>
      </c>
      <c r="L361" s="633"/>
      <c r="M361" s="20">
        <f t="shared" si="69"/>
        <v>1</v>
      </c>
      <c r="N361" s="633"/>
      <c r="O361" s="20">
        <f t="shared" si="70"/>
        <v>1</v>
      </c>
      <c r="P361" s="633"/>
      <c r="Q361" s="20">
        <f t="shared" si="71"/>
        <v>1</v>
      </c>
      <c r="R361" s="20">
        <f t="shared" si="72"/>
        <v>0</v>
      </c>
      <c r="S361" s="306">
        <f t="shared" si="63"/>
        <v>0</v>
      </c>
    </row>
    <row r="362" spans="1:19">
      <c r="A362" s="140"/>
      <c r="B362" s="51"/>
      <c r="C362" s="20">
        <f t="shared" si="64"/>
        <v>1</v>
      </c>
      <c r="D362" s="633"/>
      <c r="E362" s="20">
        <f t="shared" si="65"/>
        <v>1</v>
      </c>
      <c r="F362" s="633"/>
      <c r="G362" s="20">
        <f t="shared" si="66"/>
        <v>1</v>
      </c>
      <c r="H362" s="633"/>
      <c r="I362" s="20">
        <f t="shared" si="67"/>
        <v>1</v>
      </c>
      <c r="J362" s="633"/>
      <c r="K362" s="20">
        <f t="shared" si="68"/>
        <v>1</v>
      </c>
      <c r="L362" s="633"/>
      <c r="M362" s="20">
        <f t="shared" si="69"/>
        <v>1</v>
      </c>
      <c r="N362" s="633"/>
      <c r="O362" s="20">
        <f t="shared" si="70"/>
        <v>1</v>
      </c>
      <c r="P362" s="633"/>
      <c r="Q362" s="20">
        <f t="shared" si="71"/>
        <v>1</v>
      </c>
      <c r="R362" s="20">
        <f t="shared" si="72"/>
        <v>0</v>
      </c>
      <c r="S362" s="306">
        <f t="shared" si="63"/>
        <v>0</v>
      </c>
    </row>
    <row r="363" spans="1:19">
      <c r="A363" s="140"/>
      <c r="B363" s="51"/>
      <c r="C363" s="20">
        <f t="shared" si="64"/>
        <v>1</v>
      </c>
      <c r="D363" s="633"/>
      <c r="E363" s="20">
        <f t="shared" si="65"/>
        <v>1</v>
      </c>
      <c r="F363" s="633"/>
      <c r="G363" s="20">
        <f t="shared" si="66"/>
        <v>1</v>
      </c>
      <c r="H363" s="633"/>
      <c r="I363" s="20">
        <f t="shared" si="67"/>
        <v>1</v>
      </c>
      <c r="J363" s="633"/>
      <c r="K363" s="20">
        <f t="shared" si="68"/>
        <v>1</v>
      </c>
      <c r="L363" s="633"/>
      <c r="M363" s="20">
        <f t="shared" si="69"/>
        <v>1</v>
      </c>
      <c r="N363" s="633"/>
      <c r="O363" s="20">
        <f t="shared" si="70"/>
        <v>1</v>
      </c>
      <c r="P363" s="633"/>
      <c r="Q363" s="20">
        <f t="shared" si="71"/>
        <v>1</v>
      </c>
      <c r="R363" s="20">
        <f t="shared" si="72"/>
        <v>0</v>
      </c>
      <c r="S363" s="306">
        <f t="shared" si="63"/>
        <v>0</v>
      </c>
    </row>
    <row r="364" spans="1:19">
      <c r="A364" s="140"/>
      <c r="B364" s="51"/>
      <c r="C364" s="20">
        <f t="shared" si="64"/>
        <v>1</v>
      </c>
      <c r="D364" s="633"/>
      <c r="E364" s="20">
        <f t="shared" si="65"/>
        <v>1</v>
      </c>
      <c r="F364" s="633"/>
      <c r="G364" s="20">
        <f t="shared" si="66"/>
        <v>1</v>
      </c>
      <c r="H364" s="633"/>
      <c r="I364" s="20">
        <f t="shared" si="67"/>
        <v>1</v>
      </c>
      <c r="J364" s="633"/>
      <c r="K364" s="20">
        <f t="shared" si="68"/>
        <v>1</v>
      </c>
      <c r="L364" s="633"/>
      <c r="M364" s="20">
        <f t="shared" si="69"/>
        <v>1</v>
      </c>
      <c r="N364" s="633"/>
      <c r="O364" s="20">
        <f t="shared" si="70"/>
        <v>1</v>
      </c>
      <c r="P364" s="633"/>
      <c r="Q364" s="20">
        <f t="shared" si="71"/>
        <v>1</v>
      </c>
      <c r="R364" s="20">
        <f t="shared" si="72"/>
        <v>0</v>
      </c>
      <c r="S364" s="306">
        <f t="shared" si="63"/>
        <v>0</v>
      </c>
    </row>
    <row r="365" spans="1:19">
      <c r="A365" s="140"/>
      <c r="B365" s="51"/>
      <c r="C365" s="20">
        <f t="shared" si="64"/>
        <v>1</v>
      </c>
      <c r="D365" s="633"/>
      <c r="E365" s="20">
        <f t="shared" si="65"/>
        <v>1</v>
      </c>
      <c r="F365" s="633"/>
      <c r="G365" s="20">
        <f t="shared" si="66"/>
        <v>1</v>
      </c>
      <c r="H365" s="633"/>
      <c r="I365" s="20">
        <f t="shared" si="67"/>
        <v>1</v>
      </c>
      <c r="J365" s="633"/>
      <c r="K365" s="20">
        <f t="shared" si="68"/>
        <v>1</v>
      </c>
      <c r="L365" s="633"/>
      <c r="M365" s="20">
        <f t="shared" si="69"/>
        <v>1</v>
      </c>
      <c r="N365" s="633"/>
      <c r="O365" s="20">
        <f t="shared" si="70"/>
        <v>1</v>
      </c>
      <c r="P365" s="633"/>
      <c r="Q365" s="20">
        <f t="shared" si="71"/>
        <v>1</v>
      </c>
      <c r="R365" s="20">
        <f t="shared" si="72"/>
        <v>0</v>
      </c>
      <c r="S365" s="306">
        <f t="shared" si="63"/>
        <v>0</v>
      </c>
    </row>
    <row r="366" spans="1:19">
      <c r="A366" s="140"/>
      <c r="B366" s="51"/>
      <c r="C366" s="20">
        <f t="shared" si="64"/>
        <v>1</v>
      </c>
      <c r="D366" s="633"/>
      <c r="E366" s="20">
        <f t="shared" si="65"/>
        <v>1</v>
      </c>
      <c r="F366" s="633"/>
      <c r="G366" s="20">
        <f t="shared" si="66"/>
        <v>1</v>
      </c>
      <c r="H366" s="633"/>
      <c r="I366" s="20">
        <f t="shared" si="67"/>
        <v>1</v>
      </c>
      <c r="J366" s="633"/>
      <c r="K366" s="20">
        <f t="shared" si="68"/>
        <v>1</v>
      </c>
      <c r="L366" s="633"/>
      <c r="M366" s="20">
        <f t="shared" si="69"/>
        <v>1</v>
      </c>
      <c r="N366" s="633"/>
      <c r="O366" s="20">
        <f t="shared" si="70"/>
        <v>1</v>
      </c>
      <c r="P366" s="633"/>
      <c r="Q366" s="20">
        <f t="shared" si="71"/>
        <v>1</v>
      </c>
      <c r="R366" s="20">
        <f t="shared" si="72"/>
        <v>0</v>
      </c>
      <c r="S366" s="306">
        <f t="shared" si="63"/>
        <v>0</v>
      </c>
    </row>
    <row r="367" spans="1:19">
      <c r="A367" s="140"/>
      <c r="B367" s="51"/>
      <c r="C367" s="20">
        <f t="shared" si="64"/>
        <v>1</v>
      </c>
      <c r="D367" s="633"/>
      <c r="E367" s="20">
        <f t="shared" si="65"/>
        <v>1</v>
      </c>
      <c r="F367" s="633"/>
      <c r="G367" s="20">
        <f t="shared" si="66"/>
        <v>1</v>
      </c>
      <c r="H367" s="633"/>
      <c r="I367" s="20">
        <f t="shared" si="67"/>
        <v>1</v>
      </c>
      <c r="J367" s="633"/>
      <c r="K367" s="20">
        <f t="shared" si="68"/>
        <v>1</v>
      </c>
      <c r="L367" s="633"/>
      <c r="M367" s="20">
        <f t="shared" si="69"/>
        <v>1</v>
      </c>
      <c r="N367" s="633"/>
      <c r="O367" s="20">
        <f t="shared" si="70"/>
        <v>1</v>
      </c>
      <c r="P367" s="633"/>
      <c r="Q367" s="20">
        <f t="shared" si="71"/>
        <v>1</v>
      </c>
      <c r="R367" s="20">
        <f t="shared" si="72"/>
        <v>0</v>
      </c>
      <c r="S367" s="306">
        <f t="shared" si="63"/>
        <v>0</v>
      </c>
    </row>
    <row r="368" spans="1:19">
      <c r="A368" s="140"/>
      <c r="B368" s="51"/>
      <c r="C368" s="20">
        <f t="shared" si="64"/>
        <v>1</v>
      </c>
      <c r="D368" s="633"/>
      <c r="E368" s="20">
        <f t="shared" si="65"/>
        <v>1</v>
      </c>
      <c r="F368" s="633"/>
      <c r="G368" s="20">
        <f t="shared" si="66"/>
        <v>1</v>
      </c>
      <c r="H368" s="633"/>
      <c r="I368" s="20">
        <f t="shared" si="67"/>
        <v>1</v>
      </c>
      <c r="J368" s="633"/>
      <c r="K368" s="20">
        <f t="shared" si="68"/>
        <v>1</v>
      </c>
      <c r="L368" s="633"/>
      <c r="M368" s="20">
        <f t="shared" si="69"/>
        <v>1</v>
      </c>
      <c r="N368" s="633"/>
      <c r="O368" s="20">
        <f t="shared" si="70"/>
        <v>1</v>
      </c>
      <c r="P368" s="633"/>
      <c r="Q368" s="20">
        <f t="shared" si="71"/>
        <v>1</v>
      </c>
      <c r="R368" s="20">
        <f t="shared" si="72"/>
        <v>0</v>
      </c>
      <c r="S368" s="306">
        <f t="shared" si="63"/>
        <v>0</v>
      </c>
    </row>
    <row r="369" spans="1:19">
      <c r="A369" s="140"/>
      <c r="B369" s="51"/>
      <c r="C369" s="20">
        <f t="shared" si="64"/>
        <v>1</v>
      </c>
      <c r="D369" s="633"/>
      <c r="E369" s="20">
        <f t="shared" si="65"/>
        <v>1</v>
      </c>
      <c r="F369" s="633"/>
      <c r="G369" s="20">
        <f t="shared" si="66"/>
        <v>1</v>
      </c>
      <c r="H369" s="633"/>
      <c r="I369" s="20">
        <f t="shared" si="67"/>
        <v>1</v>
      </c>
      <c r="J369" s="633"/>
      <c r="K369" s="20">
        <f t="shared" si="68"/>
        <v>1</v>
      </c>
      <c r="L369" s="633"/>
      <c r="M369" s="20">
        <f t="shared" si="69"/>
        <v>1</v>
      </c>
      <c r="N369" s="633"/>
      <c r="O369" s="20">
        <f t="shared" si="70"/>
        <v>1</v>
      </c>
      <c r="P369" s="633"/>
      <c r="Q369" s="20">
        <f t="shared" si="71"/>
        <v>1</v>
      </c>
      <c r="R369" s="20">
        <f t="shared" si="72"/>
        <v>0</v>
      </c>
      <c r="S369" s="306">
        <f t="shared" si="63"/>
        <v>0</v>
      </c>
    </row>
    <row r="370" spans="1:19">
      <c r="A370" s="140"/>
      <c r="B370" s="51"/>
      <c r="C370" s="20">
        <f t="shared" si="64"/>
        <v>1</v>
      </c>
      <c r="D370" s="633"/>
      <c r="E370" s="20">
        <f t="shared" si="65"/>
        <v>1</v>
      </c>
      <c r="F370" s="633"/>
      <c r="G370" s="20">
        <f t="shared" si="66"/>
        <v>1</v>
      </c>
      <c r="H370" s="633"/>
      <c r="I370" s="20">
        <f t="shared" si="67"/>
        <v>1</v>
      </c>
      <c r="J370" s="633"/>
      <c r="K370" s="20">
        <f t="shared" si="68"/>
        <v>1</v>
      </c>
      <c r="L370" s="633"/>
      <c r="M370" s="20">
        <f t="shared" si="69"/>
        <v>1</v>
      </c>
      <c r="N370" s="633"/>
      <c r="O370" s="20">
        <f t="shared" si="70"/>
        <v>1</v>
      </c>
      <c r="P370" s="633"/>
      <c r="Q370" s="20">
        <f t="shared" si="71"/>
        <v>1</v>
      </c>
      <c r="R370" s="20">
        <f t="shared" si="72"/>
        <v>0</v>
      </c>
      <c r="S370" s="306">
        <f t="shared" si="63"/>
        <v>0</v>
      </c>
    </row>
    <row r="371" spans="1:19">
      <c r="A371" s="140"/>
      <c r="B371" s="51"/>
      <c r="C371" s="20">
        <f t="shared" si="64"/>
        <v>1</v>
      </c>
      <c r="D371" s="633"/>
      <c r="E371" s="20">
        <f t="shared" si="65"/>
        <v>1</v>
      </c>
      <c r="F371" s="633"/>
      <c r="G371" s="20">
        <f t="shared" si="66"/>
        <v>1</v>
      </c>
      <c r="H371" s="633"/>
      <c r="I371" s="20">
        <f t="shared" si="67"/>
        <v>1</v>
      </c>
      <c r="J371" s="633"/>
      <c r="K371" s="20">
        <f t="shared" si="68"/>
        <v>1</v>
      </c>
      <c r="L371" s="633"/>
      <c r="M371" s="20">
        <f t="shared" si="69"/>
        <v>1</v>
      </c>
      <c r="N371" s="633"/>
      <c r="O371" s="20">
        <f t="shared" si="70"/>
        <v>1</v>
      </c>
      <c r="P371" s="633"/>
      <c r="Q371" s="20">
        <f t="shared" si="71"/>
        <v>1</v>
      </c>
      <c r="R371" s="20">
        <f t="shared" si="72"/>
        <v>0</v>
      </c>
      <c r="S371" s="306">
        <f t="shared" si="63"/>
        <v>0</v>
      </c>
    </row>
    <row r="372" spans="1:19">
      <c r="A372" s="140"/>
      <c r="B372" s="51"/>
      <c r="C372" s="20">
        <f t="shared" si="64"/>
        <v>1</v>
      </c>
      <c r="D372" s="633"/>
      <c r="E372" s="20">
        <f t="shared" si="65"/>
        <v>1</v>
      </c>
      <c r="F372" s="633"/>
      <c r="G372" s="20">
        <f t="shared" si="66"/>
        <v>1</v>
      </c>
      <c r="H372" s="633"/>
      <c r="I372" s="20">
        <f t="shared" si="67"/>
        <v>1</v>
      </c>
      <c r="J372" s="633"/>
      <c r="K372" s="20">
        <f t="shared" si="68"/>
        <v>1</v>
      </c>
      <c r="L372" s="633"/>
      <c r="M372" s="20">
        <f t="shared" si="69"/>
        <v>1</v>
      </c>
      <c r="N372" s="633"/>
      <c r="O372" s="20">
        <f t="shared" si="70"/>
        <v>1</v>
      </c>
      <c r="P372" s="633"/>
      <c r="Q372" s="20">
        <f t="shared" si="71"/>
        <v>1</v>
      </c>
      <c r="R372" s="20">
        <f t="shared" si="72"/>
        <v>0</v>
      </c>
      <c r="S372" s="306">
        <f t="shared" si="63"/>
        <v>0</v>
      </c>
    </row>
    <row r="373" spans="1:19">
      <c r="A373" s="140"/>
      <c r="B373" s="51"/>
      <c r="C373" s="20">
        <f t="shared" si="64"/>
        <v>1</v>
      </c>
      <c r="D373" s="633"/>
      <c r="E373" s="20">
        <f t="shared" si="65"/>
        <v>1</v>
      </c>
      <c r="F373" s="633"/>
      <c r="G373" s="20">
        <f t="shared" si="66"/>
        <v>1</v>
      </c>
      <c r="H373" s="633"/>
      <c r="I373" s="20">
        <f t="shared" si="67"/>
        <v>1</v>
      </c>
      <c r="J373" s="633"/>
      <c r="K373" s="20">
        <f t="shared" si="68"/>
        <v>1</v>
      </c>
      <c r="L373" s="633"/>
      <c r="M373" s="20">
        <f t="shared" si="69"/>
        <v>1</v>
      </c>
      <c r="N373" s="633"/>
      <c r="O373" s="20">
        <f t="shared" si="70"/>
        <v>1</v>
      </c>
      <c r="P373" s="633"/>
      <c r="Q373" s="20">
        <f t="shared" si="71"/>
        <v>1</v>
      </c>
      <c r="R373" s="20">
        <f t="shared" si="72"/>
        <v>0</v>
      </c>
      <c r="S373" s="306">
        <f t="shared" si="63"/>
        <v>0</v>
      </c>
    </row>
    <row r="374" spans="1:19">
      <c r="A374" s="140"/>
      <c r="B374" s="51"/>
      <c r="C374" s="20">
        <f t="shared" si="64"/>
        <v>1</v>
      </c>
      <c r="D374" s="633"/>
      <c r="E374" s="20">
        <f t="shared" si="65"/>
        <v>1</v>
      </c>
      <c r="F374" s="633"/>
      <c r="G374" s="20">
        <f t="shared" si="66"/>
        <v>1</v>
      </c>
      <c r="H374" s="633"/>
      <c r="I374" s="20">
        <f t="shared" si="67"/>
        <v>1</v>
      </c>
      <c r="J374" s="633"/>
      <c r="K374" s="20">
        <f t="shared" si="68"/>
        <v>1</v>
      </c>
      <c r="L374" s="633"/>
      <c r="M374" s="20">
        <f t="shared" si="69"/>
        <v>1</v>
      </c>
      <c r="N374" s="633"/>
      <c r="O374" s="20">
        <f t="shared" si="70"/>
        <v>1</v>
      </c>
      <c r="P374" s="633"/>
      <c r="Q374" s="20">
        <f t="shared" si="71"/>
        <v>1</v>
      </c>
      <c r="R374" s="20">
        <f t="shared" si="72"/>
        <v>0</v>
      </c>
      <c r="S374" s="306">
        <f t="shared" si="63"/>
        <v>0</v>
      </c>
    </row>
    <row r="375" spans="1:19">
      <c r="A375" s="140"/>
      <c r="B375" s="51"/>
      <c r="C375" s="20">
        <f t="shared" si="64"/>
        <v>1</v>
      </c>
      <c r="D375" s="633"/>
      <c r="E375" s="20">
        <f t="shared" si="65"/>
        <v>1</v>
      </c>
      <c r="F375" s="633"/>
      <c r="G375" s="20">
        <f t="shared" si="66"/>
        <v>1</v>
      </c>
      <c r="H375" s="633"/>
      <c r="I375" s="20">
        <f t="shared" si="67"/>
        <v>1</v>
      </c>
      <c r="J375" s="633"/>
      <c r="K375" s="20">
        <f t="shared" si="68"/>
        <v>1</v>
      </c>
      <c r="L375" s="633"/>
      <c r="M375" s="20">
        <f t="shared" si="69"/>
        <v>1</v>
      </c>
      <c r="N375" s="633"/>
      <c r="O375" s="20">
        <f t="shared" si="70"/>
        <v>1</v>
      </c>
      <c r="P375" s="633"/>
      <c r="Q375" s="20">
        <f t="shared" si="71"/>
        <v>1</v>
      </c>
      <c r="R375" s="20">
        <f t="shared" si="72"/>
        <v>0</v>
      </c>
      <c r="S375" s="306">
        <f t="shared" si="63"/>
        <v>0</v>
      </c>
    </row>
    <row r="376" spans="1:19">
      <c r="A376" s="140"/>
      <c r="B376" s="51"/>
      <c r="C376" s="20">
        <f t="shared" si="64"/>
        <v>1</v>
      </c>
      <c r="D376" s="633"/>
      <c r="E376" s="20">
        <f t="shared" si="65"/>
        <v>1</v>
      </c>
      <c r="F376" s="633"/>
      <c r="G376" s="20">
        <f t="shared" si="66"/>
        <v>1</v>
      </c>
      <c r="H376" s="633"/>
      <c r="I376" s="20">
        <f t="shared" si="67"/>
        <v>1</v>
      </c>
      <c r="J376" s="633"/>
      <c r="K376" s="20">
        <f t="shared" si="68"/>
        <v>1</v>
      </c>
      <c r="L376" s="633"/>
      <c r="M376" s="20">
        <f t="shared" si="69"/>
        <v>1</v>
      </c>
      <c r="N376" s="633"/>
      <c r="O376" s="20">
        <f t="shared" si="70"/>
        <v>1</v>
      </c>
      <c r="P376" s="633"/>
      <c r="Q376" s="20">
        <f t="shared" si="71"/>
        <v>1</v>
      </c>
      <c r="R376" s="20">
        <f t="shared" si="72"/>
        <v>0</v>
      </c>
      <c r="S376" s="306">
        <f t="shared" si="63"/>
        <v>0</v>
      </c>
    </row>
    <row r="377" spans="1:19">
      <c r="A377" s="140"/>
      <c r="B377" s="51"/>
      <c r="C377" s="20">
        <f t="shared" si="64"/>
        <v>1</v>
      </c>
      <c r="D377" s="633"/>
      <c r="E377" s="20">
        <f t="shared" si="65"/>
        <v>1</v>
      </c>
      <c r="F377" s="633"/>
      <c r="G377" s="20">
        <f t="shared" si="66"/>
        <v>1</v>
      </c>
      <c r="H377" s="633"/>
      <c r="I377" s="20">
        <f t="shared" si="67"/>
        <v>1</v>
      </c>
      <c r="J377" s="633"/>
      <c r="K377" s="20">
        <f t="shared" si="68"/>
        <v>1</v>
      </c>
      <c r="L377" s="633"/>
      <c r="M377" s="20">
        <f t="shared" si="69"/>
        <v>1</v>
      </c>
      <c r="N377" s="633"/>
      <c r="O377" s="20">
        <f t="shared" si="70"/>
        <v>1</v>
      </c>
      <c r="P377" s="633"/>
      <c r="Q377" s="20">
        <f t="shared" si="71"/>
        <v>1</v>
      </c>
      <c r="R377" s="20">
        <f t="shared" si="72"/>
        <v>0</v>
      </c>
      <c r="S377" s="306">
        <f t="shared" si="63"/>
        <v>0</v>
      </c>
    </row>
    <row r="378" spans="1:19">
      <c r="A378" s="140"/>
      <c r="B378" s="51"/>
      <c r="C378" s="20">
        <f t="shared" si="64"/>
        <v>1</v>
      </c>
      <c r="D378" s="633"/>
      <c r="E378" s="20">
        <f t="shared" si="65"/>
        <v>1</v>
      </c>
      <c r="F378" s="633"/>
      <c r="G378" s="20">
        <f t="shared" si="66"/>
        <v>1</v>
      </c>
      <c r="H378" s="633"/>
      <c r="I378" s="20">
        <f t="shared" si="67"/>
        <v>1</v>
      </c>
      <c r="J378" s="633"/>
      <c r="K378" s="20">
        <f t="shared" si="68"/>
        <v>1</v>
      </c>
      <c r="L378" s="633"/>
      <c r="M378" s="20">
        <f t="shared" si="69"/>
        <v>1</v>
      </c>
      <c r="N378" s="633"/>
      <c r="O378" s="20">
        <f t="shared" si="70"/>
        <v>1</v>
      </c>
      <c r="P378" s="633"/>
      <c r="Q378" s="20">
        <f t="shared" si="71"/>
        <v>1</v>
      </c>
      <c r="R378" s="20">
        <f t="shared" si="72"/>
        <v>0</v>
      </c>
      <c r="S378" s="306">
        <f t="shared" si="63"/>
        <v>0</v>
      </c>
    </row>
    <row r="379" spans="1:19">
      <c r="A379" s="140"/>
      <c r="B379" s="51"/>
      <c r="C379" s="20">
        <f t="shared" si="64"/>
        <v>1</v>
      </c>
      <c r="D379" s="633"/>
      <c r="E379" s="20">
        <f t="shared" si="65"/>
        <v>1</v>
      </c>
      <c r="F379" s="633"/>
      <c r="G379" s="20">
        <f t="shared" si="66"/>
        <v>1</v>
      </c>
      <c r="H379" s="633"/>
      <c r="I379" s="20">
        <f t="shared" si="67"/>
        <v>1</v>
      </c>
      <c r="J379" s="633"/>
      <c r="K379" s="20">
        <f t="shared" si="68"/>
        <v>1</v>
      </c>
      <c r="L379" s="633"/>
      <c r="M379" s="20">
        <f t="shared" si="69"/>
        <v>1</v>
      </c>
      <c r="N379" s="633"/>
      <c r="O379" s="20">
        <f t="shared" si="70"/>
        <v>1</v>
      </c>
      <c r="P379" s="633"/>
      <c r="Q379" s="20">
        <f t="shared" si="71"/>
        <v>1</v>
      </c>
      <c r="R379" s="20">
        <f t="shared" si="72"/>
        <v>0</v>
      </c>
      <c r="S379" s="306">
        <f t="shared" si="63"/>
        <v>0</v>
      </c>
    </row>
    <row r="380" spans="1:19">
      <c r="A380" s="140"/>
      <c r="B380" s="51"/>
      <c r="C380" s="20">
        <f t="shared" si="64"/>
        <v>1</v>
      </c>
      <c r="D380" s="633"/>
      <c r="E380" s="20">
        <f t="shared" si="65"/>
        <v>1</v>
      </c>
      <c r="F380" s="633"/>
      <c r="G380" s="20">
        <f t="shared" si="66"/>
        <v>1</v>
      </c>
      <c r="H380" s="633"/>
      <c r="I380" s="20">
        <f t="shared" si="67"/>
        <v>1</v>
      </c>
      <c r="J380" s="633"/>
      <c r="K380" s="20">
        <f t="shared" si="68"/>
        <v>1</v>
      </c>
      <c r="L380" s="633"/>
      <c r="M380" s="20">
        <f t="shared" si="69"/>
        <v>1</v>
      </c>
      <c r="N380" s="633"/>
      <c r="O380" s="20">
        <f t="shared" si="70"/>
        <v>1</v>
      </c>
      <c r="P380" s="633"/>
      <c r="Q380" s="20">
        <f t="shared" si="71"/>
        <v>1</v>
      </c>
      <c r="R380" s="20">
        <f t="shared" si="72"/>
        <v>0</v>
      </c>
      <c r="S380" s="306">
        <f t="shared" si="63"/>
        <v>0</v>
      </c>
    </row>
    <row r="381" spans="1:19">
      <c r="A381" s="140"/>
      <c r="B381" s="51"/>
      <c r="C381" s="20">
        <f t="shared" si="64"/>
        <v>1</v>
      </c>
      <c r="D381" s="633"/>
      <c r="E381" s="20">
        <f t="shared" si="65"/>
        <v>1</v>
      </c>
      <c r="F381" s="633"/>
      <c r="G381" s="20">
        <f t="shared" si="66"/>
        <v>1</v>
      </c>
      <c r="H381" s="633"/>
      <c r="I381" s="20">
        <f t="shared" si="67"/>
        <v>1</v>
      </c>
      <c r="J381" s="633"/>
      <c r="K381" s="20">
        <f t="shared" si="68"/>
        <v>1</v>
      </c>
      <c r="L381" s="633"/>
      <c r="M381" s="20">
        <f t="shared" si="69"/>
        <v>1</v>
      </c>
      <c r="N381" s="633"/>
      <c r="O381" s="20">
        <f t="shared" si="70"/>
        <v>1</v>
      </c>
      <c r="P381" s="633"/>
      <c r="Q381" s="20">
        <f t="shared" si="71"/>
        <v>1</v>
      </c>
      <c r="R381" s="20">
        <f t="shared" si="72"/>
        <v>0</v>
      </c>
      <c r="S381" s="306">
        <f t="shared" si="63"/>
        <v>0</v>
      </c>
    </row>
    <row r="382" spans="1:19">
      <c r="A382" s="140"/>
      <c r="B382" s="51"/>
      <c r="C382" s="20">
        <f t="shared" si="64"/>
        <v>1</v>
      </c>
      <c r="D382" s="633"/>
      <c r="E382" s="20">
        <f t="shared" si="65"/>
        <v>1</v>
      </c>
      <c r="F382" s="633"/>
      <c r="G382" s="20">
        <f t="shared" si="66"/>
        <v>1</v>
      </c>
      <c r="H382" s="633"/>
      <c r="I382" s="20">
        <f t="shared" si="67"/>
        <v>1</v>
      </c>
      <c r="J382" s="633"/>
      <c r="K382" s="20">
        <f t="shared" si="68"/>
        <v>1</v>
      </c>
      <c r="L382" s="633"/>
      <c r="M382" s="20">
        <f t="shared" si="69"/>
        <v>1</v>
      </c>
      <c r="N382" s="633"/>
      <c r="O382" s="20">
        <f t="shared" si="70"/>
        <v>1</v>
      </c>
      <c r="P382" s="633"/>
      <c r="Q382" s="20">
        <f t="shared" si="71"/>
        <v>1</v>
      </c>
      <c r="R382" s="20">
        <f t="shared" si="72"/>
        <v>0</v>
      </c>
      <c r="S382" s="306">
        <f t="shared" si="63"/>
        <v>0</v>
      </c>
    </row>
    <row r="383" spans="1:19">
      <c r="A383" s="140"/>
      <c r="B383" s="51"/>
      <c r="C383" s="20">
        <f t="shared" si="64"/>
        <v>1</v>
      </c>
      <c r="D383" s="633"/>
      <c r="E383" s="20">
        <f t="shared" si="65"/>
        <v>1</v>
      </c>
      <c r="F383" s="633"/>
      <c r="G383" s="20">
        <f t="shared" si="66"/>
        <v>1</v>
      </c>
      <c r="H383" s="633"/>
      <c r="I383" s="20">
        <f t="shared" si="67"/>
        <v>1</v>
      </c>
      <c r="J383" s="633"/>
      <c r="K383" s="20">
        <f t="shared" si="68"/>
        <v>1</v>
      </c>
      <c r="L383" s="633"/>
      <c r="M383" s="20">
        <f t="shared" si="69"/>
        <v>1</v>
      </c>
      <c r="N383" s="633"/>
      <c r="O383" s="20">
        <f t="shared" si="70"/>
        <v>1</v>
      </c>
      <c r="P383" s="633"/>
      <c r="Q383" s="20">
        <f t="shared" si="71"/>
        <v>1</v>
      </c>
      <c r="R383" s="20">
        <f t="shared" si="72"/>
        <v>0</v>
      </c>
      <c r="S383" s="306">
        <f t="shared" si="63"/>
        <v>0</v>
      </c>
    </row>
    <row r="384" spans="1:19">
      <c r="A384" s="140"/>
      <c r="B384" s="51"/>
      <c r="C384" s="20">
        <f t="shared" si="64"/>
        <v>1</v>
      </c>
      <c r="D384" s="633"/>
      <c r="E384" s="20">
        <f t="shared" si="65"/>
        <v>1</v>
      </c>
      <c r="F384" s="633"/>
      <c r="G384" s="20">
        <f t="shared" si="66"/>
        <v>1</v>
      </c>
      <c r="H384" s="633"/>
      <c r="I384" s="20">
        <f t="shared" si="67"/>
        <v>1</v>
      </c>
      <c r="J384" s="633"/>
      <c r="K384" s="20">
        <f t="shared" si="68"/>
        <v>1</v>
      </c>
      <c r="L384" s="633"/>
      <c r="M384" s="20">
        <f t="shared" si="69"/>
        <v>1</v>
      </c>
      <c r="N384" s="633"/>
      <c r="O384" s="20">
        <f t="shared" si="70"/>
        <v>1</v>
      </c>
      <c r="P384" s="633"/>
      <c r="Q384" s="20">
        <f t="shared" si="71"/>
        <v>1</v>
      </c>
      <c r="R384" s="20">
        <f t="shared" si="72"/>
        <v>0</v>
      </c>
      <c r="S384" s="306">
        <f t="shared" si="63"/>
        <v>0</v>
      </c>
    </row>
    <row r="385" spans="1:19">
      <c r="A385" s="140"/>
      <c r="B385" s="51"/>
      <c r="C385" s="20">
        <f t="shared" si="64"/>
        <v>1</v>
      </c>
      <c r="D385" s="633"/>
      <c r="E385" s="20">
        <f t="shared" si="65"/>
        <v>1</v>
      </c>
      <c r="F385" s="633"/>
      <c r="G385" s="20">
        <f t="shared" si="66"/>
        <v>1</v>
      </c>
      <c r="H385" s="633"/>
      <c r="I385" s="20">
        <f t="shared" si="67"/>
        <v>1</v>
      </c>
      <c r="J385" s="633"/>
      <c r="K385" s="20">
        <f t="shared" si="68"/>
        <v>1</v>
      </c>
      <c r="L385" s="633"/>
      <c r="M385" s="20">
        <f t="shared" si="69"/>
        <v>1</v>
      </c>
      <c r="N385" s="633"/>
      <c r="O385" s="20">
        <f t="shared" si="70"/>
        <v>1</v>
      </c>
      <c r="P385" s="633"/>
      <c r="Q385" s="20">
        <f t="shared" si="71"/>
        <v>1</v>
      </c>
      <c r="R385" s="20">
        <f t="shared" si="72"/>
        <v>0</v>
      </c>
      <c r="S385" s="306">
        <f t="shared" ref="S385:S422" si="73">ROUND(R385*B385/10000,0)</f>
        <v>0</v>
      </c>
    </row>
    <row r="386" spans="1:19">
      <c r="A386" s="140"/>
      <c r="B386" s="51"/>
      <c r="C386" s="20">
        <f t="shared" si="64"/>
        <v>1</v>
      </c>
      <c r="D386" s="633"/>
      <c r="E386" s="20">
        <f t="shared" si="65"/>
        <v>1</v>
      </c>
      <c r="F386" s="633"/>
      <c r="G386" s="20">
        <f t="shared" si="66"/>
        <v>1</v>
      </c>
      <c r="H386" s="633"/>
      <c r="I386" s="20">
        <f t="shared" si="67"/>
        <v>1</v>
      </c>
      <c r="J386" s="633"/>
      <c r="K386" s="20">
        <f t="shared" si="68"/>
        <v>1</v>
      </c>
      <c r="L386" s="633"/>
      <c r="M386" s="20">
        <f t="shared" si="69"/>
        <v>1</v>
      </c>
      <c r="N386" s="633"/>
      <c r="O386" s="20">
        <f t="shared" si="70"/>
        <v>1</v>
      </c>
      <c r="P386" s="633"/>
      <c r="Q386" s="20">
        <f t="shared" si="71"/>
        <v>1</v>
      </c>
      <c r="R386" s="20">
        <f t="shared" si="72"/>
        <v>0</v>
      </c>
      <c r="S386" s="306">
        <f t="shared" si="73"/>
        <v>0</v>
      </c>
    </row>
    <row r="387" spans="1:19">
      <c r="A387" s="140"/>
      <c r="B387" s="51"/>
      <c r="C387" s="20">
        <f t="shared" si="64"/>
        <v>1</v>
      </c>
      <c r="D387" s="633"/>
      <c r="E387" s="20">
        <f t="shared" si="65"/>
        <v>1</v>
      </c>
      <c r="F387" s="633"/>
      <c r="G387" s="20">
        <f t="shared" si="66"/>
        <v>1</v>
      </c>
      <c r="H387" s="633"/>
      <c r="I387" s="20">
        <f t="shared" si="67"/>
        <v>1</v>
      </c>
      <c r="J387" s="633"/>
      <c r="K387" s="20">
        <f t="shared" si="68"/>
        <v>1</v>
      </c>
      <c r="L387" s="633"/>
      <c r="M387" s="20">
        <f t="shared" si="69"/>
        <v>1</v>
      </c>
      <c r="N387" s="633"/>
      <c r="O387" s="20">
        <f t="shared" si="70"/>
        <v>1</v>
      </c>
      <c r="P387" s="633"/>
      <c r="Q387" s="20">
        <f t="shared" si="71"/>
        <v>1</v>
      </c>
      <c r="R387" s="20">
        <f t="shared" si="72"/>
        <v>0</v>
      </c>
      <c r="S387" s="306">
        <f t="shared" si="73"/>
        <v>0</v>
      </c>
    </row>
    <row r="388" spans="1:19">
      <c r="A388" s="140"/>
      <c r="B388" s="51"/>
      <c r="C388" s="20">
        <f t="shared" si="64"/>
        <v>1</v>
      </c>
      <c r="D388" s="633"/>
      <c r="E388" s="20">
        <f t="shared" si="65"/>
        <v>1</v>
      </c>
      <c r="F388" s="633"/>
      <c r="G388" s="20">
        <f t="shared" si="66"/>
        <v>1</v>
      </c>
      <c r="H388" s="633"/>
      <c r="I388" s="20">
        <f t="shared" si="67"/>
        <v>1</v>
      </c>
      <c r="J388" s="633"/>
      <c r="K388" s="20">
        <f t="shared" si="68"/>
        <v>1</v>
      </c>
      <c r="L388" s="633"/>
      <c r="M388" s="20">
        <f t="shared" si="69"/>
        <v>1</v>
      </c>
      <c r="N388" s="633"/>
      <c r="O388" s="20">
        <f t="shared" si="70"/>
        <v>1</v>
      </c>
      <c r="P388" s="633"/>
      <c r="Q388" s="20">
        <f t="shared" si="71"/>
        <v>1</v>
      </c>
      <c r="R388" s="20">
        <f t="shared" si="72"/>
        <v>0</v>
      </c>
      <c r="S388" s="306">
        <f t="shared" si="73"/>
        <v>0</v>
      </c>
    </row>
    <row r="389" spans="1:19">
      <c r="A389" s="140"/>
      <c r="B389" s="51"/>
      <c r="C389" s="20">
        <f t="shared" si="64"/>
        <v>1</v>
      </c>
      <c r="D389" s="633"/>
      <c r="E389" s="20">
        <f t="shared" si="65"/>
        <v>1</v>
      </c>
      <c r="F389" s="633"/>
      <c r="G389" s="20">
        <f t="shared" si="66"/>
        <v>1</v>
      </c>
      <c r="H389" s="633"/>
      <c r="I389" s="20">
        <f t="shared" si="67"/>
        <v>1</v>
      </c>
      <c r="J389" s="633"/>
      <c r="K389" s="20">
        <f t="shared" si="68"/>
        <v>1</v>
      </c>
      <c r="L389" s="633"/>
      <c r="M389" s="20">
        <f t="shared" si="69"/>
        <v>1</v>
      </c>
      <c r="N389" s="633"/>
      <c r="O389" s="20">
        <f t="shared" si="70"/>
        <v>1</v>
      </c>
      <c r="P389" s="633"/>
      <c r="Q389" s="20">
        <f t="shared" si="71"/>
        <v>1</v>
      </c>
      <c r="R389" s="20">
        <f t="shared" si="72"/>
        <v>0</v>
      </c>
      <c r="S389" s="306">
        <f t="shared" si="73"/>
        <v>0</v>
      </c>
    </row>
    <row r="390" spans="1:19">
      <c r="A390" s="140"/>
      <c r="B390" s="51"/>
      <c r="C390" s="20">
        <f t="shared" si="64"/>
        <v>1</v>
      </c>
      <c r="D390" s="633"/>
      <c r="E390" s="20">
        <f t="shared" si="65"/>
        <v>1</v>
      </c>
      <c r="F390" s="633"/>
      <c r="G390" s="20">
        <f t="shared" si="66"/>
        <v>1</v>
      </c>
      <c r="H390" s="633"/>
      <c r="I390" s="20">
        <f t="shared" si="67"/>
        <v>1</v>
      </c>
      <c r="J390" s="633"/>
      <c r="K390" s="20">
        <f t="shared" si="68"/>
        <v>1</v>
      </c>
      <c r="L390" s="633"/>
      <c r="M390" s="20">
        <f t="shared" si="69"/>
        <v>1</v>
      </c>
      <c r="N390" s="633"/>
      <c r="O390" s="20">
        <f t="shared" si="70"/>
        <v>1</v>
      </c>
      <c r="P390" s="633"/>
      <c r="Q390" s="20">
        <f t="shared" si="71"/>
        <v>1</v>
      </c>
      <c r="R390" s="20">
        <f t="shared" si="72"/>
        <v>0</v>
      </c>
      <c r="S390" s="306">
        <f t="shared" si="73"/>
        <v>0</v>
      </c>
    </row>
    <row r="391" spans="1:19">
      <c r="A391" s="140"/>
      <c r="B391" s="51"/>
      <c r="C391" s="20">
        <f t="shared" si="64"/>
        <v>1</v>
      </c>
      <c r="D391" s="633"/>
      <c r="E391" s="20">
        <f t="shared" si="65"/>
        <v>1</v>
      </c>
      <c r="F391" s="633"/>
      <c r="G391" s="20">
        <f t="shared" si="66"/>
        <v>1</v>
      </c>
      <c r="H391" s="633"/>
      <c r="I391" s="20">
        <f t="shared" si="67"/>
        <v>1</v>
      </c>
      <c r="J391" s="633"/>
      <c r="K391" s="20">
        <f t="shared" si="68"/>
        <v>1</v>
      </c>
      <c r="L391" s="633"/>
      <c r="M391" s="20">
        <f t="shared" si="69"/>
        <v>1</v>
      </c>
      <c r="N391" s="633"/>
      <c r="O391" s="20">
        <f t="shared" si="70"/>
        <v>1</v>
      </c>
      <c r="P391" s="633"/>
      <c r="Q391" s="20">
        <f t="shared" si="71"/>
        <v>1</v>
      </c>
      <c r="R391" s="20">
        <f t="shared" si="72"/>
        <v>0</v>
      </c>
      <c r="S391" s="306">
        <f t="shared" si="73"/>
        <v>0</v>
      </c>
    </row>
    <row r="392" spans="1:19">
      <c r="A392" s="140"/>
      <c r="B392" s="51"/>
      <c r="C392" s="20">
        <f t="shared" si="64"/>
        <v>1</v>
      </c>
      <c r="D392" s="633"/>
      <c r="E392" s="20">
        <f t="shared" si="65"/>
        <v>1</v>
      </c>
      <c r="F392" s="633"/>
      <c r="G392" s="20">
        <f t="shared" si="66"/>
        <v>1</v>
      </c>
      <c r="H392" s="633"/>
      <c r="I392" s="20">
        <f t="shared" si="67"/>
        <v>1</v>
      </c>
      <c r="J392" s="633"/>
      <c r="K392" s="20">
        <f t="shared" si="68"/>
        <v>1</v>
      </c>
      <c r="L392" s="633"/>
      <c r="M392" s="20">
        <f t="shared" si="69"/>
        <v>1</v>
      </c>
      <c r="N392" s="633"/>
      <c r="O392" s="20">
        <f t="shared" si="70"/>
        <v>1</v>
      </c>
      <c r="P392" s="633"/>
      <c r="Q392" s="20">
        <f t="shared" si="71"/>
        <v>1</v>
      </c>
      <c r="R392" s="20">
        <f t="shared" si="72"/>
        <v>0</v>
      </c>
      <c r="S392" s="306">
        <f t="shared" si="73"/>
        <v>0</v>
      </c>
    </row>
    <row r="393" spans="1:19">
      <c r="A393" s="140"/>
      <c r="B393" s="51"/>
      <c r="C393" s="20">
        <f t="shared" si="64"/>
        <v>1</v>
      </c>
      <c r="D393" s="633"/>
      <c r="E393" s="20">
        <f t="shared" si="65"/>
        <v>1</v>
      </c>
      <c r="F393" s="633"/>
      <c r="G393" s="20">
        <f t="shared" si="66"/>
        <v>1</v>
      </c>
      <c r="H393" s="633"/>
      <c r="I393" s="20">
        <f t="shared" si="67"/>
        <v>1</v>
      </c>
      <c r="J393" s="633"/>
      <c r="K393" s="20">
        <f t="shared" si="68"/>
        <v>1</v>
      </c>
      <c r="L393" s="633"/>
      <c r="M393" s="20">
        <f t="shared" si="69"/>
        <v>1</v>
      </c>
      <c r="N393" s="633"/>
      <c r="O393" s="20">
        <f t="shared" si="70"/>
        <v>1</v>
      </c>
      <c r="P393" s="633"/>
      <c r="Q393" s="20">
        <f t="shared" si="71"/>
        <v>1</v>
      </c>
      <c r="R393" s="20">
        <f t="shared" si="72"/>
        <v>0</v>
      </c>
      <c r="S393" s="306">
        <f t="shared" si="73"/>
        <v>0</v>
      </c>
    </row>
    <row r="394" spans="1:19">
      <c r="A394" s="140"/>
      <c r="B394" s="51"/>
      <c r="C394" s="20">
        <f t="shared" si="64"/>
        <v>1</v>
      </c>
      <c r="D394" s="633"/>
      <c r="E394" s="20">
        <f t="shared" si="65"/>
        <v>1</v>
      </c>
      <c r="F394" s="633"/>
      <c r="G394" s="20">
        <f t="shared" si="66"/>
        <v>1</v>
      </c>
      <c r="H394" s="633"/>
      <c r="I394" s="20">
        <f t="shared" si="67"/>
        <v>1</v>
      </c>
      <c r="J394" s="633"/>
      <c r="K394" s="20">
        <f t="shared" si="68"/>
        <v>1</v>
      </c>
      <c r="L394" s="633"/>
      <c r="M394" s="20">
        <f t="shared" si="69"/>
        <v>1</v>
      </c>
      <c r="N394" s="633"/>
      <c r="O394" s="20">
        <f t="shared" si="70"/>
        <v>1</v>
      </c>
      <c r="P394" s="633"/>
      <c r="Q394" s="20">
        <f t="shared" si="71"/>
        <v>1</v>
      </c>
      <c r="R394" s="20">
        <f t="shared" si="72"/>
        <v>0</v>
      </c>
      <c r="S394" s="306">
        <f t="shared" si="73"/>
        <v>0</v>
      </c>
    </row>
    <row r="395" spans="1:19">
      <c r="A395" s="140"/>
      <c r="B395" s="51"/>
      <c r="C395" s="20">
        <f t="shared" si="64"/>
        <v>1</v>
      </c>
      <c r="D395" s="633"/>
      <c r="E395" s="20">
        <f t="shared" si="65"/>
        <v>1</v>
      </c>
      <c r="F395" s="633"/>
      <c r="G395" s="20">
        <f t="shared" si="66"/>
        <v>1</v>
      </c>
      <c r="H395" s="633"/>
      <c r="I395" s="20">
        <f t="shared" si="67"/>
        <v>1</v>
      </c>
      <c r="J395" s="633"/>
      <c r="K395" s="20">
        <f t="shared" si="68"/>
        <v>1</v>
      </c>
      <c r="L395" s="633"/>
      <c r="M395" s="20">
        <f t="shared" si="69"/>
        <v>1</v>
      </c>
      <c r="N395" s="633"/>
      <c r="O395" s="20">
        <f t="shared" si="70"/>
        <v>1</v>
      </c>
      <c r="P395" s="633"/>
      <c r="Q395" s="20">
        <f t="shared" si="71"/>
        <v>1</v>
      </c>
      <c r="R395" s="20">
        <f t="shared" si="72"/>
        <v>0</v>
      </c>
      <c r="S395" s="306">
        <f t="shared" si="73"/>
        <v>0</v>
      </c>
    </row>
    <row r="396" spans="1:19">
      <c r="A396" s="140"/>
      <c r="B396" s="51"/>
      <c r="C396" s="20">
        <f t="shared" si="64"/>
        <v>1</v>
      </c>
      <c r="D396" s="633"/>
      <c r="E396" s="20">
        <f t="shared" si="65"/>
        <v>1</v>
      </c>
      <c r="F396" s="633"/>
      <c r="G396" s="20">
        <f t="shared" si="66"/>
        <v>1</v>
      </c>
      <c r="H396" s="633"/>
      <c r="I396" s="20">
        <f t="shared" si="67"/>
        <v>1</v>
      </c>
      <c r="J396" s="633"/>
      <c r="K396" s="20">
        <f t="shared" si="68"/>
        <v>1</v>
      </c>
      <c r="L396" s="633"/>
      <c r="M396" s="20">
        <f t="shared" si="69"/>
        <v>1</v>
      </c>
      <c r="N396" s="633"/>
      <c r="O396" s="20">
        <f t="shared" si="70"/>
        <v>1</v>
      </c>
      <c r="P396" s="633"/>
      <c r="Q396" s="20">
        <f t="shared" si="71"/>
        <v>1</v>
      </c>
      <c r="R396" s="20">
        <f t="shared" si="72"/>
        <v>0</v>
      </c>
      <c r="S396" s="306">
        <f t="shared" si="73"/>
        <v>0</v>
      </c>
    </row>
    <row r="397" spans="1:19">
      <c r="A397" s="140"/>
      <c r="B397" s="51"/>
      <c r="C397" s="20">
        <f t="shared" si="64"/>
        <v>1</v>
      </c>
      <c r="D397" s="633"/>
      <c r="E397" s="20">
        <f t="shared" si="65"/>
        <v>1</v>
      </c>
      <c r="F397" s="633"/>
      <c r="G397" s="20">
        <f t="shared" si="66"/>
        <v>1</v>
      </c>
      <c r="H397" s="633"/>
      <c r="I397" s="20">
        <f t="shared" si="67"/>
        <v>1</v>
      </c>
      <c r="J397" s="633"/>
      <c r="K397" s="20">
        <f t="shared" si="68"/>
        <v>1</v>
      </c>
      <c r="L397" s="633"/>
      <c r="M397" s="20">
        <f t="shared" si="69"/>
        <v>1</v>
      </c>
      <c r="N397" s="633"/>
      <c r="O397" s="20">
        <f t="shared" si="70"/>
        <v>1</v>
      </c>
      <c r="P397" s="633"/>
      <c r="Q397" s="20">
        <f t="shared" si="71"/>
        <v>1</v>
      </c>
      <c r="R397" s="20">
        <f t="shared" si="72"/>
        <v>0</v>
      </c>
      <c r="S397" s="306">
        <f t="shared" si="73"/>
        <v>0</v>
      </c>
    </row>
    <row r="398" spans="1:19">
      <c r="A398" s="140"/>
      <c r="B398" s="51"/>
      <c r="C398" s="20">
        <f t="shared" si="64"/>
        <v>1</v>
      </c>
      <c r="D398" s="633"/>
      <c r="E398" s="20">
        <f t="shared" si="65"/>
        <v>1</v>
      </c>
      <c r="F398" s="633"/>
      <c r="G398" s="20">
        <f t="shared" si="66"/>
        <v>1</v>
      </c>
      <c r="H398" s="633"/>
      <c r="I398" s="20">
        <f t="shared" si="67"/>
        <v>1</v>
      </c>
      <c r="J398" s="633"/>
      <c r="K398" s="20">
        <f t="shared" si="68"/>
        <v>1</v>
      </c>
      <c r="L398" s="633"/>
      <c r="M398" s="20">
        <f t="shared" si="69"/>
        <v>1</v>
      </c>
      <c r="N398" s="633"/>
      <c r="O398" s="20">
        <f t="shared" si="70"/>
        <v>1</v>
      </c>
      <c r="P398" s="633"/>
      <c r="Q398" s="20">
        <f t="shared" si="71"/>
        <v>1</v>
      </c>
      <c r="R398" s="20">
        <f t="shared" si="72"/>
        <v>0</v>
      </c>
      <c r="S398" s="306">
        <f t="shared" si="73"/>
        <v>0</v>
      </c>
    </row>
    <row r="399" spans="1:19">
      <c r="A399" s="140"/>
      <c r="B399" s="51"/>
      <c r="C399" s="20">
        <f t="shared" si="64"/>
        <v>1</v>
      </c>
      <c r="D399" s="633"/>
      <c r="E399" s="20">
        <f t="shared" si="65"/>
        <v>1</v>
      </c>
      <c r="F399" s="633"/>
      <c r="G399" s="20">
        <f t="shared" si="66"/>
        <v>1</v>
      </c>
      <c r="H399" s="633"/>
      <c r="I399" s="20">
        <f t="shared" si="67"/>
        <v>1</v>
      </c>
      <c r="J399" s="633"/>
      <c r="K399" s="20">
        <f t="shared" si="68"/>
        <v>1</v>
      </c>
      <c r="L399" s="633"/>
      <c r="M399" s="20">
        <f t="shared" si="69"/>
        <v>1</v>
      </c>
      <c r="N399" s="633"/>
      <c r="O399" s="20">
        <f t="shared" si="70"/>
        <v>1</v>
      </c>
      <c r="P399" s="633"/>
      <c r="Q399" s="20">
        <f t="shared" si="71"/>
        <v>1</v>
      </c>
      <c r="R399" s="20">
        <f t="shared" si="72"/>
        <v>0</v>
      </c>
      <c r="S399" s="306">
        <f t="shared" si="73"/>
        <v>0</v>
      </c>
    </row>
    <row r="400" spans="1:19">
      <c r="A400" s="140"/>
      <c r="B400" s="51"/>
      <c r="C400" s="20">
        <f t="shared" si="64"/>
        <v>1</v>
      </c>
      <c r="D400" s="633"/>
      <c r="E400" s="20">
        <f t="shared" si="65"/>
        <v>1</v>
      </c>
      <c r="F400" s="633"/>
      <c r="G400" s="20">
        <f t="shared" si="66"/>
        <v>1</v>
      </c>
      <c r="H400" s="633"/>
      <c r="I400" s="20">
        <f t="shared" si="67"/>
        <v>1</v>
      </c>
      <c r="J400" s="633"/>
      <c r="K400" s="20">
        <f t="shared" si="68"/>
        <v>1</v>
      </c>
      <c r="L400" s="633"/>
      <c r="M400" s="20">
        <f t="shared" si="69"/>
        <v>1</v>
      </c>
      <c r="N400" s="633"/>
      <c r="O400" s="20">
        <f t="shared" si="70"/>
        <v>1</v>
      </c>
      <c r="P400" s="633"/>
      <c r="Q400" s="20">
        <f t="shared" si="71"/>
        <v>1</v>
      </c>
      <c r="R400" s="20">
        <f t="shared" si="72"/>
        <v>0</v>
      </c>
      <c r="S400" s="306">
        <f t="shared" si="73"/>
        <v>0</v>
      </c>
    </row>
    <row r="401" spans="1:19">
      <c r="A401" s="140"/>
      <c r="B401" s="51"/>
      <c r="C401" s="20">
        <f t="shared" si="64"/>
        <v>1</v>
      </c>
      <c r="D401" s="633"/>
      <c r="E401" s="20">
        <f t="shared" si="65"/>
        <v>1</v>
      </c>
      <c r="F401" s="633"/>
      <c r="G401" s="20">
        <f t="shared" si="66"/>
        <v>1</v>
      </c>
      <c r="H401" s="633"/>
      <c r="I401" s="20">
        <f t="shared" si="67"/>
        <v>1</v>
      </c>
      <c r="J401" s="633"/>
      <c r="K401" s="20">
        <f t="shared" si="68"/>
        <v>1</v>
      </c>
      <c r="L401" s="633"/>
      <c r="M401" s="20">
        <f t="shared" si="69"/>
        <v>1</v>
      </c>
      <c r="N401" s="633"/>
      <c r="O401" s="20">
        <f t="shared" si="70"/>
        <v>1</v>
      </c>
      <c r="P401" s="633"/>
      <c r="Q401" s="20">
        <f t="shared" si="71"/>
        <v>1</v>
      </c>
      <c r="R401" s="20">
        <f t="shared" si="72"/>
        <v>0</v>
      </c>
      <c r="S401" s="306">
        <f t="shared" si="73"/>
        <v>0</v>
      </c>
    </row>
    <row r="402" spans="1:19">
      <c r="A402" s="140"/>
      <c r="B402" s="51"/>
      <c r="C402" s="20">
        <f t="shared" si="64"/>
        <v>1</v>
      </c>
      <c r="D402" s="633"/>
      <c r="E402" s="20">
        <f t="shared" si="65"/>
        <v>1</v>
      </c>
      <c r="F402" s="633"/>
      <c r="G402" s="20">
        <f t="shared" si="66"/>
        <v>1</v>
      </c>
      <c r="H402" s="633"/>
      <c r="I402" s="20">
        <f t="shared" si="67"/>
        <v>1</v>
      </c>
      <c r="J402" s="633"/>
      <c r="K402" s="20">
        <f t="shared" si="68"/>
        <v>1</v>
      </c>
      <c r="L402" s="633"/>
      <c r="M402" s="20">
        <f t="shared" si="69"/>
        <v>1</v>
      </c>
      <c r="N402" s="633"/>
      <c r="O402" s="20">
        <f t="shared" si="70"/>
        <v>1</v>
      </c>
      <c r="P402" s="633"/>
      <c r="Q402" s="20">
        <f t="shared" si="71"/>
        <v>1</v>
      </c>
      <c r="R402" s="20">
        <f t="shared" si="72"/>
        <v>0</v>
      </c>
      <c r="S402" s="306">
        <f t="shared" si="73"/>
        <v>0</v>
      </c>
    </row>
    <row r="403" spans="1:19">
      <c r="A403" s="140"/>
      <c r="B403" s="51"/>
      <c r="C403" s="20">
        <f t="shared" si="64"/>
        <v>1</v>
      </c>
      <c r="D403" s="633"/>
      <c r="E403" s="20">
        <f t="shared" si="65"/>
        <v>1</v>
      </c>
      <c r="F403" s="633"/>
      <c r="G403" s="20">
        <f t="shared" si="66"/>
        <v>1</v>
      </c>
      <c r="H403" s="633"/>
      <c r="I403" s="20">
        <f t="shared" si="67"/>
        <v>1</v>
      </c>
      <c r="J403" s="633"/>
      <c r="K403" s="20">
        <f t="shared" si="68"/>
        <v>1</v>
      </c>
      <c r="L403" s="633"/>
      <c r="M403" s="20">
        <f t="shared" si="69"/>
        <v>1</v>
      </c>
      <c r="N403" s="633"/>
      <c r="O403" s="20">
        <f t="shared" si="70"/>
        <v>1</v>
      </c>
      <c r="P403" s="633"/>
      <c r="Q403" s="20">
        <f t="shared" si="71"/>
        <v>1</v>
      </c>
      <c r="R403" s="20">
        <f t="shared" si="72"/>
        <v>0</v>
      </c>
      <c r="S403" s="306">
        <f t="shared" si="73"/>
        <v>0</v>
      </c>
    </row>
    <row r="404" spans="1:19">
      <c r="A404" s="140"/>
      <c r="B404" s="51"/>
      <c r="C404" s="20">
        <f t="shared" si="64"/>
        <v>1</v>
      </c>
      <c r="D404" s="633"/>
      <c r="E404" s="20">
        <f t="shared" si="65"/>
        <v>1</v>
      </c>
      <c r="F404" s="633"/>
      <c r="G404" s="20">
        <f t="shared" si="66"/>
        <v>1</v>
      </c>
      <c r="H404" s="633"/>
      <c r="I404" s="20">
        <f t="shared" si="67"/>
        <v>1</v>
      </c>
      <c r="J404" s="633"/>
      <c r="K404" s="20">
        <f t="shared" si="68"/>
        <v>1</v>
      </c>
      <c r="L404" s="633"/>
      <c r="M404" s="20">
        <f t="shared" si="69"/>
        <v>1</v>
      </c>
      <c r="N404" s="633"/>
      <c r="O404" s="20">
        <f t="shared" si="70"/>
        <v>1</v>
      </c>
      <c r="P404" s="633"/>
      <c r="Q404" s="20">
        <f t="shared" si="71"/>
        <v>1</v>
      </c>
      <c r="R404" s="20">
        <f t="shared" si="72"/>
        <v>0</v>
      </c>
      <c r="S404" s="306">
        <f t="shared" si="73"/>
        <v>0</v>
      </c>
    </row>
    <row r="405" spans="1:19">
      <c r="A405" s="140"/>
      <c r="B405" s="51"/>
      <c r="C405" s="20">
        <f t="shared" si="64"/>
        <v>1</v>
      </c>
      <c r="D405" s="633"/>
      <c r="E405" s="20">
        <f t="shared" si="65"/>
        <v>1</v>
      </c>
      <c r="F405" s="633"/>
      <c r="G405" s="20">
        <f t="shared" si="66"/>
        <v>1</v>
      </c>
      <c r="H405" s="633"/>
      <c r="I405" s="20">
        <f t="shared" si="67"/>
        <v>1</v>
      </c>
      <c r="J405" s="633"/>
      <c r="K405" s="20">
        <f t="shared" si="68"/>
        <v>1</v>
      </c>
      <c r="L405" s="633"/>
      <c r="M405" s="20">
        <f t="shared" si="69"/>
        <v>1</v>
      </c>
      <c r="N405" s="633"/>
      <c r="O405" s="20">
        <f t="shared" si="70"/>
        <v>1</v>
      </c>
      <c r="P405" s="633"/>
      <c r="Q405" s="20">
        <f t="shared" si="71"/>
        <v>1</v>
      </c>
      <c r="R405" s="20">
        <f t="shared" si="72"/>
        <v>0</v>
      </c>
      <c r="S405" s="306">
        <f t="shared" si="73"/>
        <v>0</v>
      </c>
    </row>
    <row r="406" spans="1:19">
      <c r="A406" s="140"/>
      <c r="B406" s="51"/>
      <c r="C406" s="20">
        <f t="shared" si="64"/>
        <v>1</v>
      </c>
      <c r="D406" s="633"/>
      <c r="E406" s="20">
        <f t="shared" si="65"/>
        <v>1</v>
      </c>
      <c r="F406" s="633"/>
      <c r="G406" s="20">
        <f t="shared" si="66"/>
        <v>1</v>
      </c>
      <c r="H406" s="633"/>
      <c r="I406" s="20">
        <f t="shared" si="67"/>
        <v>1</v>
      </c>
      <c r="J406" s="633"/>
      <c r="K406" s="20">
        <f t="shared" si="68"/>
        <v>1</v>
      </c>
      <c r="L406" s="633"/>
      <c r="M406" s="20">
        <f t="shared" si="69"/>
        <v>1</v>
      </c>
      <c r="N406" s="633"/>
      <c r="O406" s="20">
        <f t="shared" si="70"/>
        <v>1</v>
      </c>
      <c r="P406" s="633"/>
      <c r="Q406" s="20">
        <f t="shared" si="71"/>
        <v>1</v>
      </c>
      <c r="R406" s="20">
        <f t="shared" si="72"/>
        <v>0</v>
      </c>
      <c r="S406" s="306">
        <f t="shared" si="73"/>
        <v>0</v>
      </c>
    </row>
    <row r="407" spans="1:19">
      <c r="A407" s="140"/>
      <c r="B407" s="51"/>
      <c r="C407" s="20">
        <f t="shared" si="64"/>
        <v>1</v>
      </c>
      <c r="D407" s="633"/>
      <c r="E407" s="20">
        <f t="shared" si="65"/>
        <v>1</v>
      </c>
      <c r="F407" s="633"/>
      <c r="G407" s="20">
        <f t="shared" si="66"/>
        <v>1</v>
      </c>
      <c r="H407" s="633"/>
      <c r="I407" s="20">
        <f t="shared" si="67"/>
        <v>1</v>
      </c>
      <c r="J407" s="633"/>
      <c r="K407" s="20">
        <f t="shared" si="68"/>
        <v>1</v>
      </c>
      <c r="L407" s="633"/>
      <c r="M407" s="20">
        <f t="shared" si="69"/>
        <v>1</v>
      </c>
      <c r="N407" s="633"/>
      <c r="O407" s="20">
        <f t="shared" si="70"/>
        <v>1</v>
      </c>
      <c r="P407" s="633"/>
      <c r="Q407" s="20">
        <f t="shared" si="71"/>
        <v>1</v>
      </c>
      <c r="R407" s="20">
        <f t="shared" si="72"/>
        <v>0</v>
      </c>
      <c r="S407" s="306">
        <f t="shared" si="73"/>
        <v>0</v>
      </c>
    </row>
    <row r="408" spans="1:19">
      <c r="A408" s="140"/>
      <c r="B408" s="51"/>
      <c r="C408" s="20">
        <f t="shared" si="64"/>
        <v>1</v>
      </c>
      <c r="D408" s="633"/>
      <c r="E408" s="20">
        <f t="shared" si="65"/>
        <v>1</v>
      </c>
      <c r="F408" s="633"/>
      <c r="G408" s="20">
        <f t="shared" si="66"/>
        <v>1</v>
      </c>
      <c r="H408" s="633"/>
      <c r="I408" s="20">
        <f t="shared" si="67"/>
        <v>1</v>
      </c>
      <c r="J408" s="633"/>
      <c r="K408" s="20">
        <f t="shared" si="68"/>
        <v>1</v>
      </c>
      <c r="L408" s="633"/>
      <c r="M408" s="20">
        <f t="shared" si="69"/>
        <v>1</v>
      </c>
      <c r="N408" s="633"/>
      <c r="O408" s="20">
        <f t="shared" si="70"/>
        <v>1</v>
      </c>
      <c r="P408" s="633"/>
      <c r="Q408" s="20">
        <f t="shared" si="71"/>
        <v>1</v>
      </c>
      <c r="R408" s="20">
        <f t="shared" si="72"/>
        <v>0</v>
      </c>
      <c r="S408" s="306">
        <f t="shared" si="73"/>
        <v>0</v>
      </c>
    </row>
    <row r="409" spans="1:19">
      <c r="A409" s="140"/>
      <c r="B409" s="51"/>
      <c r="C409" s="20">
        <f t="shared" si="64"/>
        <v>1</v>
      </c>
      <c r="D409" s="633"/>
      <c r="E409" s="20">
        <f t="shared" si="65"/>
        <v>1</v>
      </c>
      <c r="F409" s="633"/>
      <c r="G409" s="20">
        <f t="shared" si="66"/>
        <v>1</v>
      </c>
      <c r="H409" s="633"/>
      <c r="I409" s="20">
        <f t="shared" si="67"/>
        <v>1</v>
      </c>
      <c r="J409" s="633"/>
      <c r="K409" s="20">
        <f t="shared" si="68"/>
        <v>1</v>
      </c>
      <c r="L409" s="633"/>
      <c r="M409" s="20">
        <f t="shared" si="69"/>
        <v>1</v>
      </c>
      <c r="N409" s="633"/>
      <c r="O409" s="20">
        <f t="shared" si="70"/>
        <v>1</v>
      </c>
      <c r="P409" s="633"/>
      <c r="Q409" s="20">
        <f t="shared" si="71"/>
        <v>1</v>
      </c>
      <c r="R409" s="20">
        <f t="shared" si="72"/>
        <v>0</v>
      </c>
      <c r="S409" s="306">
        <f t="shared" si="73"/>
        <v>0</v>
      </c>
    </row>
    <row r="410" spans="1:19">
      <c r="A410" s="140"/>
      <c r="B410" s="51"/>
      <c r="C410" s="20">
        <f t="shared" ref="C410:C473" si="74">IF(B410="",1,(LOOKUP(B410,$3:$3,$4:$4)-LOOKUP($B$24,$3:$3,$4:$4)+100)/100)</f>
        <v>1</v>
      </c>
      <c r="D410" s="633"/>
      <c r="E410" s="20">
        <f t="shared" ref="E410:E473" si="75">(SUMIF($5:$5,D410,$6:$6)-SUMIF($5:$5,$D$24,$6:$6)+100)/100</f>
        <v>1</v>
      </c>
      <c r="F410" s="633"/>
      <c r="G410" s="20">
        <f t="shared" ref="G410:G473" si="76">(SUMIF($7:$7,F410,$8:$8)-SUMIF($7:$7,$F$24,$8:$8)+100)/100</f>
        <v>1</v>
      </c>
      <c r="H410" s="633"/>
      <c r="I410" s="20">
        <f t="shared" ref="I410:I473" si="77">(SUMIF($9:$9,H410,$10:$10)-SUMIF($9:$9,$H$24,$10:$10)+100)/100</f>
        <v>1</v>
      </c>
      <c r="J410" s="633"/>
      <c r="K410" s="20">
        <f t="shared" ref="K410:K473" si="78">(SUMIF($11:$11,J410,$12:$12)-SUMIF($11:$11,$J$24,$12:$12)+100)/100</f>
        <v>1</v>
      </c>
      <c r="L410" s="633"/>
      <c r="M410" s="20">
        <f t="shared" ref="M410:M473" si="79">(SUMIF($13:$13,L410,$14:$14)-SUMIF($13:$13,$L$24,$14:$14)+100)/100</f>
        <v>1</v>
      </c>
      <c r="N410" s="633"/>
      <c r="O410" s="20">
        <f t="shared" ref="O410:O473" si="80">(SUMIF($15:$15,N410,$16:$16)-SUMIF($15:$15,$N$24,$16:$16)+100)/100</f>
        <v>1</v>
      </c>
      <c r="P410" s="633"/>
      <c r="Q410" s="20">
        <f t="shared" ref="Q410:Q473" si="81">(SUMIF($17:$17,P410,$18:$18)-SUMIF($17:$17,$P$24,$18:$18)+100)/100</f>
        <v>1</v>
      </c>
      <c r="R410" s="20">
        <f t="shared" ref="R410:R473" si="82">IF(B410="",0,ROUND($R$24*C410*E410*G410*I410*K410*M410*O410*Q410,0))</f>
        <v>0</v>
      </c>
      <c r="S410" s="306">
        <f t="shared" si="73"/>
        <v>0</v>
      </c>
    </row>
    <row r="411" spans="1:19">
      <c r="A411" s="140"/>
      <c r="B411" s="51"/>
      <c r="C411" s="20">
        <f t="shared" si="74"/>
        <v>1</v>
      </c>
      <c r="D411" s="633"/>
      <c r="E411" s="20">
        <f t="shared" si="75"/>
        <v>1</v>
      </c>
      <c r="F411" s="633"/>
      <c r="G411" s="20">
        <f t="shared" si="76"/>
        <v>1</v>
      </c>
      <c r="H411" s="633"/>
      <c r="I411" s="20">
        <f t="shared" si="77"/>
        <v>1</v>
      </c>
      <c r="J411" s="633"/>
      <c r="K411" s="20">
        <f t="shared" si="78"/>
        <v>1</v>
      </c>
      <c r="L411" s="633"/>
      <c r="M411" s="20">
        <f t="shared" si="79"/>
        <v>1</v>
      </c>
      <c r="N411" s="633"/>
      <c r="O411" s="20">
        <f t="shared" si="80"/>
        <v>1</v>
      </c>
      <c r="P411" s="633"/>
      <c r="Q411" s="20">
        <f t="shared" si="81"/>
        <v>1</v>
      </c>
      <c r="R411" s="20">
        <f t="shared" si="82"/>
        <v>0</v>
      </c>
      <c r="S411" s="306">
        <f t="shared" si="73"/>
        <v>0</v>
      </c>
    </row>
    <row r="412" spans="1:19">
      <c r="A412" s="140"/>
      <c r="B412" s="51"/>
      <c r="C412" s="20">
        <f t="shared" si="74"/>
        <v>1</v>
      </c>
      <c r="D412" s="633"/>
      <c r="E412" s="20">
        <f t="shared" si="75"/>
        <v>1</v>
      </c>
      <c r="F412" s="633"/>
      <c r="G412" s="20">
        <f t="shared" si="76"/>
        <v>1</v>
      </c>
      <c r="H412" s="633"/>
      <c r="I412" s="20">
        <f t="shared" si="77"/>
        <v>1</v>
      </c>
      <c r="J412" s="633"/>
      <c r="K412" s="20">
        <f t="shared" si="78"/>
        <v>1</v>
      </c>
      <c r="L412" s="633"/>
      <c r="M412" s="20">
        <f t="shared" si="79"/>
        <v>1</v>
      </c>
      <c r="N412" s="633"/>
      <c r="O412" s="20">
        <f t="shared" si="80"/>
        <v>1</v>
      </c>
      <c r="P412" s="633"/>
      <c r="Q412" s="20">
        <f t="shared" si="81"/>
        <v>1</v>
      </c>
      <c r="R412" s="20">
        <f t="shared" si="82"/>
        <v>0</v>
      </c>
      <c r="S412" s="306">
        <f t="shared" si="73"/>
        <v>0</v>
      </c>
    </row>
    <row r="413" spans="1:19">
      <c r="A413" s="140"/>
      <c r="B413" s="51"/>
      <c r="C413" s="20">
        <f t="shared" si="74"/>
        <v>1</v>
      </c>
      <c r="D413" s="633"/>
      <c r="E413" s="20">
        <f t="shared" si="75"/>
        <v>1</v>
      </c>
      <c r="F413" s="633"/>
      <c r="G413" s="20">
        <f t="shared" si="76"/>
        <v>1</v>
      </c>
      <c r="H413" s="633"/>
      <c r="I413" s="20">
        <f t="shared" si="77"/>
        <v>1</v>
      </c>
      <c r="J413" s="633"/>
      <c r="K413" s="20">
        <f t="shared" si="78"/>
        <v>1</v>
      </c>
      <c r="L413" s="633"/>
      <c r="M413" s="20">
        <f t="shared" si="79"/>
        <v>1</v>
      </c>
      <c r="N413" s="633"/>
      <c r="O413" s="20">
        <f t="shared" si="80"/>
        <v>1</v>
      </c>
      <c r="P413" s="633"/>
      <c r="Q413" s="20">
        <f t="shared" si="81"/>
        <v>1</v>
      </c>
      <c r="R413" s="20">
        <f t="shared" si="82"/>
        <v>0</v>
      </c>
      <c r="S413" s="306">
        <f t="shared" si="73"/>
        <v>0</v>
      </c>
    </row>
    <row r="414" spans="1:19">
      <c r="A414" s="140"/>
      <c r="B414" s="51"/>
      <c r="C414" s="20">
        <f t="shared" si="74"/>
        <v>1</v>
      </c>
      <c r="D414" s="633"/>
      <c r="E414" s="20">
        <f t="shared" si="75"/>
        <v>1</v>
      </c>
      <c r="F414" s="633"/>
      <c r="G414" s="20">
        <f t="shared" si="76"/>
        <v>1</v>
      </c>
      <c r="H414" s="633"/>
      <c r="I414" s="20">
        <f t="shared" si="77"/>
        <v>1</v>
      </c>
      <c r="J414" s="633"/>
      <c r="K414" s="20">
        <f t="shared" si="78"/>
        <v>1</v>
      </c>
      <c r="L414" s="633"/>
      <c r="M414" s="20">
        <f t="shared" si="79"/>
        <v>1</v>
      </c>
      <c r="N414" s="633"/>
      <c r="O414" s="20">
        <f t="shared" si="80"/>
        <v>1</v>
      </c>
      <c r="P414" s="633"/>
      <c r="Q414" s="20">
        <f t="shared" si="81"/>
        <v>1</v>
      </c>
      <c r="R414" s="20">
        <f t="shared" si="82"/>
        <v>0</v>
      </c>
      <c r="S414" s="306">
        <f t="shared" si="73"/>
        <v>0</v>
      </c>
    </row>
    <row r="415" spans="1:19">
      <c r="A415" s="140"/>
      <c r="B415" s="51"/>
      <c r="C415" s="20">
        <f t="shared" si="74"/>
        <v>1</v>
      </c>
      <c r="D415" s="633"/>
      <c r="E415" s="20">
        <f t="shared" si="75"/>
        <v>1</v>
      </c>
      <c r="F415" s="633"/>
      <c r="G415" s="20">
        <f t="shared" si="76"/>
        <v>1</v>
      </c>
      <c r="H415" s="633"/>
      <c r="I415" s="20">
        <f t="shared" si="77"/>
        <v>1</v>
      </c>
      <c r="J415" s="633"/>
      <c r="K415" s="20">
        <f t="shared" si="78"/>
        <v>1</v>
      </c>
      <c r="L415" s="633"/>
      <c r="M415" s="20">
        <f t="shared" si="79"/>
        <v>1</v>
      </c>
      <c r="N415" s="633"/>
      <c r="O415" s="20">
        <f t="shared" si="80"/>
        <v>1</v>
      </c>
      <c r="P415" s="633"/>
      <c r="Q415" s="20">
        <f t="shared" si="81"/>
        <v>1</v>
      </c>
      <c r="R415" s="20">
        <f t="shared" si="82"/>
        <v>0</v>
      </c>
      <c r="S415" s="306">
        <f t="shared" si="73"/>
        <v>0</v>
      </c>
    </row>
    <row r="416" spans="1:19">
      <c r="A416" s="140"/>
      <c r="B416" s="51"/>
      <c r="C416" s="20">
        <f t="shared" si="74"/>
        <v>1</v>
      </c>
      <c r="D416" s="633"/>
      <c r="E416" s="20">
        <f t="shared" si="75"/>
        <v>1</v>
      </c>
      <c r="F416" s="633"/>
      <c r="G416" s="20">
        <f t="shared" si="76"/>
        <v>1</v>
      </c>
      <c r="H416" s="633"/>
      <c r="I416" s="20">
        <f t="shared" si="77"/>
        <v>1</v>
      </c>
      <c r="J416" s="633"/>
      <c r="K416" s="20">
        <f t="shared" si="78"/>
        <v>1</v>
      </c>
      <c r="L416" s="633"/>
      <c r="M416" s="20">
        <f t="shared" si="79"/>
        <v>1</v>
      </c>
      <c r="N416" s="633"/>
      <c r="O416" s="20">
        <f t="shared" si="80"/>
        <v>1</v>
      </c>
      <c r="P416" s="633"/>
      <c r="Q416" s="20">
        <f t="shared" si="81"/>
        <v>1</v>
      </c>
      <c r="R416" s="20">
        <f t="shared" si="82"/>
        <v>0</v>
      </c>
      <c r="S416" s="306">
        <f t="shared" si="73"/>
        <v>0</v>
      </c>
    </row>
    <row r="417" spans="1:19">
      <c r="A417" s="140"/>
      <c r="B417" s="51"/>
      <c r="C417" s="20">
        <f t="shared" si="74"/>
        <v>1</v>
      </c>
      <c r="D417" s="633"/>
      <c r="E417" s="20">
        <f t="shared" si="75"/>
        <v>1</v>
      </c>
      <c r="F417" s="633"/>
      <c r="G417" s="20">
        <f t="shared" si="76"/>
        <v>1</v>
      </c>
      <c r="H417" s="633"/>
      <c r="I417" s="20">
        <f t="shared" si="77"/>
        <v>1</v>
      </c>
      <c r="J417" s="633"/>
      <c r="K417" s="20">
        <f t="shared" si="78"/>
        <v>1</v>
      </c>
      <c r="L417" s="633"/>
      <c r="M417" s="20">
        <f t="shared" si="79"/>
        <v>1</v>
      </c>
      <c r="N417" s="633"/>
      <c r="O417" s="20">
        <f t="shared" si="80"/>
        <v>1</v>
      </c>
      <c r="P417" s="633"/>
      <c r="Q417" s="20">
        <f t="shared" si="81"/>
        <v>1</v>
      </c>
      <c r="R417" s="20">
        <f t="shared" si="82"/>
        <v>0</v>
      </c>
      <c r="S417" s="306">
        <f t="shared" si="73"/>
        <v>0</v>
      </c>
    </row>
    <row r="418" spans="1:19">
      <c r="A418" s="140"/>
      <c r="B418" s="51"/>
      <c r="C418" s="20">
        <f t="shared" si="74"/>
        <v>1</v>
      </c>
      <c r="D418" s="633"/>
      <c r="E418" s="20">
        <f t="shared" si="75"/>
        <v>1</v>
      </c>
      <c r="F418" s="633"/>
      <c r="G418" s="20">
        <f t="shared" si="76"/>
        <v>1</v>
      </c>
      <c r="H418" s="633"/>
      <c r="I418" s="20">
        <f t="shared" si="77"/>
        <v>1</v>
      </c>
      <c r="J418" s="633"/>
      <c r="K418" s="20">
        <f t="shared" si="78"/>
        <v>1</v>
      </c>
      <c r="L418" s="633"/>
      <c r="M418" s="20">
        <f t="shared" si="79"/>
        <v>1</v>
      </c>
      <c r="N418" s="633"/>
      <c r="O418" s="20">
        <f t="shared" si="80"/>
        <v>1</v>
      </c>
      <c r="P418" s="633"/>
      <c r="Q418" s="20">
        <f t="shared" si="81"/>
        <v>1</v>
      </c>
      <c r="R418" s="20">
        <f t="shared" si="82"/>
        <v>0</v>
      </c>
      <c r="S418" s="306">
        <f t="shared" si="73"/>
        <v>0</v>
      </c>
    </row>
    <row r="419" spans="1:19">
      <c r="A419" s="140"/>
      <c r="B419" s="51"/>
      <c r="C419" s="20">
        <f t="shared" si="74"/>
        <v>1</v>
      </c>
      <c r="D419" s="633"/>
      <c r="E419" s="20">
        <f t="shared" si="75"/>
        <v>1</v>
      </c>
      <c r="F419" s="633"/>
      <c r="G419" s="20">
        <f t="shared" si="76"/>
        <v>1</v>
      </c>
      <c r="H419" s="633"/>
      <c r="I419" s="20">
        <f t="shared" si="77"/>
        <v>1</v>
      </c>
      <c r="J419" s="633"/>
      <c r="K419" s="20">
        <f t="shared" si="78"/>
        <v>1</v>
      </c>
      <c r="L419" s="633"/>
      <c r="M419" s="20">
        <f t="shared" si="79"/>
        <v>1</v>
      </c>
      <c r="N419" s="633"/>
      <c r="O419" s="20">
        <f t="shared" si="80"/>
        <v>1</v>
      </c>
      <c r="P419" s="633"/>
      <c r="Q419" s="20">
        <f t="shared" si="81"/>
        <v>1</v>
      </c>
      <c r="R419" s="20">
        <f t="shared" si="82"/>
        <v>0</v>
      </c>
      <c r="S419" s="306">
        <f t="shared" si="73"/>
        <v>0</v>
      </c>
    </row>
    <row r="420" spans="1:19">
      <c r="A420" s="140"/>
      <c r="B420" s="51"/>
      <c r="C420" s="20">
        <f t="shared" si="74"/>
        <v>1</v>
      </c>
      <c r="D420" s="633"/>
      <c r="E420" s="20">
        <f t="shared" si="75"/>
        <v>1</v>
      </c>
      <c r="F420" s="633"/>
      <c r="G420" s="20">
        <f t="shared" si="76"/>
        <v>1</v>
      </c>
      <c r="H420" s="633"/>
      <c r="I420" s="20">
        <f t="shared" si="77"/>
        <v>1</v>
      </c>
      <c r="J420" s="633"/>
      <c r="K420" s="20">
        <f t="shared" si="78"/>
        <v>1</v>
      </c>
      <c r="L420" s="633"/>
      <c r="M420" s="20">
        <f t="shared" si="79"/>
        <v>1</v>
      </c>
      <c r="N420" s="633"/>
      <c r="O420" s="20">
        <f t="shared" si="80"/>
        <v>1</v>
      </c>
      <c r="P420" s="633"/>
      <c r="Q420" s="20">
        <f t="shared" si="81"/>
        <v>1</v>
      </c>
      <c r="R420" s="20">
        <f t="shared" si="82"/>
        <v>0</v>
      </c>
      <c r="S420" s="306">
        <f t="shared" si="73"/>
        <v>0</v>
      </c>
    </row>
    <row r="421" spans="1:19">
      <c r="A421" s="140"/>
      <c r="B421" s="51"/>
      <c r="C421" s="20">
        <f t="shared" si="74"/>
        <v>1</v>
      </c>
      <c r="D421" s="633"/>
      <c r="E421" s="20">
        <f t="shared" si="75"/>
        <v>1</v>
      </c>
      <c r="F421" s="633"/>
      <c r="G421" s="20">
        <f t="shared" si="76"/>
        <v>1</v>
      </c>
      <c r="H421" s="633"/>
      <c r="I421" s="20">
        <f t="shared" si="77"/>
        <v>1</v>
      </c>
      <c r="J421" s="633"/>
      <c r="K421" s="20">
        <f t="shared" si="78"/>
        <v>1</v>
      </c>
      <c r="L421" s="633"/>
      <c r="M421" s="20">
        <f t="shared" si="79"/>
        <v>1</v>
      </c>
      <c r="N421" s="633"/>
      <c r="O421" s="20">
        <f t="shared" si="80"/>
        <v>1</v>
      </c>
      <c r="P421" s="633"/>
      <c r="Q421" s="20">
        <f t="shared" si="81"/>
        <v>1</v>
      </c>
      <c r="R421" s="20">
        <f t="shared" si="82"/>
        <v>0</v>
      </c>
      <c r="S421" s="306">
        <f t="shared" si="73"/>
        <v>0</v>
      </c>
    </row>
    <row r="422" spans="1:19">
      <c r="A422" s="140"/>
      <c r="B422" s="51"/>
      <c r="C422" s="20">
        <f t="shared" si="74"/>
        <v>1</v>
      </c>
      <c r="D422" s="633"/>
      <c r="E422" s="20">
        <f t="shared" si="75"/>
        <v>1</v>
      </c>
      <c r="F422" s="633"/>
      <c r="G422" s="20">
        <f t="shared" si="76"/>
        <v>1</v>
      </c>
      <c r="H422" s="633"/>
      <c r="I422" s="20">
        <f t="shared" si="77"/>
        <v>1</v>
      </c>
      <c r="J422" s="633"/>
      <c r="K422" s="20">
        <f t="shared" si="78"/>
        <v>1</v>
      </c>
      <c r="L422" s="633"/>
      <c r="M422" s="20">
        <f t="shared" si="79"/>
        <v>1</v>
      </c>
      <c r="N422" s="633"/>
      <c r="O422" s="20">
        <f t="shared" si="80"/>
        <v>1</v>
      </c>
      <c r="P422" s="633"/>
      <c r="Q422" s="20">
        <f t="shared" si="81"/>
        <v>1</v>
      </c>
      <c r="R422" s="20">
        <f t="shared" si="82"/>
        <v>0</v>
      </c>
      <c r="S422" s="306">
        <f t="shared" si="73"/>
        <v>0</v>
      </c>
    </row>
    <row r="423" spans="1:19">
      <c r="A423" s="140"/>
      <c r="B423" s="51"/>
      <c r="C423" s="20">
        <f t="shared" si="74"/>
        <v>1</v>
      </c>
      <c r="D423" s="633"/>
      <c r="E423" s="20">
        <f t="shared" si="75"/>
        <v>1</v>
      </c>
      <c r="F423" s="633"/>
      <c r="G423" s="20">
        <f t="shared" si="76"/>
        <v>1</v>
      </c>
      <c r="H423" s="633"/>
      <c r="I423" s="20">
        <f t="shared" si="77"/>
        <v>1</v>
      </c>
      <c r="J423" s="633"/>
      <c r="K423" s="20">
        <f t="shared" si="78"/>
        <v>1</v>
      </c>
      <c r="L423" s="633"/>
      <c r="M423" s="20">
        <f t="shared" si="79"/>
        <v>1</v>
      </c>
      <c r="N423" s="633"/>
      <c r="O423" s="20">
        <f t="shared" si="80"/>
        <v>1</v>
      </c>
      <c r="P423" s="633"/>
      <c r="Q423" s="20">
        <f t="shared" si="81"/>
        <v>1</v>
      </c>
      <c r="R423" s="20">
        <f t="shared" si="82"/>
        <v>0</v>
      </c>
      <c r="S423" s="306">
        <f t="shared" ref="S423:S467" si="83">ROUND(R423*B423/10000,0)</f>
        <v>0</v>
      </c>
    </row>
    <row r="424" spans="1:19">
      <c r="A424" s="140"/>
      <c r="B424" s="51"/>
      <c r="C424" s="20">
        <f t="shared" si="74"/>
        <v>1</v>
      </c>
      <c r="D424" s="633"/>
      <c r="E424" s="20">
        <f t="shared" si="75"/>
        <v>1</v>
      </c>
      <c r="F424" s="633"/>
      <c r="G424" s="20">
        <f t="shared" si="76"/>
        <v>1</v>
      </c>
      <c r="H424" s="633"/>
      <c r="I424" s="20">
        <f t="shared" si="77"/>
        <v>1</v>
      </c>
      <c r="J424" s="633"/>
      <c r="K424" s="20">
        <f t="shared" si="78"/>
        <v>1</v>
      </c>
      <c r="L424" s="633"/>
      <c r="M424" s="20">
        <f t="shared" si="79"/>
        <v>1</v>
      </c>
      <c r="N424" s="633"/>
      <c r="O424" s="20">
        <f t="shared" si="80"/>
        <v>1</v>
      </c>
      <c r="P424" s="633"/>
      <c r="Q424" s="20">
        <f t="shared" si="81"/>
        <v>1</v>
      </c>
      <c r="R424" s="20">
        <f t="shared" si="82"/>
        <v>0</v>
      </c>
      <c r="S424" s="306">
        <f t="shared" si="83"/>
        <v>0</v>
      </c>
    </row>
    <row r="425" spans="1:19">
      <c r="A425" s="140"/>
      <c r="B425" s="51"/>
      <c r="C425" s="20">
        <f t="shared" si="74"/>
        <v>1</v>
      </c>
      <c r="D425" s="633"/>
      <c r="E425" s="20">
        <f t="shared" si="75"/>
        <v>1</v>
      </c>
      <c r="F425" s="633"/>
      <c r="G425" s="20">
        <f t="shared" si="76"/>
        <v>1</v>
      </c>
      <c r="H425" s="633"/>
      <c r="I425" s="20">
        <f t="shared" si="77"/>
        <v>1</v>
      </c>
      <c r="J425" s="633"/>
      <c r="K425" s="20">
        <f t="shared" si="78"/>
        <v>1</v>
      </c>
      <c r="L425" s="633"/>
      <c r="M425" s="20">
        <f t="shared" si="79"/>
        <v>1</v>
      </c>
      <c r="N425" s="633"/>
      <c r="O425" s="20">
        <f t="shared" si="80"/>
        <v>1</v>
      </c>
      <c r="P425" s="633"/>
      <c r="Q425" s="20">
        <f t="shared" si="81"/>
        <v>1</v>
      </c>
      <c r="R425" s="20">
        <f t="shared" si="82"/>
        <v>0</v>
      </c>
      <c r="S425" s="306">
        <f t="shared" si="83"/>
        <v>0</v>
      </c>
    </row>
    <row r="426" spans="1:19">
      <c r="A426" s="140"/>
      <c r="B426" s="51"/>
      <c r="C426" s="20">
        <f t="shared" si="74"/>
        <v>1</v>
      </c>
      <c r="D426" s="633"/>
      <c r="E426" s="20">
        <f t="shared" si="75"/>
        <v>1</v>
      </c>
      <c r="F426" s="633"/>
      <c r="G426" s="20">
        <f t="shared" si="76"/>
        <v>1</v>
      </c>
      <c r="H426" s="633"/>
      <c r="I426" s="20">
        <f t="shared" si="77"/>
        <v>1</v>
      </c>
      <c r="J426" s="633"/>
      <c r="K426" s="20">
        <f t="shared" si="78"/>
        <v>1</v>
      </c>
      <c r="L426" s="633"/>
      <c r="M426" s="20">
        <f t="shared" si="79"/>
        <v>1</v>
      </c>
      <c r="N426" s="633"/>
      <c r="O426" s="20">
        <f t="shared" si="80"/>
        <v>1</v>
      </c>
      <c r="P426" s="633"/>
      <c r="Q426" s="20">
        <f t="shared" si="81"/>
        <v>1</v>
      </c>
      <c r="R426" s="20">
        <f t="shared" si="82"/>
        <v>0</v>
      </c>
      <c r="S426" s="306">
        <f t="shared" si="83"/>
        <v>0</v>
      </c>
    </row>
    <row r="427" spans="1:19">
      <c r="A427" s="140"/>
      <c r="B427" s="51"/>
      <c r="C427" s="20">
        <f t="shared" si="74"/>
        <v>1</v>
      </c>
      <c r="D427" s="633"/>
      <c r="E427" s="20">
        <f t="shared" si="75"/>
        <v>1</v>
      </c>
      <c r="F427" s="633"/>
      <c r="G427" s="20">
        <f t="shared" si="76"/>
        <v>1</v>
      </c>
      <c r="H427" s="633"/>
      <c r="I427" s="20">
        <f t="shared" si="77"/>
        <v>1</v>
      </c>
      <c r="J427" s="633"/>
      <c r="K427" s="20">
        <f t="shared" si="78"/>
        <v>1</v>
      </c>
      <c r="L427" s="633"/>
      <c r="M427" s="20">
        <f t="shared" si="79"/>
        <v>1</v>
      </c>
      <c r="N427" s="633"/>
      <c r="O427" s="20">
        <f t="shared" si="80"/>
        <v>1</v>
      </c>
      <c r="P427" s="633"/>
      <c r="Q427" s="20">
        <f t="shared" si="81"/>
        <v>1</v>
      </c>
      <c r="R427" s="20">
        <f t="shared" si="82"/>
        <v>0</v>
      </c>
      <c r="S427" s="306">
        <f t="shared" si="83"/>
        <v>0</v>
      </c>
    </row>
    <row r="428" spans="1:19">
      <c r="A428" s="140"/>
      <c r="B428" s="51"/>
      <c r="C428" s="20">
        <f t="shared" si="74"/>
        <v>1</v>
      </c>
      <c r="D428" s="633"/>
      <c r="E428" s="20">
        <f t="shared" si="75"/>
        <v>1</v>
      </c>
      <c r="F428" s="633"/>
      <c r="G428" s="20">
        <f t="shared" si="76"/>
        <v>1</v>
      </c>
      <c r="H428" s="633"/>
      <c r="I428" s="20">
        <f t="shared" si="77"/>
        <v>1</v>
      </c>
      <c r="J428" s="633"/>
      <c r="K428" s="20">
        <f t="shared" si="78"/>
        <v>1</v>
      </c>
      <c r="L428" s="633"/>
      <c r="M428" s="20">
        <f t="shared" si="79"/>
        <v>1</v>
      </c>
      <c r="N428" s="633"/>
      <c r="O428" s="20">
        <f t="shared" si="80"/>
        <v>1</v>
      </c>
      <c r="P428" s="633"/>
      <c r="Q428" s="20">
        <f t="shared" si="81"/>
        <v>1</v>
      </c>
      <c r="R428" s="20">
        <f t="shared" si="82"/>
        <v>0</v>
      </c>
      <c r="S428" s="306">
        <f t="shared" si="83"/>
        <v>0</v>
      </c>
    </row>
    <row r="429" spans="1:19">
      <c r="A429" s="140"/>
      <c r="B429" s="51"/>
      <c r="C429" s="20">
        <f t="shared" si="74"/>
        <v>1</v>
      </c>
      <c r="D429" s="633"/>
      <c r="E429" s="20">
        <f t="shared" si="75"/>
        <v>1</v>
      </c>
      <c r="F429" s="633"/>
      <c r="G429" s="20">
        <f t="shared" si="76"/>
        <v>1</v>
      </c>
      <c r="H429" s="633"/>
      <c r="I429" s="20">
        <f t="shared" si="77"/>
        <v>1</v>
      </c>
      <c r="J429" s="633"/>
      <c r="K429" s="20">
        <f t="shared" si="78"/>
        <v>1</v>
      </c>
      <c r="L429" s="633"/>
      <c r="M429" s="20">
        <f t="shared" si="79"/>
        <v>1</v>
      </c>
      <c r="N429" s="633"/>
      <c r="O429" s="20">
        <f t="shared" si="80"/>
        <v>1</v>
      </c>
      <c r="P429" s="633"/>
      <c r="Q429" s="20">
        <f t="shared" si="81"/>
        <v>1</v>
      </c>
      <c r="R429" s="20">
        <f t="shared" si="82"/>
        <v>0</v>
      </c>
      <c r="S429" s="306">
        <f t="shared" si="83"/>
        <v>0</v>
      </c>
    </row>
    <row r="430" spans="1:19">
      <c r="A430" s="140"/>
      <c r="B430" s="51"/>
      <c r="C430" s="20">
        <f t="shared" si="74"/>
        <v>1</v>
      </c>
      <c r="D430" s="633"/>
      <c r="E430" s="20">
        <f t="shared" si="75"/>
        <v>1</v>
      </c>
      <c r="F430" s="633"/>
      <c r="G430" s="20">
        <f t="shared" si="76"/>
        <v>1</v>
      </c>
      <c r="H430" s="633"/>
      <c r="I430" s="20">
        <f t="shared" si="77"/>
        <v>1</v>
      </c>
      <c r="J430" s="633"/>
      <c r="K430" s="20">
        <f t="shared" si="78"/>
        <v>1</v>
      </c>
      <c r="L430" s="633"/>
      <c r="M430" s="20">
        <f t="shared" si="79"/>
        <v>1</v>
      </c>
      <c r="N430" s="633"/>
      <c r="O430" s="20">
        <f t="shared" si="80"/>
        <v>1</v>
      </c>
      <c r="P430" s="633"/>
      <c r="Q430" s="20">
        <f t="shared" si="81"/>
        <v>1</v>
      </c>
      <c r="R430" s="20">
        <f t="shared" si="82"/>
        <v>0</v>
      </c>
      <c r="S430" s="306">
        <f t="shared" si="83"/>
        <v>0</v>
      </c>
    </row>
    <row r="431" spans="1:19">
      <c r="A431" s="140"/>
      <c r="B431" s="51"/>
      <c r="C431" s="20">
        <f t="shared" si="74"/>
        <v>1</v>
      </c>
      <c r="D431" s="633"/>
      <c r="E431" s="20">
        <f t="shared" si="75"/>
        <v>1</v>
      </c>
      <c r="F431" s="633"/>
      <c r="G431" s="20">
        <f t="shared" si="76"/>
        <v>1</v>
      </c>
      <c r="H431" s="633"/>
      <c r="I431" s="20">
        <f t="shared" si="77"/>
        <v>1</v>
      </c>
      <c r="J431" s="633"/>
      <c r="K431" s="20">
        <f t="shared" si="78"/>
        <v>1</v>
      </c>
      <c r="L431" s="633"/>
      <c r="M431" s="20">
        <f t="shared" si="79"/>
        <v>1</v>
      </c>
      <c r="N431" s="633"/>
      <c r="O431" s="20">
        <f t="shared" si="80"/>
        <v>1</v>
      </c>
      <c r="P431" s="633"/>
      <c r="Q431" s="20">
        <f t="shared" si="81"/>
        <v>1</v>
      </c>
      <c r="R431" s="20">
        <f t="shared" si="82"/>
        <v>0</v>
      </c>
      <c r="S431" s="306">
        <f t="shared" si="83"/>
        <v>0</v>
      </c>
    </row>
    <row r="432" spans="1:19">
      <c r="A432" s="140"/>
      <c r="B432" s="51"/>
      <c r="C432" s="20">
        <f t="shared" si="74"/>
        <v>1</v>
      </c>
      <c r="D432" s="633"/>
      <c r="E432" s="20">
        <f t="shared" si="75"/>
        <v>1</v>
      </c>
      <c r="F432" s="633"/>
      <c r="G432" s="20">
        <f t="shared" si="76"/>
        <v>1</v>
      </c>
      <c r="H432" s="633"/>
      <c r="I432" s="20">
        <f t="shared" si="77"/>
        <v>1</v>
      </c>
      <c r="J432" s="633"/>
      <c r="K432" s="20">
        <f t="shared" si="78"/>
        <v>1</v>
      </c>
      <c r="L432" s="633"/>
      <c r="M432" s="20">
        <f t="shared" si="79"/>
        <v>1</v>
      </c>
      <c r="N432" s="633"/>
      <c r="O432" s="20">
        <f t="shared" si="80"/>
        <v>1</v>
      </c>
      <c r="P432" s="633"/>
      <c r="Q432" s="20">
        <f t="shared" si="81"/>
        <v>1</v>
      </c>
      <c r="R432" s="20">
        <f t="shared" si="82"/>
        <v>0</v>
      </c>
      <c r="S432" s="306">
        <f t="shared" si="83"/>
        <v>0</v>
      </c>
    </row>
    <row r="433" spans="1:19">
      <c r="A433" s="140"/>
      <c r="B433" s="51"/>
      <c r="C433" s="20">
        <f t="shared" si="74"/>
        <v>1</v>
      </c>
      <c r="D433" s="633"/>
      <c r="E433" s="20">
        <f t="shared" si="75"/>
        <v>1</v>
      </c>
      <c r="F433" s="633"/>
      <c r="G433" s="20">
        <f t="shared" si="76"/>
        <v>1</v>
      </c>
      <c r="H433" s="633"/>
      <c r="I433" s="20">
        <f t="shared" si="77"/>
        <v>1</v>
      </c>
      <c r="J433" s="633"/>
      <c r="K433" s="20">
        <f t="shared" si="78"/>
        <v>1</v>
      </c>
      <c r="L433" s="633"/>
      <c r="M433" s="20">
        <f t="shared" si="79"/>
        <v>1</v>
      </c>
      <c r="N433" s="633"/>
      <c r="O433" s="20">
        <f t="shared" si="80"/>
        <v>1</v>
      </c>
      <c r="P433" s="633"/>
      <c r="Q433" s="20">
        <f t="shared" si="81"/>
        <v>1</v>
      </c>
      <c r="R433" s="20">
        <f t="shared" si="82"/>
        <v>0</v>
      </c>
      <c r="S433" s="306">
        <f t="shared" si="83"/>
        <v>0</v>
      </c>
    </row>
    <row r="434" spans="1:19">
      <c r="A434" s="140"/>
      <c r="B434" s="51"/>
      <c r="C434" s="20">
        <f t="shared" si="74"/>
        <v>1</v>
      </c>
      <c r="D434" s="633"/>
      <c r="E434" s="20">
        <f t="shared" si="75"/>
        <v>1</v>
      </c>
      <c r="F434" s="633"/>
      <c r="G434" s="20">
        <f t="shared" si="76"/>
        <v>1</v>
      </c>
      <c r="H434" s="633"/>
      <c r="I434" s="20">
        <f t="shared" si="77"/>
        <v>1</v>
      </c>
      <c r="J434" s="633"/>
      <c r="K434" s="20">
        <f t="shared" si="78"/>
        <v>1</v>
      </c>
      <c r="L434" s="633"/>
      <c r="M434" s="20">
        <f t="shared" si="79"/>
        <v>1</v>
      </c>
      <c r="N434" s="633"/>
      <c r="O434" s="20">
        <f t="shared" si="80"/>
        <v>1</v>
      </c>
      <c r="P434" s="633"/>
      <c r="Q434" s="20">
        <f t="shared" si="81"/>
        <v>1</v>
      </c>
      <c r="R434" s="20">
        <f t="shared" si="82"/>
        <v>0</v>
      </c>
      <c r="S434" s="306">
        <f t="shared" si="83"/>
        <v>0</v>
      </c>
    </row>
    <row r="435" spans="1:19">
      <c r="A435" s="140"/>
      <c r="B435" s="51"/>
      <c r="C435" s="20">
        <f t="shared" si="74"/>
        <v>1</v>
      </c>
      <c r="D435" s="633"/>
      <c r="E435" s="20">
        <f t="shared" si="75"/>
        <v>1</v>
      </c>
      <c r="F435" s="633"/>
      <c r="G435" s="20">
        <f t="shared" si="76"/>
        <v>1</v>
      </c>
      <c r="H435" s="633"/>
      <c r="I435" s="20">
        <f t="shared" si="77"/>
        <v>1</v>
      </c>
      <c r="J435" s="633"/>
      <c r="K435" s="20">
        <f t="shared" si="78"/>
        <v>1</v>
      </c>
      <c r="L435" s="633"/>
      <c r="M435" s="20">
        <f t="shared" si="79"/>
        <v>1</v>
      </c>
      <c r="N435" s="633"/>
      <c r="O435" s="20">
        <f t="shared" si="80"/>
        <v>1</v>
      </c>
      <c r="P435" s="633"/>
      <c r="Q435" s="20">
        <f t="shared" si="81"/>
        <v>1</v>
      </c>
      <c r="R435" s="20">
        <f t="shared" si="82"/>
        <v>0</v>
      </c>
      <c r="S435" s="306">
        <f t="shared" si="83"/>
        <v>0</v>
      </c>
    </row>
    <row r="436" spans="1:19">
      <c r="A436" s="140"/>
      <c r="B436" s="51"/>
      <c r="C436" s="20">
        <f t="shared" si="74"/>
        <v>1</v>
      </c>
      <c r="D436" s="633"/>
      <c r="E436" s="20">
        <f t="shared" si="75"/>
        <v>1</v>
      </c>
      <c r="F436" s="633"/>
      <c r="G436" s="20">
        <f t="shared" si="76"/>
        <v>1</v>
      </c>
      <c r="H436" s="633"/>
      <c r="I436" s="20">
        <f t="shared" si="77"/>
        <v>1</v>
      </c>
      <c r="J436" s="633"/>
      <c r="K436" s="20">
        <f t="shared" si="78"/>
        <v>1</v>
      </c>
      <c r="L436" s="633"/>
      <c r="M436" s="20">
        <f t="shared" si="79"/>
        <v>1</v>
      </c>
      <c r="N436" s="633"/>
      <c r="O436" s="20">
        <f t="shared" si="80"/>
        <v>1</v>
      </c>
      <c r="P436" s="633"/>
      <c r="Q436" s="20">
        <f t="shared" si="81"/>
        <v>1</v>
      </c>
      <c r="R436" s="20">
        <f t="shared" si="82"/>
        <v>0</v>
      </c>
      <c r="S436" s="306">
        <f t="shared" si="83"/>
        <v>0</v>
      </c>
    </row>
    <row r="437" spans="1:19">
      <c r="A437" s="140"/>
      <c r="B437" s="51"/>
      <c r="C437" s="20">
        <f t="shared" si="74"/>
        <v>1</v>
      </c>
      <c r="D437" s="633"/>
      <c r="E437" s="20">
        <f t="shared" si="75"/>
        <v>1</v>
      </c>
      <c r="F437" s="633"/>
      <c r="G437" s="20">
        <f t="shared" si="76"/>
        <v>1</v>
      </c>
      <c r="H437" s="633"/>
      <c r="I437" s="20">
        <f t="shared" si="77"/>
        <v>1</v>
      </c>
      <c r="J437" s="633"/>
      <c r="K437" s="20">
        <f t="shared" si="78"/>
        <v>1</v>
      </c>
      <c r="L437" s="633"/>
      <c r="M437" s="20">
        <f t="shared" si="79"/>
        <v>1</v>
      </c>
      <c r="N437" s="633"/>
      <c r="O437" s="20">
        <f t="shared" si="80"/>
        <v>1</v>
      </c>
      <c r="P437" s="633"/>
      <c r="Q437" s="20">
        <f t="shared" si="81"/>
        <v>1</v>
      </c>
      <c r="R437" s="20">
        <f t="shared" si="82"/>
        <v>0</v>
      </c>
      <c r="S437" s="306">
        <f t="shared" si="83"/>
        <v>0</v>
      </c>
    </row>
    <row r="438" spans="1:19">
      <c r="A438" s="140"/>
      <c r="B438" s="51"/>
      <c r="C438" s="20">
        <f t="shared" si="74"/>
        <v>1</v>
      </c>
      <c r="D438" s="633"/>
      <c r="E438" s="20">
        <f t="shared" si="75"/>
        <v>1</v>
      </c>
      <c r="F438" s="633"/>
      <c r="G438" s="20">
        <f t="shared" si="76"/>
        <v>1</v>
      </c>
      <c r="H438" s="633"/>
      <c r="I438" s="20">
        <f t="shared" si="77"/>
        <v>1</v>
      </c>
      <c r="J438" s="633"/>
      <c r="K438" s="20">
        <f t="shared" si="78"/>
        <v>1</v>
      </c>
      <c r="L438" s="633"/>
      <c r="M438" s="20">
        <f t="shared" si="79"/>
        <v>1</v>
      </c>
      <c r="N438" s="633"/>
      <c r="O438" s="20">
        <f t="shared" si="80"/>
        <v>1</v>
      </c>
      <c r="P438" s="633"/>
      <c r="Q438" s="20">
        <f t="shared" si="81"/>
        <v>1</v>
      </c>
      <c r="R438" s="20">
        <f t="shared" si="82"/>
        <v>0</v>
      </c>
      <c r="S438" s="306">
        <f t="shared" si="83"/>
        <v>0</v>
      </c>
    </row>
    <row r="439" spans="1:19">
      <c r="A439" s="140"/>
      <c r="B439" s="51"/>
      <c r="C439" s="20">
        <f t="shared" si="74"/>
        <v>1</v>
      </c>
      <c r="D439" s="633"/>
      <c r="E439" s="20">
        <f t="shared" si="75"/>
        <v>1</v>
      </c>
      <c r="F439" s="633"/>
      <c r="G439" s="20">
        <f t="shared" si="76"/>
        <v>1</v>
      </c>
      <c r="H439" s="633"/>
      <c r="I439" s="20">
        <f t="shared" si="77"/>
        <v>1</v>
      </c>
      <c r="J439" s="633"/>
      <c r="K439" s="20">
        <f t="shared" si="78"/>
        <v>1</v>
      </c>
      <c r="L439" s="633"/>
      <c r="M439" s="20">
        <f t="shared" si="79"/>
        <v>1</v>
      </c>
      <c r="N439" s="633"/>
      <c r="O439" s="20">
        <f t="shared" si="80"/>
        <v>1</v>
      </c>
      <c r="P439" s="633"/>
      <c r="Q439" s="20">
        <f t="shared" si="81"/>
        <v>1</v>
      </c>
      <c r="R439" s="20">
        <f t="shared" si="82"/>
        <v>0</v>
      </c>
      <c r="S439" s="306">
        <f t="shared" si="83"/>
        <v>0</v>
      </c>
    </row>
    <row r="440" spans="1:19">
      <c r="A440" s="140"/>
      <c r="B440" s="51"/>
      <c r="C440" s="20">
        <f t="shared" si="74"/>
        <v>1</v>
      </c>
      <c r="D440" s="633"/>
      <c r="E440" s="20">
        <f t="shared" si="75"/>
        <v>1</v>
      </c>
      <c r="F440" s="633"/>
      <c r="G440" s="20">
        <f t="shared" si="76"/>
        <v>1</v>
      </c>
      <c r="H440" s="633"/>
      <c r="I440" s="20">
        <f t="shared" si="77"/>
        <v>1</v>
      </c>
      <c r="J440" s="633"/>
      <c r="K440" s="20">
        <f t="shared" si="78"/>
        <v>1</v>
      </c>
      <c r="L440" s="633"/>
      <c r="M440" s="20">
        <f t="shared" si="79"/>
        <v>1</v>
      </c>
      <c r="N440" s="633"/>
      <c r="O440" s="20">
        <f t="shared" si="80"/>
        <v>1</v>
      </c>
      <c r="P440" s="633"/>
      <c r="Q440" s="20">
        <f t="shared" si="81"/>
        <v>1</v>
      </c>
      <c r="R440" s="20">
        <f t="shared" si="82"/>
        <v>0</v>
      </c>
      <c r="S440" s="306">
        <f t="shared" si="83"/>
        <v>0</v>
      </c>
    </row>
    <row r="441" spans="1:19">
      <c r="A441" s="140"/>
      <c r="B441" s="51"/>
      <c r="C441" s="20">
        <f t="shared" si="74"/>
        <v>1</v>
      </c>
      <c r="D441" s="633"/>
      <c r="E441" s="20">
        <f t="shared" si="75"/>
        <v>1</v>
      </c>
      <c r="F441" s="633"/>
      <c r="G441" s="20">
        <f t="shared" si="76"/>
        <v>1</v>
      </c>
      <c r="H441" s="633"/>
      <c r="I441" s="20">
        <f t="shared" si="77"/>
        <v>1</v>
      </c>
      <c r="J441" s="633"/>
      <c r="K441" s="20">
        <f t="shared" si="78"/>
        <v>1</v>
      </c>
      <c r="L441" s="633"/>
      <c r="M441" s="20">
        <f t="shared" si="79"/>
        <v>1</v>
      </c>
      <c r="N441" s="633"/>
      <c r="O441" s="20">
        <f t="shared" si="80"/>
        <v>1</v>
      </c>
      <c r="P441" s="633"/>
      <c r="Q441" s="20">
        <f t="shared" si="81"/>
        <v>1</v>
      </c>
      <c r="R441" s="20">
        <f t="shared" si="82"/>
        <v>0</v>
      </c>
      <c r="S441" s="306">
        <f t="shared" si="83"/>
        <v>0</v>
      </c>
    </row>
    <row r="442" spans="1:19">
      <c r="A442" s="140"/>
      <c r="B442" s="51"/>
      <c r="C442" s="20">
        <f t="shared" si="74"/>
        <v>1</v>
      </c>
      <c r="D442" s="633"/>
      <c r="E442" s="20">
        <f t="shared" si="75"/>
        <v>1</v>
      </c>
      <c r="F442" s="633"/>
      <c r="G442" s="20">
        <f t="shared" si="76"/>
        <v>1</v>
      </c>
      <c r="H442" s="633"/>
      <c r="I442" s="20">
        <f t="shared" si="77"/>
        <v>1</v>
      </c>
      <c r="J442" s="633"/>
      <c r="K442" s="20">
        <f t="shared" si="78"/>
        <v>1</v>
      </c>
      <c r="L442" s="633"/>
      <c r="M442" s="20">
        <f t="shared" si="79"/>
        <v>1</v>
      </c>
      <c r="N442" s="633"/>
      <c r="O442" s="20">
        <f t="shared" si="80"/>
        <v>1</v>
      </c>
      <c r="P442" s="633"/>
      <c r="Q442" s="20">
        <f t="shared" si="81"/>
        <v>1</v>
      </c>
      <c r="R442" s="20">
        <f t="shared" si="82"/>
        <v>0</v>
      </c>
      <c r="S442" s="306">
        <f t="shared" si="83"/>
        <v>0</v>
      </c>
    </row>
    <row r="443" spans="1:19">
      <c r="A443" s="140"/>
      <c r="B443" s="51"/>
      <c r="C443" s="20">
        <f t="shared" si="74"/>
        <v>1</v>
      </c>
      <c r="D443" s="633"/>
      <c r="E443" s="20">
        <f t="shared" si="75"/>
        <v>1</v>
      </c>
      <c r="F443" s="633"/>
      <c r="G443" s="20">
        <f t="shared" si="76"/>
        <v>1</v>
      </c>
      <c r="H443" s="633"/>
      <c r="I443" s="20">
        <f t="shared" si="77"/>
        <v>1</v>
      </c>
      <c r="J443" s="633"/>
      <c r="K443" s="20">
        <f t="shared" si="78"/>
        <v>1</v>
      </c>
      <c r="L443" s="633"/>
      <c r="M443" s="20">
        <f t="shared" si="79"/>
        <v>1</v>
      </c>
      <c r="N443" s="633"/>
      <c r="O443" s="20">
        <f t="shared" si="80"/>
        <v>1</v>
      </c>
      <c r="P443" s="633"/>
      <c r="Q443" s="20">
        <f t="shared" si="81"/>
        <v>1</v>
      </c>
      <c r="R443" s="20">
        <f t="shared" si="82"/>
        <v>0</v>
      </c>
      <c r="S443" s="306">
        <f t="shared" si="83"/>
        <v>0</v>
      </c>
    </row>
    <row r="444" spans="1:19">
      <c r="A444" s="140"/>
      <c r="B444" s="51"/>
      <c r="C444" s="20">
        <f t="shared" si="74"/>
        <v>1</v>
      </c>
      <c r="D444" s="633"/>
      <c r="E444" s="20">
        <f t="shared" si="75"/>
        <v>1</v>
      </c>
      <c r="F444" s="633"/>
      <c r="G444" s="20">
        <f t="shared" si="76"/>
        <v>1</v>
      </c>
      <c r="H444" s="633"/>
      <c r="I444" s="20">
        <f t="shared" si="77"/>
        <v>1</v>
      </c>
      <c r="J444" s="633"/>
      <c r="K444" s="20">
        <f t="shared" si="78"/>
        <v>1</v>
      </c>
      <c r="L444" s="633"/>
      <c r="M444" s="20">
        <f t="shared" si="79"/>
        <v>1</v>
      </c>
      <c r="N444" s="633"/>
      <c r="O444" s="20">
        <f t="shared" si="80"/>
        <v>1</v>
      </c>
      <c r="P444" s="633"/>
      <c r="Q444" s="20">
        <f t="shared" si="81"/>
        <v>1</v>
      </c>
      <c r="R444" s="20">
        <f t="shared" si="82"/>
        <v>0</v>
      </c>
      <c r="S444" s="306">
        <f t="shared" si="83"/>
        <v>0</v>
      </c>
    </row>
    <row r="445" spans="1:19">
      <c r="A445" s="140"/>
      <c r="B445" s="51"/>
      <c r="C445" s="20">
        <f t="shared" si="74"/>
        <v>1</v>
      </c>
      <c r="D445" s="633"/>
      <c r="E445" s="20">
        <f t="shared" si="75"/>
        <v>1</v>
      </c>
      <c r="F445" s="633"/>
      <c r="G445" s="20">
        <f t="shared" si="76"/>
        <v>1</v>
      </c>
      <c r="H445" s="633"/>
      <c r="I445" s="20">
        <f t="shared" si="77"/>
        <v>1</v>
      </c>
      <c r="J445" s="633"/>
      <c r="K445" s="20">
        <f t="shared" si="78"/>
        <v>1</v>
      </c>
      <c r="L445" s="633"/>
      <c r="M445" s="20">
        <f t="shared" si="79"/>
        <v>1</v>
      </c>
      <c r="N445" s="633"/>
      <c r="O445" s="20">
        <f t="shared" si="80"/>
        <v>1</v>
      </c>
      <c r="P445" s="633"/>
      <c r="Q445" s="20">
        <f t="shared" si="81"/>
        <v>1</v>
      </c>
      <c r="R445" s="20">
        <f t="shared" si="82"/>
        <v>0</v>
      </c>
      <c r="S445" s="306">
        <f t="shared" si="83"/>
        <v>0</v>
      </c>
    </row>
    <row r="446" spans="1:19">
      <c r="A446" s="140"/>
      <c r="B446" s="51"/>
      <c r="C446" s="20">
        <f t="shared" si="74"/>
        <v>1</v>
      </c>
      <c r="D446" s="633"/>
      <c r="E446" s="20">
        <f t="shared" si="75"/>
        <v>1</v>
      </c>
      <c r="F446" s="633"/>
      <c r="G446" s="20">
        <f t="shared" si="76"/>
        <v>1</v>
      </c>
      <c r="H446" s="633"/>
      <c r="I446" s="20">
        <f t="shared" si="77"/>
        <v>1</v>
      </c>
      <c r="J446" s="633"/>
      <c r="K446" s="20">
        <f t="shared" si="78"/>
        <v>1</v>
      </c>
      <c r="L446" s="633"/>
      <c r="M446" s="20">
        <f t="shared" si="79"/>
        <v>1</v>
      </c>
      <c r="N446" s="633"/>
      <c r="O446" s="20">
        <f t="shared" si="80"/>
        <v>1</v>
      </c>
      <c r="P446" s="633"/>
      <c r="Q446" s="20">
        <f t="shared" si="81"/>
        <v>1</v>
      </c>
      <c r="R446" s="20">
        <f t="shared" si="82"/>
        <v>0</v>
      </c>
      <c r="S446" s="306">
        <f t="shared" si="83"/>
        <v>0</v>
      </c>
    </row>
    <row r="447" spans="1:19">
      <c r="A447" s="140"/>
      <c r="B447" s="51"/>
      <c r="C447" s="20">
        <f t="shared" si="74"/>
        <v>1</v>
      </c>
      <c r="D447" s="633"/>
      <c r="E447" s="20">
        <f t="shared" si="75"/>
        <v>1</v>
      </c>
      <c r="F447" s="633"/>
      <c r="G447" s="20">
        <f t="shared" si="76"/>
        <v>1</v>
      </c>
      <c r="H447" s="633"/>
      <c r="I447" s="20">
        <f t="shared" si="77"/>
        <v>1</v>
      </c>
      <c r="J447" s="633"/>
      <c r="K447" s="20">
        <f t="shared" si="78"/>
        <v>1</v>
      </c>
      <c r="L447" s="633"/>
      <c r="M447" s="20">
        <f t="shared" si="79"/>
        <v>1</v>
      </c>
      <c r="N447" s="633"/>
      <c r="O447" s="20">
        <f t="shared" si="80"/>
        <v>1</v>
      </c>
      <c r="P447" s="633"/>
      <c r="Q447" s="20">
        <f t="shared" si="81"/>
        <v>1</v>
      </c>
      <c r="R447" s="20">
        <f t="shared" si="82"/>
        <v>0</v>
      </c>
      <c r="S447" s="306">
        <f t="shared" si="83"/>
        <v>0</v>
      </c>
    </row>
    <row r="448" spans="1:19">
      <c r="A448" s="140"/>
      <c r="B448" s="51"/>
      <c r="C448" s="20">
        <f t="shared" si="74"/>
        <v>1</v>
      </c>
      <c r="D448" s="633"/>
      <c r="E448" s="20">
        <f t="shared" si="75"/>
        <v>1</v>
      </c>
      <c r="F448" s="633"/>
      <c r="G448" s="20">
        <f t="shared" si="76"/>
        <v>1</v>
      </c>
      <c r="H448" s="633"/>
      <c r="I448" s="20">
        <f t="shared" si="77"/>
        <v>1</v>
      </c>
      <c r="J448" s="633"/>
      <c r="K448" s="20">
        <f t="shared" si="78"/>
        <v>1</v>
      </c>
      <c r="L448" s="633"/>
      <c r="M448" s="20">
        <f t="shared" si="79"/>
        <v>1</v>
      </c>
      <c r="N448" s="633"/>
      <c r="O448" s="20">
        <f t="shared" si="80"/>
        <v>1</v>
      </c>
      <c r="P448" s="633"/>
      <c r="Q448" s="20">
        <f t="shared" si="81"/>
        <v>1</v>
      </c>
      <c r="R448" s="20">
        <f t="shared" si="82"/>
        <v>0</v>
      </c>
      <c r="S448" s="306">
        <f t="shared" si="83"/>
        <v>0</v>
      </c>
    </row>
    <row r="449" spans="1:19">
      <c r="A449" s="140"/>
      <c r="B449" s="51"/>
      <c r="C449" s="20">
        <f t="shared" si="74"/>
        <v>1</v>
      </c>
      <c r="D449" s="633"/>
      <c r="E449" s="20">
        <f t="shared" si="75"/>
        <v>1</v>
      </c>
      <c r="F449" s="633"/>
      <c r="G449" s="20">
        <f t="shared" si="76"/>
        <v>1</v>
      </c>
      <c r="H449" s="633"/>
      <c r="I449" s="20">
        <f t="shared" si="77"/>
        <v>1</v>
      </c>
      <c r="J449" s="633"/>
      <c r="K449" s="20">
        <f t="shared" si="78"/>
        <v>1</v>
      </c>
      <c r="L449" s="633"/>
      <c r="M449" s="20">
        <f t="shared" si="79"/>
        <v>1</v>
      </c>
      <c r="N449" s="633"/>
      <c r="O449" s="20">
        <f t="shared" si="80"/>
        <v>1</v>
      </c>
      <c r="P449" s="633"/>
      <c r="Q449" s="20">
        <f t="shared" si="81"/>
        <v>1</v>
      </c>
      <c r="R449" s="20">
        <f t="shared" si="82"/>
        <v>0</v>
      </c>
      <c r="S449" s="306">
        <f t="shared" si="83"/>
        <v>0</v>
      </c>
    </row>
    <row r="450" spans="1:19">
      <c r="A450" s="140"/>
      <c r="B450" s="51"/>
      <c r="C450" s="20">
        <f t="shared" si="74"/>
        <v>1</v>
      </c>
      <c r="D450" s="633"/>
      <c r="E450" s="20">
        <f t="shared" si="75"/>
        <v>1</v>
      </c>
      <c r="F450" s="633"/>
      <c r="G450" s="20">
        <f t="shared" si="76"/>
        <v>1</v>
      </c>
      <c r="H450" s="633"/>
      <c r="I450" s="20">
        <f t="shared" si="77"/>
        <v>1</v>
      </c>
      <c r="J450" s="633"/>
      <c r="K450" s="20">
        <f t="shared" si="78"/>
        <v>1</v>
      </c>
      <c r="L450" s="633"/>
      <c r="M450" s="20">
        <f t="shared" si="79"/>
        <v>1</v>
      </c>
      <c r="N450" s="633"/>
      <c r="O450" s="20">
        <f t="shared" si="80"/>
        <v>1</v>
      </c>
      <c r="P450" s="633"/>
      <c r="Q450" s="20">
        <f t="shared" si="81"/>
        <v>1</v>
      </c>
      <c r="R450" s="20">
        <f t="shared" si="82"/>
        <v>0</v>
      </c>
      <c r="S450" s="306">
        <f t="shared" si="83"/>
        <v>0</v>
      </c>
    </row>
    <row r="451" spans="1:19">
      <c r="A451" s="140"/>
      <c r="B451" s="51"/>
      <c r="C451" s="20">
        <f t="shared" si="74"/>
        <v>1</v>
      </c>
      <c r="D451" s="633"/>
      <c r="E451" s="20">
        <f t="shared" si="75"/>
        <v>1</v>
      </c>
      <c r="F451" s="633"/>
      <c r="G451" s="20">
        <f t="shared" si="76"/>
        <v>1</v>
      </c>
      <c r="H451" s="633"/>
      <c r="I451" s="20">
        <f t="shared" si="77"/>
        <v>1</v>
      </c>
      <c r="J451" s="633"/>
      <c r="K451" s="20">
        <f t="shared" si="78"/>
        <v>1</v>
      </c>
      <c r="L451" s="633"/>
      <c r="M451" s="20">
        <f t="shared" si="79"/>
        <v>1</v>
      </c>
      <c r="N451" s="633"/>
      <c r="O451" s="20">
        <f t="shared" si="80"/>
        <v>1</v>
      </c>
      <c r="P451" s="633"/>
      <c r="Q451" s="20">
        <f t="shared" si="81"/>
        <v>1</v>
      </c>
      <c r="R451" s="20">
        <f t="shared" si="82"/>
        <v>0</v>
      </c>
      <c r="S451" s="306">
        <f t="shared" si="83"/>
        <v>0</v>
      </c>
    </row>
    <row r="452" spans="1:19">
      <c r="A452" s="140"/>
      <c r="B452" s="51"/>
      <c r="C452" s="20">
        <f t="shared" si="74"/>
        <v>1</v>
      </c>
      <c r="D452" s="633"/>
      <c r="E452" s="20">
        <f t="shared" si="75"/>
        <v>1</v>
      </c>
      <c r="F452" s="633"/>
      <c r="G452" s="20">
        <f t="shared" si="76"/>
        <v>1</v>
      </c>
      <c r="H452" s="633"/>
      <c r="I452" s="20">
        <f t="shared" si="77"/>
        <v>1</v>
      </c>
      <c r="J452" s="633"/>
      <c r="K452" s="20">
        <f t="shared" si="78"/>
        <v>1</v>
      </c>
      <c r="L452" s="633"/>
      <c r="M452" s="20">
        <f t="shared" si="79"/>
        <v>1</v>
      </c>
      <c r="N452" s="633"/>
      <c r="O452" s="20">
        <f t="shared" si="80"/>
        <v>1</v>
      </c>
      <c r="P452" s="633"/>
      <c r="Q452" s="20">
        <f t="shared" si="81"/>
        <v>1</v>
      </c>
      <c r="R452" s="20">
        <f t="shared" si="82"/>
        <v>0</v>
      </c>
      <c r="S452" s="306">
        <f t="shared" si="83"/>
        <v>0</v>
      </c>
    </row>
    <row r="453" spans="1:19">
      <c r="A453" s="140"/>
      <c r="B453" s="51"/>
      <c r="C453" s="20">
        <f t="shared" si="74"/>
        <v>1</v>
      </c>
      <c r="D453" s="633"/>
      <c r="E453" s="20">
        <f t="shared" si="75"/>
        <v>1</v>
      </c>
      <c r="F453" s="633"/>
      <c r="G453" s="20">
        <f t="shared" si="76"/>
        <v>1</v>
      </c>
      <c r="H453" s="633"/>
      <c r="I453" s="20">
        <f t="shared" si="77"/>
        <v>1</v>
      </c>
      <c r="J453" s="633"/>
      <c r="K453" s="20">
        <f t="shared" si="78"/>
        <v>1</v>
      </c>
      <c r="L453" s="633"/>
      <c r="M453" s="20">
        <f t="shared" si="79"/>
        <v>1</v>
      </c>
      <c r="N453" s="633"/>
      <c r="O453" s="20">
        <f t="shared" si="80"/>
        <v>1</v>
      </c>
      <c r="P453" s="633"/>
      <c r="Q453" s="20">
        <f t="shared" si="81"/>
        <v>1</v>
      </c>
      <c r="R453" s="20">
        <f t="shared" si="82"/>
        <v>0</v>
      </c>
      <c r="S453" s="306">
        <f t="shared" si="83"/>
        <v>0</v>
      </c>
    </row>
    <row r="454" spans="1:19">
      <c r="A454" s="140"/>
      <c r="B454" s="51"/>
      <c r="C454" s="20">
        <f t="shared" si="74"/>
        <v>1</v>
      </c>
      <c r="D454" s="633"/>
      <c r="E454" s="20">
        <f t="shared" si="75"/>
        <v>1</v>
      </c>
      <c r="F454" s="633"/>
      <c r="G454" s="20">
        <f t="shared" si="76"/>
        <v>1</v>
      </c>
      <c r="H454" s="633"/>
      <c r="I454" s="20">
        <f t="shared" si="77"/>
        <v>1</v>
      </c>
      <c r="J454" s="633"/>
      <c r="K454" s="20">
        <f t="shared" si="78"/>
        <v>1</v>
      </c>
      <c r="L454" s="633"/>
      <c r="M454" s="20">
        <f t="shared" si="79"/>
        <v>1</v>
      </c>
      <c r="N454" s="633"/>
      <c r="O454" s="20">
        <f t="shared" si="80"/>
        <v>1</v>
      </c>
      <c r="P454" s="633"/>
      <c r="Q454" s="20">
        <f t="shared" si="81"/>
        <v>1</v>
      </c>
      <c r="R454" s="20">
        <f t="shared" si="82"/>
        <v>0</v>
      </c>
      <c r="S454" s="306">
        <f t="shared" si="83"/>
        <v>0</v>
      </c>
    </row>
    <row r="455" spans="1:19">
      <c r="A455" s="140"/>
      <c r="B455" s="51"/>
      <c r="C455" s="20">
        <f t="shared" si="74"/>
        <v>1</v>
      </c>
      <c r="D455" s="633"/>
      <c r="E455" s="20">
        <f t="shared" si="75"/>
        <v>1</v>
      </c>
      <c r="F455" s="633"/>
      <c r="G455" s="20">
        <f t="shared" si="76"/>
        <v>1</v>
      </c>
      <c r="H455" s="633"/>
      <c r="I455" s="20">
        <f t="shared" si="77"/>
        <v>1</v>
      </c>
      <c r="J455" s="633"/>
      <c r="K455" s="20">
        <f t="shared" si="78"/>
        <v>1</v>
      </c>
      <c r="L455" s="633"/>
      <c r="M455" s="20">
        <f t="shared" si="79"/>
        <v>1</v>
      </c>
      <c r="N455" s="633"/>
      <c r="O455" s="20">
        <f t="shared" si="80"/>
        <v>1</v>
      </c>
      <c r="P455" s="633"/>
      <c r="Q455" s="20">
        <f t="shared" si="81"/>
        <v>1</v>
      </c>
      <c r="R455" s="20">
        <f t="shared" si="82"/>
        <v>0</v>
      </c>
      <c r="S455" s="306">
        <f t="shared" si="83"/>
        <v>0</v>
      </c>
    </row>
    <row r="456" spans="1:19">
      <c r="A456" s="140"/>
      <c r="B456" s="51"/>
      <c r="C456" s="20">
        <f t="shared" si="74"/>
        <v>1</v>
      </c>
      <c r="D456" s="633"/>
      <c r="E456" s="20">
        <f t="shared" si="75"/>
        <v>1</v>
      </c>
      <c r="F456" s="633"/>
      <c r="G456" s="20">
        <f t="shared" si="76"/>
        <v>1</v>
      </c>
      <c r="H456" s="633"/>
      <c r="I456" s="20">
        <f t="shared" si="77"/>
        <v>1</v>
      </c>
      <c r="J456" s="633"/>
      <c r="K456" s="20">
        <f t="shared" si="78"/>
        <v>1</v>
      </c>
      <c r="L456" s="633"/>
      <c r="M456" s="20">
        <f t="shared" si="79"/>
        <v>1</v>
      </c>
      <c r="N456" s="633"/>
      <c r="O456" s="20">
        <f t="shared" si="80"/>
        <v>1</v>
      </c>
      <c r="P456" s="633"/>
      <c r="Q456" s="20">
        <f t="shared" si="81"/>
        <v>1</v>
      </c>
      <c r="R456" s="20">
        <f t="shared" si="82"/>
        <v>0</v>
      </c>
      <c r="S456" s="306">
        <f t="shared" si="83"/>
        <v>0</v>
      </c>
    </row>
    <row r="457" spans="1:19">
      <c r="A457" s="140"/>
      <c r="B457" s="51"/>
      <c r="C457" s="20">
        <f t="shared" si="74"/>
        <v>1</v>
      </c>
      <c r="D457" s="633"/>
      <c r="E457" s="20">
        <f t="shared" si="75"/>
        <v>1</v>
      </c>
      <c r="F457" s="633"/>
      <c r="G457" s="20">
        <f t="shared" si="76"/>
        <v>1</v>
      </c>
      <c r="H457" s="633"/>
      <c r="I457" s="20">
        <f t="shared" si="77"/>
        <v>1</v>
      </c>
      <c r="J457" s="633"/>
      <c r="K457" s="20">
        <f t="shared" si="78"/>
        <v>1</v>
      </c>
      <c r="L457" s="633"/>
      <c r="M457" s="20">
        <f t="shared" si="79"/>
        <v>1</v>
      </c>
      <c r="N457" s="633"/>
      <c r="O457" s="20">
        <f t="shared" si="80"/>
        <v>1</v>
      </c>
      <c r="P457" s="633"/>
      <c r="Q457" s="20">
        <f t="shared" si="81"/>
        <v>1</v>
      </c>
      <c r="R457" s="20">
        <f t="shared" si="82"/>
        <v>0</v>
      </c>
      <c r="S457" s="306">
        <f t="shared" si="83"/>
        <v>0</v>
      </c>
    </row>
    <row r="458" spans="1:19">
      <c r="A458" s="140"/>
      <c r="B458" s="51"/>
      <c r="C458" s="20">
        <f t="shared" si="74"/>
        <v>1</v>
      </c>
      <c r="D458" s="633"/>
      <c r="E458" s="20">
        <f t="shared" si="75"/>
        <v>1</v>
      </c>
      <c r="F458" s="633"/>
      <c r="G458" s="20">
        <f t="shared" si="76"/>
        <v>1</v>
      </c>
      <c r="H458" s="633"/>
      <c r="I458" s="20">
        <f t="shared" si="77"/>
        <v>1</v>
      </c>
      <c r="J458" s="633"/>
      <c r="K458" s="20">
        <f t="shared" si="78"/>
        <v>1</v>
      </c>
      <c r="L458" s="633"/>
      <c r="M458" s="20">
        <f t="shared" si="79"/>
        <v>1</v>
      </c>
      <c r="N458" s="633"/>
      <c r="O458" s="20">
        <f t="shared" si="80"/>
        <v>1</v>
      </c>
      <c r="P458" s="633"/>
      <c r="Q458" s="20">
        <f t="shared" si="81"/>
        <v>1</v>
      </c>
      <c r="R458" s="20">
        <f t="shared" si="82"/>
        <v>0</v>
      </c>
      <c r="S458" s="306">
        <f t="shared" si="83"/>
        <v>0</v>
      </c>
    </row>
    <row r="459" spans="1:19">
      <c r="A459" s="140"/>
      <c r="B459" s="51"/>
      <c r="C459" s="20">
        <f t="shared" si="74"/>
        <v>1</v>
      </c>
      <c r="D459" s="633"/>
      <c r="E459" s="20">
        <f t="shared" si="75"/>
        <v>1</v>
      </c>
      <c r="F459" s="633"/>
      <c r="G459" s="20">
        <f t="shared" si="76"/>
        <v>1</v>
      </c>
      <c r="H459" s="633"/>
      <c r="I459" s="20">
        <f t="shared" si="77"/>
        <v>1</v>
      </c>
      <c r="J459" s="633"/>
      <c r="K459" s="20">
        <f t="shared" si="78"/>
        <v>1</v>
      </c>
      <c r="L459" s="633"/>
      <c r="M459" s="20">
        <f t="shared" si="79"/>
        <v>1</v>
      </c>
      <c r="N459" s="633"/>
      <c r="O459" s="20">
        <f t="shared" si="80"/>
        <v>1</v>
      </c>
      <c r="P459" s="633"/>
      <c r="Q459" s="20">
        <f t="shared" si="81"/>
        <v>1</v>
      </c>
      <c r="R459" s="20">
        <f t="shared" si="82"/>
        <v>0</v>
      </c>
      <c r="S459" s="306">
        <f t="shared" si="83"/>
        <v>0</v>
      </c>
    </row>
    <row r="460" spans="1:19">
      <c r="A460" s="140"/>
      <c r="B460" s="51"/>
      <c r="C460" s="20">
        <f t="shared" si="74"/>
        <v>1</v>
      </c>
      <c r="D460" s="633"/>
      <c r="E460" s="20">
        <f t="shared" si="75"/>
        <v>1</v>
      </c>
      <c r="F460" s="633"/>
      <c r="G460" s="20">
        <f t="shared" si="76"/>
        <v>1</v>
      </c>
      <c r="H460" s="633"/>
      <c r="I460" s="20">
        <f t="shared" si="77"/>
        <v>1</v>
      </c>
      <c r="J460" s="633"/>
      <c r="K460" s="20">
        <f t="shared" si="78"/>
        <v>1</v>
      </c>
      <c r="L460" s="633"/>
      <c r="M460" s="20">
        <f t="shared" si="79"/>
        <v>1</v>
      </c>
      <c r="N460" s="633"/>
      <c r="O460" s="20">
        <f t="shared" si="80"/>
        <v>1</v>
      </c>
      <c r="P460" s="633"/>
      <c r="Q460" s="20">
        <f t="shared" si="81"/>
        <v>1</v>
      </c>
      <c r="R460" s="20">
        <f t="shared" si="82"/>
        <v>0</v>
      </c>
      <c r="S460" s="306">
        <f t="shared" si="83"/>
        <v>0</v>
      </c>
    </row>
    <row r="461" spans="1:19">
      <c r="A461" s="140"/>
      <c r="B461" s="51"/>
      <c r="C461" s="20">
        <f t="shared" si="74"/>
        <v>1</v>
      </c>
      <c r="D461" s="633"/>
      <c r="E461" s="20">
        <f t="shared" si="75"/>
        <v>1</v>
      </c>
      <c r="F461" s="633"/>
      <c r="G461" s="20">
        <f t="shared" si="76"/>
        <v>1</v>
      </c>
      <c r="H461" s="633"/>
      <c r="I461" s="20">
        <f t="shared" si="77"/>
        <v>1</v>
      </c>
      <c r="J461" s="633"/>
      <c r="K461" s="20">
        <f t="shared" si="78"/>
        <v>1</v>
      </c>
      <c r="L461" s="633"/>
      <c r="M461" s="20">
        <f t="shared" si="79"/>
        <v>1</v>
      </c>
      <c r="N461" s="633"/>
      <c r="O461" s="20">
        <f t="shared" si="80"/>
        <v>1</v>
      </c>
      <c r="P461" s="633"/>
      <c r="Q461" s="20">
        <f t="shared" si="81"/>
        <v>1</v>
      </c>
      <c r="R461" s="20">
        <f t="shared" si="82"/>
        <v>0</v>
      </c>
      <c r="S461" s="306">
        <f t="shared" si="83"/>
        <v>0</v>
      </c>
    </row>
    <row r="462" spans="1:19">
      <c r="A462" s="140"/>
      <c r="B462" s="51"/>
      <c r="C462" s="20">
        <f t="shared" si="74"/>
        <v>1</v>
      </c>
      <c r="D462" s="633"/>
      <c r="E462" s="20">
        <f t="shared" si="75"/>
        <v>1</v>
      </c>
      <c r="F462" s="633"/>
      <c r="G462" s="20">
        <f t="shared" si="76"/>
        <v>1</v>
      </c>
      <c r="H462" s="633"/>
      <c r="I462" s="20">
        <f t="shared" si="77"/>
        <v>1</v>
      </c>
      <c r="J462" s="633"/>
      <c r="K462" s="20">
        <f t="shared" si="78"/>
        <v>1</v>
      </c>
      <c r="L462" s="633"/>
      <c r="M462" s="20">
        <f t="shared" si="79"/>
        <v>1</v>
      </c>
      <c r="N462" s="633"/>
      <c r="O462" s="20">
        <f t="shared" si="80"/>
        <v>1</v>
      </c>
      <c r="P462" s="633"/>
      <c r="Q462" s="20">
        <f t="shared" si="81"/>
        <v>1</v>
      </c>
      <c r="R462" s="20">
        <f t="shared" si="82"/>
        <v>0</v>
      </c>
      <c r="S462" s="306">
        <f t="shared" si="83"/>
        <v>0</v>
      </c>
    </row>
    <row r="463" spans="1:19">
      <c r="A463" s="140"/>
      <c r="B463" s="51"/>
      <c r="C463" s="20">
        <f t="shared" si="74"/>
        <v>1</v>
      </c>
      <c r="D463" s="633"/>
      <c r="E463" s="20">
        <f t="shared" si="75"/>
        <v>1</v>
      </c>
      <c r="F463" s="633"/>
      <c r="G463" s="20">
        <f t="shared" si="76"/>
        <v>1</v>
      </c>
      <c r="H463" s="633"/>
      <c r="I463" s="20">
        <f t="shared" si="77"/>
        <v>1</v>
      </c>
      <c r="J463" s="633"/>
      <c r="K463" s="20">
        <f t="shared" si="78"/>
        <v>1</v>
      </c>
      <c r="L463" s="633"/>
      <c r="M463" s="20">
        <f t="shared" si="79"/>
        <v>1</v>
      </c>
      <c r="N463" s="633"/>
      <c r="O463" s="20">
        <f t="shared" si="80"/>
        <v>1</v>
      </c>
      <c r="P463" s="633"/>
      <c r="Q463" s="20">
        <f t="shared" si="81"/>
        <v>1</v>
      </c>
      <c r="R463" s="20">
        <f t="shared" si="82"/>
        <v>0</v>
      </c>
      <c r="S463" s="306">
        <f t="shared" si="83"/>
        <v>0</v>
      </c>
    </row>
    <row r="464" spans="1:19">
      <c r="A464" s="140"/>
      <c r="B464" s="51"/>
      <c r="C464" s="20">
        <f t="shared" si="74"/>
        <v>1</v>
      </c>
      <c r="D464" s="633"/>
      <c r="E464" s="20">
        <f t="shared" si="75"/>
        <v>1</v>
      </c>
      <c r="F464" s="633"/>
      <c r="G464" s="20">
        <f t="shared" si="76"/>
        <v>1</v>
      </c>
      <c r="H464" s="633"/>
      <c r="I464" s="20">
        <f t="shared" si="77"/>
        <v>1</v>
      </c>
      <c r="J464" s="633"/>
      <c r="K464" s="20">
        <f t="shared" si="78"/>
        <v>1</v>
      </c>
      <c r="L464" s="633"/>
      <c r="M464" s="20">
        <f t="shared" si="79"/>
        <v>1</v>
      </c>
      <c r="N464" s="633"/>
      <c r="O464" s="20">
        <f t="shared" si="80"/>
        <v>1</v>
      </c>
      <c r="P464" s="633"/>
      <c r="Q464" s="20">
        <f t="shared" si="81"/>
        <v>1</v>
      </c>
      <c r="R464" s="20">
        <f t="shared" si="82"/>
        <v>0</v>
      </c>
      <c r="S464" s="306">
        <f t="shared" si="83"/>
        <v>0</v>
      </c>
    </row>
    <row r="465" spans="1:19">
      <c r="A465" s="140"/>
      <c r="B465" s="51"/>
      <c r="C465" s="20">
        <f t="shared" si="74"/>
        <v>1</v>
      </c>
      <c r="D465" s="633"/>
      <c r="E465" s="20">
        <f t="shared" si="75"/>
        <v>1</v>
      </c>
      <c r="F465" s="633"/>
      <c r="G465" s="20">
        <f t="shared" si="76"/>
        <v>1</v>
      </c>
      <c r="H465" s="633"/>
      <c r="I465" s="20">
        <f t="shared" si="77"/>
        <v>1</v>
      </c>
      <c r="J465" s="633"/>
      <c r="K465" s="20">
        <f t="shared" si="78"/>
        <v>1</v>
      </c>
      <c r="L465" s="633"/>
      <c r="M465" s="20">
        <f t="shared" si="79"/>
        <v>1</v>
      </c>
      <c r="N465" s="633"/>
      <c r="O465" s="20">
        <f t="shared" si="80"/>
        <v>1</v>
      </c>
      <c r="P465" s="633"/>
      <c r="Q465" s="20">
        <f t="shared" si="81"/>
        <v>1</v>
      </c>
      <c r="R465" s="20">
        <f t="shared" si="82"/>
        <v>0</v>
      </c>
      <c r="S465" s="306">
        <f t="shared" si="83"/>
        <v>0</v>
      </c>
    </row>
    <row r="466" spans="1:19">
      <c r="A466" s="140"/>
      <c r="B466" s="51"/>
      <c r="C466" s="20">
        <f t="shared" si="74"/>
        <v>1</v>
      </c>
      <c r="D466" s="633"/>
      <c r="E466" s="20">
        <f t="shared" si="75"/>
        <v>1</v>
      </c>
      <c r="F466" s="633"/>
      <c r="G466" s="20">
        <f t="shared" si="76"/>
        <v>1</v>
      </c>
      <c r="H466" s="633"/>
      <c r="I466" s="20">
        <f t="shared" si="77"/>
        <v>1</v>
      </c>
      <c r="J466" s="633"/>
      <c r="K466" s="20">
        <f t="shared" si="78"/>
        <v>1</v>
      </c>
      <c r="L466" s="633"/>
      <c r="M466" s="20">
        <f t="shared" si="79"/>
        <v>1</v>
      </c>
      <c r="N466" s="633"/>
      <c r="O466" s="20">
        <f t="shared" si="80"/>
        <v>1</v>
      </c>
      <c r="P466" s="633"/>
      <c r="Q466" s="20">
        <f t="shared" si="81"/>
        <v>1</v>
      </c>
      <c r="R466" s="20">
        <f t="shared" si="82"/>
        <v>0</v>
      </c>
      <c r="S466" s="306">
        <f t="shared" si="83"/>
        <v>0</v>
      </c>
    </row>
    <row r="467" spans="1:19">
      <c r="A467" s="140"/>
      <c r="B467" s="51"/>
      <c r="C467" s="20">
        <f t="shared" si="74"/>
        <v>1</v>
      </c>
      <c r="D467" s="633"/>
      <c r="E467" s="20">
        <f t="shared" si="75"/>
        <v>1</v>
      </c>
      <c r="F467" s="633"/>
      <c r="G467" s="20">
        <f t="shared" si="76"/>
        <v>1</v>
      </c>
      <c r="H467" s="633"/>
      <c r="I467" s="20">
        <f t="shared" si="77"/>
        <v>1</v>
      </c>
      <c r="J467" s="633"/>
      <c r="K467" s="20">
        <f t="shared" si="78"/>
        <v>1</v>
      </c>
      <c r="L467" s="633"/>
      <c r="M467" s="20">
        <f t="shared" si="79"/>
        <v>1</v>
      </c>
      <c r="N467" s="633"/>
      <c r="O467" s="20">
        <f t="shared" si="80"/>
        <v>1</v>
      </c>
      <c r="P467" s="633"/>
      <c r="Q467" s="20">
        <f t="shared" si="81"/>
        <v>1</v>
      </c>
      <c r="R467" s="20">
        <f t="shared" si="82"/>
        <v>0</v>
      </c>
      <c r="S467" s="306">
        <f t="shared" si="83"/>
        <v>0</v>
      </c>
    </row>
    <row r="468" spans="1:19">
      <c r="A468" s="140"/>
      <c r="B468" s="51"/>
      <c r="C468" s="20">
        <f t="shared" si="74"/>
        <v>1</v>
      </c>
      <c r="D468" s="633"/>
      <c r="E468" s="20">
        <f t="shared" si="75"/>
        <v>1</v>
      </c>
      <c r="F468" s="633"/>
      <c r="G468" s="20">
        <f t="shared" si="76"/>
        <v>1</v>
      </c>
      <c r="H468" s="633"/>
      <c r="I468" s="20">
        <f t="shared" si="77"/>
        <v>1</v>
      </c>
      <c r="J468" s="633"/>
      <c r="K468" s="20">
        <f t="shared" si="78"/>
        <v>1</v>
      </c>
      <c r="L468" s="633"/>
      <c r="M468" s="20">
        <f t="shared" si="79"/>
        <v>1</v>
      </c>
      <c r="N468" s="633"/>
      <c r="O468" s="20">
        <f t="shared" si="80"/>
        <v>1</v>
      </c>
      <c r="P468" s="633"/>
      <c r="Q468" s="20">
        <f t="shared" si="81"/>
        <v>1</v>
      </c>
      <c r="R468" s="20">
        <f t="shared" si="82"/>
        <v>0</v>
      </c>
      <c r="S468" s="306">
        <f t="shared" ref="S468:S497" si="84">ROUND(R468*B468/10000,0)</f>
        <v>0</v>
      </c>
    </row>
    <row r="469" spans="1:19">
      <c r="A469" s="140"/>
      <c r="B469" s="51"/>
      <c r="C469" s="20">
        <f t="shared" si="74"/>
        <v>1</v>
      </c>
      <c r="D469" s="633"/>
      <c r="E469" s="20">
        <f t="shared" si="75"/>
        <v>1</v>
      </c>
      <c r="F469" s="633"/>
      <c r="G469" s="20">
        <f t="shared" si="76"/>
        <v>1</v>
      </c>
      <c r="H469" s="633"/>
      <c r="I469" s="20">
        <f t="shared" si="77"/>
        <v>1</v>
      </c>
      <c r="J469" s="633"/>
      <c r="K469" s="20">
        <f t="shared" si="78"/>
        <v>1</v>
      </c>
      <c r="L469" s="633"/>
      <c r="M469" s="20">
        <f t="shared" si="79"/>
        <v>1</v>
      </c>
      <c r="N469" s="633"/>
      <c r="O469" s="20">
        <f t="shared" si="80"/>
        <v>1</v>
      </c>
      <c r="P469" s="633"/>
      <c r="Q469" s="20">
        <f t="shared" si="81"/>
        <v>1</v>
      </c>
      <c r="R469" s="20">
        <f t="shared" si="82"/>
        <v>0</v>
      </c>
      <c r="S469" s="306">
        <f t="shared" si="84"/>
        <v>0</v>
      </c>
    </row>
    <row r="470" spans="1:19">
      <c r="A470" s="140"/>
      <c r="B470" s="51"/>
      <c r="C470" s="20">
        <f t="shared" si="74"/>
        <v>1</v>
      </c>
      <c r="D470" s="633"/>
      <c r="E470" s="20">
        <f t="shared" si="75"/>
        <v>1</v>
      </c>
      <c r="F470" s="633"/>
      <c r="G470" s="20">
        <f t="shared" si="76"/>
        <v>1</v>
      </c>
      <c r="H470" s="633"/>
      <c r="I470" s="20">
        <f t="shared" si="77"/>
        <v>1</v>
      </c>
      <c r="J470" s="633"/>
      <c r="K470" s="20">
        <f t="shared" si="78"/>
        <v>1</v>
      </c>
      <c r="L470" s="633"/>
      <c r="M470" s="20">
        <f t="shared" si="79"/>
        <v>1</v>
      </c>
      <c r="N470" s="633"/>
      <c r="O470" s="20">
        <f t="shared" si="80"/>
        <v>1</v>
      </c>
      <c r="P470" s="633"/>
      <c r="Q470" s="20">
        <f t="shared" si="81"/>
        <v>1</v>
      </c>
      <c r="R470" s="20">
        <f t="shared" si="82"/>
        <v>0</v>
      </c>
      <c r="S470" s="306">
        <f t="shared" si="84"/>
        <v>0</v>
      </c>
    </row>
    <row r="471" spans="1:19">
      <c r="A471" s="140"/>
      <c r="B471" s="51"/>
      <c r="C471" s="20">
        <f t="shared" si="74"/>
        <v>1</v>
      </c>
      <c r="D471" s="633"/>
      <c r="E471" s="20">
        <f t="shared" si="75"/>
        <v>1</v>
      </c>
      <c r="F471" s="633"/>
      <c r="G471" s="20">
        <f t="shared" si="76"/>
        <v>1</v>
      </c>
      <c r="H471" s="633"/>
      <c r="I471" s="20">
        <f t="shared" si="77"/>
        <v>1</v>
      </c>
      <c r="J471" s="633"/>
      <c r="K471" s="20">
        <f t="shared" si="78"/>
        <v>1</v>
      </c>
      <c r="L471" s="633"/>
      <c r="M471" s="20">
        <f t="shared" si="79"/>
        <v>1</v>
      </c>
      <c r="N471" s="633"/>
      <c r="O471" s="20">
        <f t="shared" si="80"/>
        <v>1</v>
      </c>
      <c r="P471" s="633"/>
      <c r="Q471" s="20">
        <f t="shared" si="81"/>
        <v>1</v>
      </c>
      <c r="R471" s="20">
        <f t="shared" si="82"/>
        <v>0</v>
      </c>
      <c r="S471" s="306">
        <f t="shared" si="84"/>
        <v>0</v>
      </c>
    </row>
    <row r="472" spans="1:19">
      <c r="A472" s="140"/>
      <c r="B472" s="51"/>
      <c r="C472" s="20">
        <f t="shared" si="74"/>
        <v>1</v>
      </c>
      <c r="D472" s="633"/>
      <c r="E472" s="20">
        <f t="shared" si="75"/>
        <v>1</v>
      </c>
      <c r="F472" s="633"/>
      <c r="G472" s="20">
        <f t="shared" si="76"/>
        <v>1</v>
      </c>
      <c r="H472" s="633"/>
      <c r="I472" s="20">
        <f t="shared" si="77"/>
        <v>1</v>
      </c>
      <c r="J472" s="633"/>
      <c r="K472" s="20">
        <f t="shared" si="78"/>
        <v>1</v>
      </c>
      <c r="L472" s="633"/>
      <c r="M472" s="20">
        <f t="shared" si="79"/>
        <v>1</v>
      </c>
      <c r="N472" s="633"/>
      <c r="O472" s="20">
        <f t="shared" si="80"/>
        <v>1</v>
      </c>
      <c r="P472" s="633"/>
      <c r="Q472" s="20">
        <f t="shared" si="81"/>
        <v>1</v>
      </c>
      <c r="R472" s="20">
        <f t="shared" si="82"/>
        <v>0</v>
      </c>
      <c r="S472" s="306">
        <f t="shared" si="84"/>
        <v>0</v>
      </c>
    </row>
    <row r="473" spans="1:19">
      <c r="A473" s="140"/>
      <c r="B473" s="51"/>
      <c r="C473" s="20">
        <f t="shared" si="74"/>
        <v>1</v>
      </c>
      <c r="D473" s="633"/>
      <c r="E473" s="20">
        <f t="shared" si="75"/>
        <v>1</v>
      </c>
      <c r="F473" s="633"/>
      <c r="G473" s="20">
        <f t="shared" si="76"/>
        <v>1</v>
      </c>
      <c r="H473" s="633"/>
      <c r="I473" s="20">
        <f t="shared" si="77"/>
        <v>1</v>
      </c>
      <c r="J473" s="633"/>
      <c r="K473" s="20">
        <f t="shared" si="78"/>
        <v>1</v>
      </c>
      <c r="L473" s="633"/>
      <c r="M473" s="20">
        <f t="shared" si="79"/>
        <v>1</v>
      </c>
      <c r="N473" s="633"/>
      <c r="O473" s="20">
        <f t="shared" si="80"/>
        <v>1</v>
      </c>
      <c r="P473" s="633"/>
      <c r="Q473" s="20">
        <f t="shared" si="81"/>
        <v>1</v>
      </c>
      <c r="R473" s="20">
        <f t="shared" si="82"/>
        <v>0</v>
      </c>
      <c r="S473" s="306">
        <f t="shared" si="84"/>
        <v>0</v>
      </c>
    </row>
    <row r="474" spans="1:19">
      <c r="A474" s="140"/>
      <c r="B474" s="51"/>
      <c r="C474" s="20">
        <f t="shared" ref="C474:C524" si="85">IF(B474="",1,(LOOKUP(B474,$3:$3,$4:$4)-LOOKUP($B$24,$3:$3,$4:$4)+100)/100)</f>
        <v>1</v>
      </c>
      <c r="D474" s="633"/>
      <c r="E474" s="20">
        <f t="shared" ref="E474:E524" si="86">(SUMIF($5:$5,D474,$6:$6)-SUMIF($5:$5,$D$24,$6:$6)+100)/100</f>
        <v>1</v>
      </c>
      <c r="F474" s="633"/>
      <c r="G474" s="20">
        <f t="shared" ref="G474:G524" si="87">(SUMIF($7:$7,F474,$8:$8)-SUMIF($7:$7,$F$24,$8:$8)+100)/100</f>
        <v>1</v>
      </c>
      <c r="H474" s="633"/>
      <c r="I474" s="20">
        <f t="shared" ref="I474:I524" si="88">(SUMIF($9:$9,H474,$10:$10)-SUMIF($9:$9,$H$24,$10:$10)+100)/100</f>
        <v>1</v>
      </c>
      <c r="J474" s="633"/>
      <c r="K474" s="20">
        <f t="shared" ref="K474:K524" si="89">(SUMIF($11:$11,J474,$12:$12)-SUMIF($11:$11,$J$24,$12:$12)+100)/100</f>
        <v>1</v>
      </c>
      <c r="L474" s="633"/>
      <c r="M474" s="20">
        <f t="shared" ref="M474:M524" si="90">(SUMIF($13:$13,L474,$14:$14)-SUMIF($13:$13,$L$24,$14:$14)+100)/100</f>
        <v>1</v>
      </c>
      <c r="N474" s="633"/>
      <c r="O474" s="20">
        <f t="shared" ref="O474:O524" si="91">(SUMIF($15:$15,N474,$16:$16)-SUMIF($15:$15,$N$24,$16:$16)+100)/100</f>
        <v>1</v>
      </c>
      <c r="P474" s="633"/>
      <c r="Q474" s="20">
        <f t="shared" ref="Q474:Q524" si="92">(SUMIF($17:$17,P474,$18:$18)-SUMIF($17:$17,$P$24,$18:$18)+100)/100</f>
        <v>1</v>
      </c>
      <c r="R474" s="20">
        <f t="shared" ref="R474:R524" si="93">IF(B474="",0,ROUND($R$24*C474*E474*G474*I474*K474*M474*O474*Q474,0))</f>
        <v>0</v>
      </c>
      <c r="S474" s="306">
        <f t="shared" si="84"/>
        <v>0</v>
      </c>
    </row>
    <row r="475" spans="1:19">
      <c r="A475" s="140"/>
      <c r="B475" s="51"/>
      <c r="C475" s="20">
        <f t="shared" si="85"/>
        <v>1</v>
      </c>
      <c r="D475" s="633"/>
      <c r="E475" s="20">
        <f t="shared" si="86"/>
        <v>1</v>
      </c>
      <c r="F475" s="633"/>
      <c r="G475" s="20">
        <f t="shared" si="87"/>
        <v>1</v>
      </c>
      <c r="H475" s="633"/>
      <c r="I475" s="20">
        <f t="shared" si="88"/>
        <v>1</v>
      </c>
      <c r="J475" s="633"/>
      <c r="K475" s="20">
        <f t="shared" si="89"/>
        <v>1</v>
      </c>
      <c r="L475" s="633"/>
      <c r="M475" s="20">
        <f t="shared" si="90"/>
        <v>1</v>
      </c>
      <c r="N475" s="633"/>
      <c r="O475" s="20">
        <f t="shared" si="91"/>
        <v>1</v>
      </c>
      <c r="P475" s="633"/>
      <c r="Q475" s="20">
        <f t="shared" si="92"/>
        <v>1</v>
      </c>
      <c r="R475" s="20">
        <f t="shared" si="93"/>
        <v>0</v>
      </c>
      <c r="S475" s="306">
        <f t="shared" si="84"/>
        <v>0</v>
      </c>
    </row>
    <row r="476" spans="1:19">
      <c r="A476" s="140"/>
      <c r="B476" s="51"/>
      <c r="C476" s="20">
        <f t="shared" si="85"/>
        <v>1</v>
      </c>
      <c r="D476" s="633"/>
      <c r="E476" s="20">
        <f t="shared" si="86"/>
        <v>1</v>
      </c>
      <c r="F476" s="633"/>
      <c r="G476" s="20">
        <f t="shared" si="87"/>
        <v>1</v>
      </c>
      <c r="H476" s="633"/>
      <c r="I476" s="20">
        <f t="shared" si="88"/>
        <v>1</v>
      </c>
      <c r="J476" s="633"/>
      <c r="K476" s="20">
        <f t="shared" si="89"/>
        <v>1</v>
      </c>
      <c r="L476" s="633"/>
      <c r="M476" s="20">
        <f t="shared" si="90"/>
        <v>1</v>
      </c>
      <c r="N476" s="633"/>
      <c r="O476" s="20">
        <f t="shared" si="91"/>
        <v>1</v>
      </c>
      <c r="P476" s="633"/>
      <c r="Q476" s="20">
        <f t="shared" si="92"/>
        <v>1</v>
      </c>
      <c r="R476" s="20">
        <f t="shared" si="93"/>
        <v>0</v>
      </c>
      <c r="S476" s="306">
        <f t="shared" si="84"/>
        <v>0</v>
      </c>
    </row>
    <row r="477" spans="1:19">
      <c r="A477" s="140"/>
      <c r="B477" s="51"/>
      <c r="C477" s="20">
        <f t="shared" si="85"/>
        <v>1</v>
      </c>
      <c r="D477" s="633"/>
      <c r="E477" s="20">
        <f t="shared" si="86"/>
        <v>1</v>
      </c>
      <c r="F477" s="633"/>
      <c r="G477" s="20">
        <f t="shared" si="87"/>
        <v>1</v>
      </c>
      <c r="H477" s="633"/>
      <c r="I477" s="20">
        <f t="shared" si="88"/>
        <v>1</v>
      </c>
      <c r="J477" s="633"/>
      <c r="K477" s="20">
        <f t="shared" si="89"/>
        <v>1</v>
      </c>
      <c r="L477" s="633"/>
      <c r="M477" s="20">
        <f t="shared" si="90"/>
        <v>1</v>
      </c>
      <c r="N477" s="633"/>
      <c r="O477" s="20">
        <f t="shared" si="91"/>
        <v>1</v>
      </c>
      <c r="P477" s="633"/>
      <c r="Q477" s="20">
        <f t="shared" si="92"/>
        <v>1</v>
      </c>
      <c r="R477" s="20">
        <f t="shared" si="93"/>
        <v>0</v>
      </c>
      <c r="S477" s="306">
        <f t="shared" si="84"/>
        <v>0</v>
      </c>
    </row>
    <row r="478" spans="1:19">
      <c r="A478" s="140"/>
      <c r="B478" s="51"/>
      <c r="C478" s="20">
        <f t="shared" si="85"/>
        <v>1</v>
      </c>
      <c r="D478" s="633"/>
      <c r="E478" s="20">
        <f t="shared" si="86"/>
        <v>1</v>
      </c>
      <c r="F478" s="633"/>
      <c r="G478" s="20">
        <f t="shared" si="87"/>
        <v>1</v>
      </c>
      <c r="H478" s="633"/>
      <c r="I478" s="20">
        <f t="shared" si="88"/>
        <v>1</v>
      </c>
      <c r="J478" s="633"/>
      <c r="K478" s="20">
        <f t="shared" si="89"/>
        <v>1</v>
      </c>
      <c r="L478" s="633"/>
      <c r="M478" s="20">
        <f t="shared" si="90"/>
        <v>1</v>
      </c>
      <c r="N478" s="633"/>
      <c r="O478" s="20">
        <f t="shared" si="91"/>
        <v>1</v>
      </c>
      <c r="P478" s="633"/>
      <c r="Q478" s="20">
        <f t="shared" si="92"/>
        <v>1</v>
      </c>
      <c r="R478" s="20">
        <f t="shared" si="93"/>
        <v>0</v>
      </c>
      <c r="S478" s="306">
        <f t="shared" si="84"/>
        <v>0</v>
      </c>
    </row>
    <row r="479" spans="1:19">
      <c r="A479" s="140"/>
      <c r="B479" s="51"/>
      <c r="C479" s="20">
        <f t="shared" si="85"/>
        <v>1</v>
      </c>
      <c r="D479" s="633"/>
      <c r="E479" s="20">
        <f t="shared" si="86"/>
        <v>1</v>
      </c>
      <c r="F479" s="633"/>
      <c r="G479" s="20">
        <f t="shared" si="87"/>
        <v>1</v>
      </c>
      <c r="H479" s="633"/>
      <c r="I479" s="20">
        <f t="shared" si="88"/>
        <v>1</v>
      </c>
      <c r="J479" s="633"/>
      <c r="K479" s="20">
        <f t="shared" si="89"/>
        <v>1</v>
      </c>
      <c r="L479" s="633"/>
      <c r="M479" s="20">
        <f t="shared" si="90"/>
        <v>1</v>
      </c>
      <c r="N479" s="633"/>
      <c r="O479" s="20">
        <f t="shared" si="91"/>
        <v>1</v>
      </c>
      <c r="P479" s="633"/>
      <c r="Q479" s="20">
        <f t="shared" si="92"/>
        <v>1</v>
      </c>
      <c r="R479" s="20">
        <f t="shared" si="93"/>
        <v>0</v>
      </c>
      <c r="S479" s="306">
        <f t="shared" si="84"/>
        <v>0</v>
      </c>
    </row>
    <row r="480" spans="1:19">
      <c r="A480" s="140"/>
      <c r="B480" s="51"/>
      <c r="C480" s="20">
        <f t="shared" si="85"/>
        <v>1</v>
      </c>
      <c r="D480" s="633"/>
      <c r="E480" s="20">
        <f t="shared" si="86"/>
        <v>1</v>
      </c>
      <c r="F480" s="633"/>
      <c r="G480" s="20">
        <f t="shared" si="87"/>
        <v>1</v>
      </c>
      <c r="H480" s="633"/>
      <c r="I480" s="20">
        <f t="shared" si="88"/>
        <v>1</v>
      </c>
      <c r="J480" s="633"/>
      <c r="K480" s="20">
        <f t="shared" si="89"/>
        <v>1</v>
      </c>
      <c r="L480" s="633"/>
      <c r="M480" s="20">
        <f t="shared" si="90"/>
        <v>1</v>
      </c>
      <c r="N480" s="633"/>
      <c r="O480" s="20">
        <f t="shared" si="91"/>
        <v>1</v>
      </c>
      <c r="P480" s="633"/>
      <c r="Q480" s="20">
        <f t="shared" si="92"/>
        <v>1</v>
      </c>
      <c r="R480" s="20">
        <f t="shared" si="93"/>
        <v>0</v>
      </c>
      <c r="S480" s="306">
        <f t="shared" si="84"/>
        <v>0</v>
      </c>
    </row>
    <row r="481" spans="1:19">
      <c r="A481" s="140"/>
      <c r="B481" s="51"/>
      <c r="C481" s="20">
        <f t="shared" si="85"/>
        <v>1</v>
      </c>
      <c r="D481" s="633"/>
      <c r="E481" s="20">
        <f t="shared" si="86"/>
        <v>1</v>
      </c>
      <c r="F481" s="633"/>
      <c r="G481" s="20">
        <f t="shared" si="87"/>
        <v>1</v>
      </c>
      <c r="H481" s="633"/>
      <c r="I481" s="20">
        <f t="shared" si="88"/>
        <v>1</v>
      </c>
      <c r="J481" s="633"/>
      <c r="K481" s="20">
        <f t="shared" si="89"/>
        <v>1</v>
      </c>
      <c r="L481" s="633"/>
      <c r="M481" s="20">
        <f t="shared" si="90"/>
        <v>1</v>
      </c>
      <c r="N481" s="633"/>
      <c r="O481" s="20">
        <f t="shared" si="91"/>
        <v>1</v>
      </c>
      <c r="P481" s="633"/>
      <c r="Q481" s="20">
        <f t="shared" si="92"/>
        <v>1</v>
      </c>
      <c r="R481" s="20">
        <f t="shared" si="93"/>
        <v>0</v>
      </c>
      <c r="S481" s="306">
        <f t="shared" si="84"/>
        <v>0</v>
      </c>
    </row>
    <row r="482" spans="1:19">
      <c r="A482" s="140"/>
      <c r="B482" s="51"/>
      <c r="C482" s="20">
        <f t="shared" si="85"/>
        <v>1</v>
      </c>
      <c r="D482" s="633"/>
      <c r="E482" s="20">
        <f t="shared" si="86"/>
        <v>1</v>
      </c>
      <c r="F482" s="633"/>
      <c r="G482" s="20">
        <f t="shared" si="87"/>
        <v>1</v>
      </c>
      <c r="H482" s="633"/>
      <c r="I482" s="20">
        <f t="shared" si="88"/>
        <v>1</v>
      </c>
      <c r="J482" s="633"/>
      <c r="K482" s="20">
        <f t="shared" si="89"/>
        <v>1</v>
      </c>
      <c r="L482" s="633"/>
      <c r="M482" s="20">
        <f t="shared" si="90"/>
        <v>1</v>
      </c>
      <c r="N482" s="633"/>
      <c r="O482" s="20">
        <f t="shared" si="91"/>
        <v>1</v>
      </c>
      <c r="P482" s="633"/>
      <c r="Q482" s="20">
        <f t="shared" si="92"/>
        <v>1</v>
      </c>
      <c r="R482" s="20">
        <f t="shared" si="93"/>
        <v>0</v>
      </c>
      <c r="S482" s="306">
        <f t="shared" si="84"/>
        <v>0</v>
      </c>
    </row>
    <row r="483" spans="1:19">
      <c r="A483" s="140"/>
      <c r="B483" s="51"/>
      <c r="C483" s="20">
        <f t="shared" si="85"/>
        <v>1</v>
      </c>
      <c r="D483" s="633"/>
      <c r="E483" s="20">
        <f t="shared" si="86"/>
        <v>1</v>
      </c>
      <c r="F483" s="633"/>
      <c r="G483" s="20">
        <f t="shared" si="87"/>
        <v>1</v>
      </c>
      <c r="H483" s="633"/>
      <c r="I483" s="20">
        <f t="shared" si="88"/>
        <v>1</v>
      </c>
      <c r="J483" s="633"/>
      <c r="K483" s="20">
        <f t="shared" si="89"/>
        <v>1</v>
      </c>
      <c r="L483" s="633"/>
      <c r="M483" s="20">
        <f t="shared" si="90"/>
        <v>1</v>
      </c>
      <c r="N483" s="633"/>
      <c r="O483" s="20">
        <f t="shared" si="91"/>
        <v>1</v>
      </c>
      <c r="P483" s="633"/>
      <c r="Q483" s="20">
        <f t="shared" si="92"/>
        <v>1</v>
      </c>
      <c r="R483" s="20">
        <f t="shared" si="93"/>
        <v>0</v>
      </c>
      <c r="S483" s="306">
        <f t="shared" si="84"/>
        <v>0</v>
      </c>
    </row>
    <row r="484" spans="1:19">
      <c r="A484" s="140"/>
      <c r="B484" s="51"/>
      <c r="C484" s="20">
        <f t="shared" si="85"/>
        <v>1</v>
      </c>
      <c r="D484" s="633"/>
      <c r="E484" s="20">
        <f t="shared" si="86"/>
        <v>1</v>
      </c>
      <c r="F484" s="633"/>
      <c r="G484" s="20">
        <f t="shared" si="87"/>
        <v>1</v>
      </c>
      <c r="H484" s="633"/>
      <c r="I484" s="20">
        <f t="shared" si="88"/>
        <v>1</v>
      </c>
      <c r="J484" s="633"/>
      <c r="K484" s="20">
        <f t="shared" si="89"/>
        <v>1</v>
      </c>
      <c r="L484" s="633"/>
      <c r="M484" s="20">
        <f t="shared" si="90"/>
        <v>1</v>
      </c>
      <c r="N484" s="633"/>
      <c r="O484" s="20">
        <f t="shared" si="91"/>
        <v>1</v>
      </c>
      <c r="P484" s="633"/>
      <c r="Q484" s="20">
        <f t="shared" si="92"/>
        <v>1</v>
      </c>
      <c r="R484" s="20">
        <f t="shared" si="93"/>
        <v>0</v>
      </c>
      <c r="S484" s="306">
        <f t="shared" si="84"/>
        <v>0</v>
      </c>
    </row>
    <row r="485" spans="1:19">
      <c r="A485" s="140"/>
      <c r="B485" s="51"/>
      <c r="C485" s="20">
        <f t="shared" si="85"/>
        <v>1</v>
      </c>
      <c r="D485" s="633"/>
      <c r="E485" s="20">
        <f t="shared" si="86"/>
        <v>1</v>
      </c>
      <c r="F485" s="633"/>
      <c r="G485" s="20">
        <f t="shared" si="87"/>
        <v>1</v>
      </c>
      <c r="H485" s="633"/>
      <c r="I485" s="20">
        <f t="shared" si="88"/>
        <v>1</v>
      </c>
      <c r="J485" s="633"/>
      <c r="K485" s="20">
        <f t="shared" si="89"/>
        <v>1</v>
      </c>
      <c r="L485" s="633"/>
      <c r="M485" s="20">
        <f t="shared" si="90"/>
        <v>1</v>
      </c>
      <c r="N485" s="633"/>
      <c r="O485" s="20">
        <f t="shared" si="91"/>
        <v>1</v>
      </c>
      <c r="P485" s="633"/>
      <c r="Q485" s="20">
        <f t="shared" si="92"/>
        <v>1</v>
      </c>
      <c r="R485" s="20">
        <f t="shared" si="93"/>
        <v>0</v>
      </c>
      <c r="S485" s="306">
        <f t="shared" si="84"/>
        <v>0</v>
      </c>
    </row>
    <row r="486" spans="1:19">
      <c r="A486" s="140"/>
      <c r="B486" s="51"/>
      <c r="C486" s="20">
        <f t="shared" si="85"/>
        <v>1</v>
      </c>
      <c r="D486" s="633"/>
      <c r="E486" s="20">
        <f t="shared" si="86"/>
        <v>1</v>
      </c>
      <c r="F486" s="633"/>
      <c r="G486" s="20">
        <f t="shared" si="87"/>
        <v>1</v>
      </c>
      <c r="H486" s="633"/>
      <c r="I486" s="20">
        <f t="shared" si="88"/>
        <v>1</v>
      </c>
      <c r="J486" s="633"/>
      <c r="K486" s="20">
        <f t="shared" si="89"/>
        <v>1</v>
      </c>
      <c r="L486" s="633"/>
      <c r="M486" s="20">
        <f t="shared" si="90"/>
        <v>1</v>
      </c>
      <c r="N486" s="633"/>
      <c r="O486" s="20">
        <f t="shared" si="91"/>
        <v>1</v>
      </c>
      <c r="P486" s="633"/>
      <c r="Q486" s="20">
        <f t="shared" si="92"/>
        <v>1</v>
      </c>
      <c r="R486" s="20">
        <f t="shared" si="93"/>
        <v>0</v>
      </c>
      <c r="S486" s="306">
        <f t="shared" si="84"/>
        <v>0</v>
      </c>
    </row>
    <row r="487" spans="1:19">
      <c r="A487" s="140"/>
      <c r="B487" s="51"/>
      <c r="C487" s="20">
        <f t="shared" si="85"/>
        <v>1</v>
      </c>
      <c r="D487" s="633"/>
      <c r="E487" s="20">
        <f t="shared" si="86"/>
        <v>1</v>
      </c>
      <c r="F487" s="633"/>
      <c r="G487" s="20">
        <f t="shared" si="87"/>
        <v>1</v>
      </c>
      <c r="H487" s="633"/>
      <c r="I487" s="20">
        <f t="shared" si="88"/>
        <v>1</v>
      </c>
      <c r="J487" s="633"/>
      <c r="K487" s="20">
        <f t="shared" si="89"/>
        <v>1</v>
      </c>
      <c r="L487" s="633"/>
      <c r="M487" s="20">
        <f t="shared" si="90"/>
        <v>1</v>
      </c>
      <c r="N487" s="633"/>
      <c r="O487" s="20">
        <f t="shared" si="91"/>
        <v>1</v>
      </c>
      <c r="P487" s="633"/>
      <c r="Q487" s="20">
        <f t="shared" si="92"/>
        <v>1</v>
      </c>
      <c r="R487" s="20">
        <f t="shared" si="93"/>
        <v>0</v>
      </c>
      <c r="S487" s="306">
        <f t="shared" si="84"/>
        <v>0</v>
      </c>
    </row>
    <row r="488" spans="1:19">
      <c r="A488" s="140"/>
      <c r="B488" s="51"/>
      <c r="C488" s="20">
        <f t="shared" si="85"/>
        <v>1</v>
      </c>
      <c r="D488" s="633"/>
      <c r="E488" s="20">
        <f t="shared" si="86"/>
        <v>1</v>
      </c>
      <c r="F488" s="633"/>
      <c r="G488" s="20">
        <f t="shared" si="87"/>
        <v>1</v>
      </c>
      <c r="H488" s="633"/>
      <c r="I488" s="20">
        <f t="shared" si="88"/>
        <v>1</v>
      </c>
      <c r="J488" s="633"/>
      <c r="K488" s="20">
        <f t="shared" si="89"/>
        <v>1</v>
      </c>
      <c r="L488" s="633"/>
      <c r="M488" s="20">
        <f t="shared" si="90"/>
        <v>1</v>
      </c>
      <c r="N488" s="633"/>
      <c r="O488" s="20">
        <f t="shared" si="91"/>
        <v>1</v>
      </c>
      <c r="P488" s="633"/>
      <c r="Q488" s="20">
        <f t="shared" si="92"/>
        <v>1</v>
      </c>
      <c r="R488" s="20">
        <f t="shared" si="93"/>
        <v>0</v>
      </c>
      <c r="S488" s="306">
        <f t="shared" si="84"/>
        <v>0</v>
      </c>
    </row>
    <row r="489" spans="1:19">
      <c r="A489" s="140"/>
      <c r="B489" s="51"/>
      <c r="C489" s="20">
        <f t="shared" si="85"/>
        <v>1</v>
      </c>
      <c r="D489" s="633"/>
      <c r="E489" s="20">
        <f t="shared" si="86"/>
        <v>1</v>
      </c>
      <c r="F489" s="633"/>
      <c r="G489" s="20">
        <f t="shared" si="87"/>
        <v>1</v>
      </c>
      <c r="H489" s="633"/>
      <c r="I489" s="20">
        <f t="shared" si="88"/>
        <v>1</v>
      </c>
      <c r="J489" s="633"/>
      <c r="K489" s="20">
        <f t="shared" si="89"/>
        <v>1</v>
      </c>
      <c r="L489" s="633"/>
      <c r="M489" s="20">
        <f t="shared" si="90"/>
        <v>1</v>
      </c>
      <c r="N489" s="633"/>
      <c r="O489" s="20">
        <f t="shared" si="91"/>
        <v>1</v>
      </c>
      <c r="P489" s="633"/>
      <c r="Q489" s="20">
        <f t="shared" si="92"/>
        <v>1</v>
      </c>
      <c r="R489" s="20">
        <f t="shared" si="93"/>
        <v>0</v>
      </c>
      <c r="S489" s="306">
        <f t="shared" si="84"/>
        <v>0</v>
      </c>
    </row>
    <row r="490" spans="1:19">
      <c r="A490" s="140"/>
      <c r="B490" s="51"/>
      <c r="C490" s="20">
        <f t="shared" si="85"/>
        <v>1</v>
      </c>
      <c r="D490" s="633"/>
      <c r="E490" s="20">
        <f t="shared" si="86"/>
        <v>1</v>
      </c>
      <c r="F490" s="633"/>
      <c r="G490" s="20">
        <f t="shared" si="87"/>
        <v>1</v>
      </c>
      <c r="H490" s="633"/>
      <c r="I490" s="20">
        <f t="shared" si="88"/>
        <v>1</v>
      </c>
      <c r="J490" s="633"/>
      <c r="K490" s="20">
        <f t="shared" si="89"/>
        <v>1</v>
      </c>
      <c r="L490" s="633"/>
      <c r="M490" s="20">
        <f t="shared" si="90"/>
        <v>1</v>
      </c>
      <c r="N490" s="633"/>
      <c r="O490" s="20">
        <f t="shared" si="91"/>
        <v>1</v>
      </c>
      <c r="P490" s="633"/>
      <c r="Q490" s="20">
        <f t="shared" si="92"/>
        <v>1</v>
      </c>
      <c r="R490" s="20">
        <f t="shared" si="93"/>
        <v>0</v>
      </c>
      <c r="S490" s="306">
        <f t="shared" si="84"/>
        <v>0</v>
      </c>
    </row>
    <row r="491" spans="1:19">
      <c r="A491" s="140"/>
      <c r="B491" s="51"/>
      <c r="C491" s="20">
        <f t="shared" si="85"/>
        <v>1</v>
      </c>
      <c r="D491" s="633"/>
      <c r="E491" s="20">
        <f t="shared" si="86"/>
        <v>1</v>
      </c>
      <c r="F491" s="633"/>
      <c r="G491" s="20">
        <f t="shared" si="87"/>
        <v>1</v>
      </c>
      <c r="H491" s="633"/>
      <c r="I491" s="20">
        <f t="shared" si="88"/>
        <v>1</v>
      </c>
      <c r="J491" s="633"/>
      <c r="K491" s="20">
        <f t="shared" si="89"/>
        <v>1</v>
      </c>
      <c r="L491" s="633"/>
      <c r="M491" s="20">
        <f t="shared" si="90"/>
        <v>1</v>
      </c>
      <c r="N491" s="633"/>
      <c r="O491" s="20">
        <f t="shared" si="91"/>
        <v>1</v>
      </c>
      <c r="P491" s="633"/>
      <c r="Q491" s="20">
        <f t="shared" si="92"/>
        <v>1</v>
      </c>
      <c r="R491" s="20">
        <f t="shared" si="93"/>
        <v>0</v>
      </c>
      <c r="S491" s="306">
        <f t="shared" si="84"/>
        <v>0</v>
      </c>
    </row>
    <row r="492" spans="1:19">
      <c r="A492" s="140"/>
      <c r="B492" s="51"/>
      <c r="C492" s="20">
        <f t="shared" si="85"/>
        <v>1</v>
      </c>
      <c r="D492" s="633"/>
      <c r="E492" s="20">
        <f t="shared" si="86"/>
        <v>1</v>
      </c>
      <c r="F492" s="633"/>
      <c r="G492" s="20">
        <f t="shared" si="87"/>
        <v>1</v>
      </c>
      <c r="H492" s="633"/>
      <c r="I492" s="20">
        <f t="shared" si="88"/>
        <v>1</v>
      </c>
      <c r="J492" s="633"/>
      <c r="K492" s="20">
        <f t="shared" si="89"/>
        <v>1</v>
      </c>
      <c r="L492" s="633"/>
      <c r="M492" s="20">
        <f t="shared" si="90"/>
        <v>1</v>
      </c>
      <c r="N492" s="633"/>
      <c r="O492" s="20">
        <f t="shared" si="91"/>
        <v>1</v>
      </c>
      <c r="P492" s="633"/>
      <c r="Q492" s="20">
        <f t="shared" si="92"/>
        <v>1</v>
      </c>
      <c r="R492" s="20">
        <f t="shared" si="93"/>
        <v>0</v>
      </c>
      <c r="S492" s="306">
        <f t="shared" si="84"/>
        <v>0</v>
      </c>
    </row>
    <row r="493" spans="1:19">
      <c r="A493" s="140"/>
      <c r="B493" s="51"/>
      <c r="C493" s="20">
        <f t="shared" si="85"/>
        <v>1</v>
      </c>
      <c r="D493" s="633"/>
      <c r="E493" s="20">
        <f t="shared" si="86"/>
        <v>1</v>
      </c>
      <c r="F493" s="633"/>
      <c r="G493" s="20">
        <f t="shared" si="87"/>
        <v>1</v>
      </c>
      <c r="H493" s="633"/>
      <c r="I493" s="20">
        <f t="shared" si="88"/>
        <v>1</v>
      </c>
      <c r="J493" s="633"/>
      <c r="K493" s="20">
        <f t="shared" si="89"/>
        <v>1</v>
      </c>
      <c r="L493" s="633"/>
      <c r="M493" s="20">
        <f t="shared" si="90"/>
        <v>1</v>
      </c>
      <c r="N493" s="633"/>
      <c r="O493" s="20">
        <f t="shared" si="91"/>
        <v>1</v>
      </c>
      <c r="P493" s="633"/>
      <c r="Q493" s="20">
        <f t="shared" si="92"/>
        <v>1</v>
      </c>
      <c r="R493" s="20">
        <f t="shared" si="93"/>
        <v>0</v>
      </c>
      <c r="S493" s="306">
        <f t="shared" si="84"/>
        <v>0</v>
      </c>
    </row>
    <row r="494" spans="1:19">
      <c r="A494" s="140"/>
      <c r="B494" s="51"/>
      <c r="C494" s="20">
        <f t="shared" si="85"/>
        <v>1</v>
      </c>
      <c r="D494" s="633"/>
      <c r="E494" s="20">
        <f t="shared" si="86"/>
        <v>1</v>
      </c>
      <c r="F494" s="633"/>
      <c r="G494" s="20">
        <f t="shared" si="87"/>
        <v>1</v>
      </c>
      <c r="H494" s="633"/>
      <c r="I494" s="20">
        <f t="shared" si="88"/>
        <v>1</v>
      </c>
      <c r="J494" s="633"/>
      <c r="K494" s="20">
        <f t="shared" si="89"/>
        <v>1</v>
      </c>
      <c r="L494" s="633"/>
      <c r="M494" s="20">
        <f t="shared" si="90"/>
        <v>1</v>
      </c>
      <c r="N494" s="633"/>
      <c r="O494" s="20">
        <f t="shared" si="91"/>
        <v>1</v>
      </c>
      <c r="P494" s="633"/>
      <c r="Q494" s="20">
        <f t="shared" si="92"/>
        <v>1</v>
      </c>
      <c r="R494" s="20">
        <f t="shared" si="93"/>
        <v>0</v>
      </c>
      <c r="S494" s="306">
        <f t="shared" si="84"/>
        <v>0</v>
      </c>
    </row>
    <row r="495" spans="1:19">
      <c r="A495" s="140"/>
      <c r="B495" s="51"/>
      <c r="C495" s="20">
        <f t="shared" si="85"/>
        <v>1</v>
      </c>
      <c r="D495" s="633"/>
      <c r="E495" s="20">
        <f t="shared" si="86"/>
        <v>1</v>
      </c>
      <c r="F495" s="633"/>
      <c r="G495" s="20">
        <f t="shared" si="87"/>
        <v>1</v>
      </c>
      <c r="H495" s="633"/>
      <c r="I495" s="20">
        <f t="shared" si="88"/>
        <v>1</v>
      </c>
      <c r="J495" s="633"/>
      <c r="K495" s="20">
        <f t="shared" si="89"/>
        <v>1</v>
      </c>
      <c r="L495" s="633"/>
      <c r="M495" s="20">
        <f t="shared" si="90"/>
        <v>1</v>
      </c>
      <c r="N495" s="633"/>
      <c r="O495" s="20">
        <f t="shared" si="91"/>
        <v>1</v>
      </c>
      <c r="P495" s="633"/>
      <c r="Q495" s="20">
        <f t="shared" si="92"/>
        <v>1</v>
      </c>
      <c r="R495" s="20">
        <f t="shared" si="93"/>
        <v>0</v>
      </c>
      <c r="S495" s="306">
        <f t="shared" si="84"/>
        <v>0</v>
      </c>
    </row>
    <row r="496" spans="1:19">
      <c r="A496" s="140"/>
      <c r="B496" s="51"/>
      <c r="C496" s="20">
        <f t="shared" si="85"/>
        <v>1</v>
      </c>
      <c r="D496" s="633"/>
      <c r="E496" s="20">
        <f t="shared" si="86"/>
        <v>1</v>
      </c>
      <c r="F496" s="633"/>
      <c r="G496" s="20">
        <f t="shared" si="87"/>
        <v>1</v>
      </c>
      <c r="H496" s="633"/>
      <c r="I496" s="20">
        <f t="shared" si="88"/>
        <v>1</v>
      </c>
      <c r="J496" s="633"/>
      <c r="K496" s="20">
        <f t="shared" si="89"/>
        <v>1</v>
      </c>
      <c r="L496" s="633"/>
      <c r="M496" s="20">
        <f t="shared" si="90"/>
        <v>1</v>
      </c>
      <c r="N496" s="633"/>
      <c r="O496" s="20">
        <f t="shared" si="91"/>
        <v>1</v>
      </c>
      <c r="P496" s="633"/>
      <c r="Q496" s="20">
        <f t="shared" si="92"/>
        <v>1</v>
      </c>
      <c r="R496" s="20">
        <f t="shared" si="93"/>
        <v>0</v>
      </c>
      <c r="S496" s="306">
        <f t="shared" si="84"/>
        <v>0</v>
      </c>
    </row>
    <row r="497" spans="1:19">
      <c r="A497" s="140"/>
      <c r="B497" s="51"/>
      <c r="C497" s="20">
        <f t="shared" si="85"/>
        <v>1</v>
      </c>
      <c r="D497" s="633"/>
      <c r="E497" s="20">
        <f t="shared" si="86"/>
        <v>1</v>
      </c>
      <c r="F497" s="633"/>
      <c r="G497" s="20">
        <f t="shared" si="87"/>
        <v>1</v>
      </c>
      <c r="H497" s="633"/>
      <c r="I497" s="20">
        <f t="shared" si="88"/>
        <v>1</v>
      </c>
      <c r="J497" s="633"/>
      <c r="K497" s="20">
        <f t="shared" si="89"/>
        <v>1</v>
      </c>
      <c r="L497" s="633"/>
      <c r="M497" s="20">
        <f t="shared" si="90"/>
        <v>1</v>
      </c>
      <c r="N497" s="633"/>
      <c r="O497" s="20">
        <f t="shared" si="91"/>
        <v>1</v>
      </c>
      <c r="P497" s="633"/>
      <c r="Q497" s="20">
        <f t="shared" si="92"/>
        <v>1</v>
      </c>
      <c r="R497" s="20">
        <f t="shared" si="93"/>
        <v>0</v>
      </c>
      <c r="S497" s="306">
        <f t="shared" si="84"/>
        <v>0</v>
      </c>
    </row>
    <row r="498" spans="1:19">
      <c r="A498" s="140"/>
      <c r="B498" s="51"/>
      <c r="C498" s="20">
        <f t="shared" si="85"/>
        <v>1</v>
      </c>
      <c r="D498" s="633"/>
      <c r="E498" s="20">
        <f t="shared" si="86"/>
        <v>1</v>
      </c>
      <c r="F498" s="633"/>
      <c r="G498" s="20">
        <f t="shared" si="87"/>
        <v>1</v>
      </c>
      <c r="H498" s="633"/>
      <c r="I498" s="20">
        <f t="shared" si="88"/>
        <v>1</v>
      </c>
      <c r="J498" s="633"/>
      <c r="K498" s="20">
        <f t="shared" si="89"/>
        <v>1</v>
      </c>
      <c r="L498" s="633"/>
      <c r="M498" s="20">
        <f t="shared" si="90"/>
        <v>1</v>
      </c>
      <c r="N498" s="633"/>
      <c r="O498" s="20">
        <f t="shared" si="91"/>
        <v>1</v>
      </c>
      <c r="P498" s="633"/>
      <c r="Q498" s="20">
        <f t="shared" si="92"/>
        <v>1</v>
      </c>
      <c r="R498" s="20">
        <f t="shared" si="93"/>
        <v>0</v>
      </c>
      <c r="S498" s="306">
        <f t="shared" ref="S498:S524" si="94">ROUND(R498*B498/10000,0)</f>
        <v>0</v>
      </c>
    </row>
    <row r="499" spans="1:19">
      <c r="A499" s="140"/>
      <c r="B499" s="51"/>
      <c r="C499" s="20">
        <f t="shared" si="85"/>
        <v>1</v>
      </c>
      <c r="D499" s="633"/>
      <c r="E499" s="20">
        <f t="shared" si="86"/>
        <v>1</v>
      </c>
      <c r="F499" s="633"/>
      <c r="G499" s="20">
        <f t="shared" si="87"/>
        <v>1</v>
      </c>
      <c r="H499" s="633"/>
      <c r="I499" s="20">
        <f t="shared" si="88"/>
        <v>1</v>
      </c>
      <c r="J499" s="633"/>
      <c r="K499" s="20">
        <f t="shared" si="89"/>
        <v>1</v>
      </c>
      <c r="L499" s="633"/>
      <c r="M499" s="20">
        <f t="shared" si="90"/>
        <v>1</v>
      </c>
      <c r="N499" s="633"/>
      <c r="O499" s="20">
        <f t="shared" si="91"/>
        <v>1</v>
      </c>
      <c r="P499" s="633"/>
      <c r="Q499" s="20">
        <f t="shared" si="92"/>
        <v>1</v>
      </c>
      <c r="R499" s="20">
        <f t="shared" si="93"/>
        <v>0</v>
      </c>
      <c r="S499" s="306">
        <f t="shared" si="94"/>
        <v>0</v>
      </c>
    </row>
    <row r="500" spans="1:19">
      <c r="A500" s="140"/>
      <c r="B500" s="51"/>
      <c r="C500" s="20">
        <f t="shared" si="85"/>
        <v>1</v>
      </c>
      <c r="D500" s="633"/>
      <c r="E500" s="20">
        <f t="shared" si="86"/>
        <v>1</v>
      </c>
      <c r="F500" s="633"/>
      <c r="G500" s="20">
        <f t="shared" si="87"/>
        <v>1</v>
      </c>
      <c r="H500" s="633"/>
      <c r="I500" s="20">
        <f t="shared" si="88"/>
        <v>1</v>
      </c>
      <c r="J500" s="633"/>
      <c r="K500" s="20">
        <f t="shared" si="89"/>
        <v>1</v>
      </c>
      <c r="L500" s="633"/>
      <c r="M500" s="20">
        <f t="shared" si="90"/>
        <v>1</v>
      </c>
      <c r="N500" s="633"/>
      <c r="O500" s="20">
        <f t="shared" si="91"/>
        <v>1</v>
      </c>
      <c r="P500" s="633"/>
      <c r="Q500" s="20">
        <f t="shared" si="92"/>
        <v>1</v>
      </c>
      <c r="R500" s="20">
        <f t="shared" si="93"/>
        <v>0</v>
      </c>
      <c r="S500" s="306">
        <f t="shared" si="94"/>
        <v>0</v>
      </c>
    </row>
    <row r="501" spans="1:19">
      <c r="A501" s="140"/>
      <c r="B501" s="51"/>
      <c r="C501" s="20">
        <f t="shared" si="85"/>
        <v>1</v>
      </c>
      <c r="D501" s="633"/>
      <c r="E501" s="20">
        <f t="shared" si="86"/>
        <v>1</v>
      </c>
      <c r="F501" s="633"/>
      <c r="G501" s="20">
        <f t="shared" si="87"/>
        <v>1</v>
      </c>
      <c r="H501" s="633"/>
      <c r="I501" s="20">
        <f t="shared" si="88"/>
        <v>1</v>
      </c>
      <c r="J501" s="633"/>
      <c r="K501" s="20">
        <f t="shared" si="89"/>
        <v>1</v>
      </c>
      <c r="L501" s="633"/>
      <c r="M501" s="20">
        <f t="shared" si="90"/>
        <v>1</v>
      </c>
      <c r="N501" s="633"/>
      <c r="O501" s="20">
        <f t="shared" si="91"/>
        <v>1</v>
      </c>
      <c r="P501" s="633"/>
      <c r="Q501" s="20">
        <f t="shared" si="92"/>
        <v>1</v>
      </c>
      <c r="R501" s="20">
        <f t="shared" si="93"/>
        <v>0</v>
      </c>
      <c r="S501" s="306">
        <f t="shared" si="94"/>
        <v>0</v>
      </c>
    </row>
    <row r="502" spans="1:19">
      <c r="A502" s="140"/>
      <c r="B502" s="51"/>
      <c r="C502" s="20">
        <f t="shared" si="85"/>
        <v>1</v>
      </c>
      <c r="D502" s="633"/>
      <c r="E502" s="20">
        <f t="shared" si="86"/>
        <v>1</v>
      </c>
      <c r="F502" s="633"/>
      <c r="G502" s="20">
        <f t="shared" si="87"/>
        <v>1</v>
      </c>
      <c r="H502" s="633"/>
      <c r="I502" s="20">
        <f t="shared" si="88"/>
        <v>1</v>
      </c>
      <c r="J502" s="633"/>
      <c r="K502" s="20">
        <f t="shared" si="89"/>
        <v>1</v>
      </c>
      <c r="L502" s="633"/>
      <c r="M502" s="20">
        <f t="shared" si="90"/>
        <v>1</v>
      </c>
      <c r="N502" s="633"/>
      <c r="O502" s="20">
        <f t="shared" si="91"/>
        <v>1</v>
      </c>
      <c r="P502" s="633"/>
      <c r="Q502" s="20">
        <f t="shared" si="92"/>
        <v>1</v>
      </c>
      <c r="R502" s="20">
        <f t="shared" si="93"/>
        <v>0</v>
      </c>
      <c r="S502" s="306">
        <f t="shared" si="94"/>
        <v>0</v>
      </c>
    </row>
    <row r="503" spans="1:19">
      <c r="A503" s="140"/>
      <c r="B503" s="51"/>
      <c r="C503" s="20">
        <f t="shared" si="85"/>
        <v>1</v>
      </c>
      <c r="D503" s="633"/>
      <c r="E503" s="20">
        <f t="shared" si="86"/>
        <v>1</v>
      </c>
      <c r="F503" s="633"/>
      <c r="G503" s="20">
        <f t="shared" si="87"/>
        <v>1</v>
      </c>
      <c r="H503" s="633"/>
      <c r="I503" s="20">
        <f t="shared" si="88"/>
        <v>1</v>
      </c>
      <c r="J503" s="633"/>
      <c r="K503" s="20">
        <f t="shared" si="89"/>
        <v>1</v>
      </c>
      <c r="L503" s="633"/>
      <c r="M503" s="20">
        <f t="shared" si="90"/>
        <v>1</v>
      </c>
      <c r="N503" s="633"/>
      <c r="O503" s="20">
        <f t="shared" si="91"/>
        <v>1</v>
      </c>
      <c r="P503" s="633"/>
      <c r="Q503" s="20">
        <f t="shared" si="92"/>
        <v>1</v>
      </c>
      <c r="R503" s="20">
        <f t="shared" si="93"/>
        <v>0</v>
      </c>
      <c r="S503" s="306">
        <f t="shared" si="94"/>
        <v>0</v>
      </c>
    </row>
    <row r="504" spans="1:19">
      <c r="A504" s="140"/>
      <c r="B504" s="51"/>
      <c r="C504" s="20">
        <f t="shared" si="85"/>
        <v>1</v>
      </c>
      <c r="D504" s="633"/>
      <c r="E504" s="20">
        <f t="shared" si="86"/>
        <v>1</v>
      </c>
      <c r="F504" s="633"/>
      <c r="G504" s="20">
        <f t="shared" si="87"/>
        <v>1</v>
      </c>
      <c r="H504" s="633"/>
      <c r="I504" s="20">
        <f t="shared" si="88"/>
        <v>1</v>
      </c>
      <c r="J504" s="633"/>
      <c r="K504" s="20">
        <f t="shared" si="89"/>
        <v>1</v>
      </c>
      <c r="L504" s="633"/>
      <c r="M504" s="20">
        <f t="shared" si="90"/>
        <v>1</v>
      </c>
      <c r="N504" s="633"/>
      <c r="O504" s="20">
        <f t="shared" si="91"/>
        <v>1</v>
      </c>
      <c r="P504" s="633"/>
      <c r="Q504" s="20">
        <f t="shared" si="92"/>
        <v>1</v>
      </c>
      <c r="R504" s="20">
        <f t="shared" si="93"/>
        <v>0</v>
      </c>
      <c r="S504" s="306">
        <f t="shared" si="94"/>
        <v>0</v>
      </c>
    </row>
    <row r="505" spans="1:19">
      <c r="A505" s="140"/>
      <c r="B505" s="51"/>
      <c r="C505" s="20">
        <f t="shared" si="85"/>
        <v>1</v>
      </c>
      <c r="D505" s="633"/>
      <c r="E505" s="20">
        <f t="shared" si="86"/>
        <v>1</v>
      </c>
      <c r="F505" s="633"/>
      <c r="G505" s="20">
        <f t="shared" si="87"/>
        <v>1</v>
      </c>
      <c r="H505" s="633"/>
      <c r="I505" s="20">
        <f t="shared" si="88"/>
        <v>1</v>
      </c>
      <c r="J505" s="633"/>
      <c r="K505" s="20">
        <f t="shared" si="89"/>
        <v>1</v>
      </c>
      <c r="L505" s="633"/>
      <c r="M505" s="20">
        <f t="shared" si="90"/>
        <v>1</v>
      </c>
      <c r="N505" s="633"/>
      <c r="O505" s="20">
        <f t="shared" si="91"/>
        <v>1</v>
      </c>
      <c r="P505" s="633"/>
      <c r="Q505" s="20">
        <f t="shared" si="92"/>
        <v>1</v>
      </c>
      <c r="R505" s="20">
        <f t="shared" si="93"/>
        <v>0</v>
      </c>
      <c r="S505" s="306">
        <f t="shared" si="94"/>
        <v>0</v>
      </c>
    </row>
    <row r="506" spans="1:19">
      <c r="A506" s="140"/>
      <c r="B506" s="51"/>
      <c r="C506" s="20">
        <f t="shared" si="85"/>
        <v>1</v>
      </c>
      <c r="D506" s="633"/>
      <c r="E506" s="20">
        <f t="shared" si="86"/>
        <v>1</v>
      </c>
      <c r="F506" s="633"/>
      <c r="G506" s="20">
        <f t="shared" si="87"/>
        <v>1</v>
      </c>
      <c r="H506" s="633"/>
      <c r="I506" s="20">
        <f t="shared" si="88"/>
        <v>1</v>
      </c>
      <c r="J506" s="633"/>
      <c r="K506" s="20">
        <f t="shared" si="89"/>
        <v>1</v>
      </c>
      <c r="L506" s="633"/>
      <c r="M506" s="20">
        <f t="shared" si="90"/>
        <v>1</v>
      </c>
      <c r="N506" s="633"/>
      <c r="O506" s="20">
        <f t="shared" si="91"/>
        <v>1</v>
      </c>
      <c r="P506" s="633"/>
      <c r="Q506" s="20">
        <f t="shared" si="92"/>
        <v>1</v>
      </c>
      <c r="R506" s="20">
        <f t="shared" si="93"/>
        <v>0</v>
      </c>
      <c r="S506" s="306">
        <f t="shared" si="94"/>
        <v>0</v>
      </c>
    </row>
    <row r="507" spans="1:19">
      <c r="A507" s="140"/>
      <c r="B507" s="51"/>
      <c r="C507" s="20">
        <f t="shared" si="85"/>
        <v>1</v>
      </c>
      <c r="D507" s="633"/>
      <c r="E507" s="20">
        <f t="shared" si="86"/>
        <v>1</v>
      </c>
      <c r="F507" s="633"/>
      <c r="G507" s="20">
        <f t="shared" si="87"/>
        <v>1</v>
      </c>
      <c r="H507" s="633"/>
      <c r="I507" s="20">
        <f t="shared" si="88"/>
        <v>1</v>
      </c>
      <c r="J507" s="633"/>
      <c r="K507" s="20">
        <f t="shared" si="89"/>
        <v>1</v>
      </c>
      <c r="L507" s="633"/>
      <c r="M507" s="20">
        <f t="shared" si="90"/>
        <v>1</v>
      </c>
      <c r="N507" s="633"/>
      <c r="O507" s="20">
        <f t="shared" si="91"/>
        <v>1</v>
      </c>
      <c r="P507" s="633"/>
      <c r="Q507" s="20">
        <f t="shared" si="92"/>
        <v>1</v>
      </c>
      <c r="R507" s="20">
        <f t="shared" si="93"/>
        <v>0</v>
      </c>
      <c r="S507" s="306">
        <f t="shared" si="94"/>
        <v>0</v>
      </c>
    </row>
    <row r="508" spans="1:19">
      <c r="A508" s="140"/>
      <c r="B508" s="51"/>
      <c r="C508" s="20">
        <f t="shared" si="85"/>
        <v>1</v>
      </c>
      <c r="D508" s="633"/>
      <c r="E508" s="20">
        <f t="shared" si="86"/>
        <v>1</v>
      </c>
      <c r="F508" s="633"/>
      <c r="G508" s="20">
        <f t="shared" si="87"/>
        <v>1</v>
      </c>
      <c r="H508" s="633"/>
      <c r="I508" s="20">
        <f t="shared" si="88"/>
        <v>1</v>
      </c>
      <c r="J508" s="633"/>
      <c r="K508" s="20">
        <f t="shared" si="89"/>
        <v>1</v>
      </c>
      <c r="L508" s="633"/>
      <c r="M508" s="20">
        <f t="shared" si="90"/>
        <v>1</v>
      </c>
      <c r="N508" s="633"/>
      <c r="O508" s="20">
        <f t="shared" si="91"/>
        <v>1</v>
      </c>
      <c r="P508" s="633"/>
      <c r="Q508" s="20">
        <f t="shared" si="92"/>
        <v>1</v>
      </c>
      <c r="R508" s="20">
        <f t="shared" si="93"/>
        <v>0</v>
      </c>
      <c r="S508" s="306">
        <f t="shared" si="94"/>
        <v>0</v>
      </c>
    </row>
    <row r="509" spans="1:19">
      <c r="A509" s="140"/>
      <c r="B509" s="51"/>
      <c r="C509" s="20">
        <f t="shared" si="85"/>
        <v>1</v>
      </c>
      <c r="D509" s="633"/>
      <c r="E509" s="20">
        <f t="shared" si="86"/>
        <v>1</v>
      </c>
      <c r="F509" s="633"/>
      <c r="G509" s="20">
        <f t="shared" si="87"/>
        <v>1</v>
      </c>
      <c r="H509" s="633"/>
      <c r="I509" s="20">
        <f t="shared" si="88"/>
        <v>1</v>
      </c>
      <c r="J509" s="633"/>
      <c r="K509" s="20">
        <f t="shared" si="89"/>
        <v>1</v>
      </c>
      <c r="L509" s="633"/>
      <c r="M509" s="20">
        <f t="shared" si="90"/>
        <v>1</v>
      </c>
      <c r="N509" s="633"/>
      <c r="O509" s="20">
        <f t="shared" si="91"/>
        <v>1</v>
      </c>
      <c r="P509" s="633"/>
      <c r="Q509" s="20">
        <f t="shared" si="92"/>
        <v>1</v>
      </c>
      <c r="R509" s="20">
        <f t="shared" si="93"/>
        <v>0</v>
      </c>
      <c r="S509" s="306">
        <f t="shared" si="94"/>
        <v>0</v>
      </c>
    </row>
    <row r="510" spans="1:19">
      <c r="A510" s="140"/>
      <c r="B510" s="51"/>
      <c r="C510" s="20">
        <f t="shared" si="85"/>
        <v>1</v>
      </c>
      <c r="D510" s="633"/>
      <c r="E510" s="20">
        <f t="shared" si="86"/>
        <v>1</v>
      </c>
      <c r="F510" s="633"/>
      <c r="G510" s="20">
        <f t="shared" si="87"/>
        <v>1</v>
      </c>
      <c r="H510" s="633"/>
      <c r="I510" s="20">
        <f t="shared" si="88"/>
        <v>1</v>
      </c>
      <c r="J510" s="633"/>
      <c r="K510" s="20">
        <f t="shared" si="89"/>
        <v>1</v>
      </c>
      <c r="L510" s="633"/>
      <c r="M510" s="20">
        <f t="shared" si="90"/>
        <v>1</v>
      </c>
      <c r="N510" s="633"/>
      <c r="O510" s="20">
        <f t="shared" si="91"/>
        <v>1</v>
      </c>
      <c r="P510" s="633"/>
      <c r="Q510" s="20">
        <f t="shared" si="92"/>
        <v>1</v>
      </c>
      <c r="R510" s="20">
        <f t="shared" si="93"/>
        <v>0</v>
      </c>
      <c r="S510" s="306">
        <f t="shared" si="94"/>
        <v>0</v>
      </c>
    </row>
    <row r="511" spans="1:19">
      <c r="A511" s="140"/>
      <c r="B511" s="51"/>
      <c r="C511" s="20">
        <f t="shared" si="85"/>
        <v>1</v>
      </c>
      <c r="D511" s="633"/>
      <c r="E511" s="20">
        <f t="shared" si="86"/>
        <v>1</v>
      </c>
      <c r="F511" s="633"/>
      <c r="G511" s="20">
        <f t="shared" si="87"/>
        <v>1</v>
      </c>
      <c r="H511" s="633"/>
      <c r="I511" s="20">
        <f t="shared" si="88"/>
        <v>1</v>
      </c>
      <c r="J511" s="633"/>
      <c r="K511" s="20">
        <f t="shared" si="89"/>
        <v>1</v>
      </c>
      <c r="L511" s="633"/>
      <c r="M511" s="20">
        <f t="shared" si="90"/>
        <v>1</v>
      </c>
      <c r="N511" s="633"/>
      <c r="O511" s="20">
        <f t="shared" si="91"/>
        <v>1</v>
      </c>
      <c r="P511" s="633"/>
      <c r="Q511" s="20">
        <f t="shared" si="92"/>
        <v>1</v>
      </c>
      <c r="R511" s="20">
        <f t="shared" si="93"/>
        <v>0</v>
      </c>
      <c r="S511" s="306">
        <f t="shared" si="94"/>
        <v>0</v>
      </c>
    </row>
    <row r="512" spans="1:19">
      <c r="A512" s="140"/>
      <c r="B512" s="51"/>
      <c r="C512" s="20">
        <f t="shared" si="85"/>
        <v>1</v>
      </c>
      <c r="D512" s="633"/>
      <c r="E512" s="20">
        <f t="shared" si="86"/>
        <v>1</v>
      </c>
      <c r="F512" s="633"/>
      <c r="G512" s="20">
        <f t="shared" si="87"/>
        <v>1</v>
      </c>
      <c r="H512" s="633"/>
      <c r="I512" s="20">
        <f t="shared" si="88"/>
        <v>1</v>
      </c>
      <c r="J512" s="633"/>
      <c r="K512" s="20">
        <f t="shared" si="89"/>
        <v>1</v>
      </c>
      <c r="L512" s="633"/>
      <c r="M512" s="20">
        <f t="shared" si="90"/>
        <v>1</v>
      </c>
      <c r="N512" s="633"/>
      <c r="O512" s="20">
        <f t="shared" si="91"/>
        <v>1</v>
      </c>
      <c r="P512" s="633"/>
      <c r="Q512" s="20">
        <f t="shared" si="92"/>
        <v>1</v>
      </c>
      <c r="R512" s="20">
        <f t="shared" si="93"/>
        <v>0</v>
      </c>
      <c r="S512" s="306">
        <f t="shared" si="94"/>
        <v>0</v>
      </c>
    </row>
    <row r="513" spans="1:19">
      <c r="A513" s="140"/>
      <c r="B513" s="51"/>
      <c r="C513" s="20">
        <f t="shared" si="85"/>
        <v>1</v>
      </c>
      <c r="D513" s="633"/>
      <c r="E513" s="20">
        <f t="shared" si="86"/>
        <v>1</v>
      </c>
      <c r="F513" s="633"/>
      <c r="G513" s="20">
        <f t="shared" si="87"/>
        <v>1</v>
      </c>
      <c r="H513" s="633"/>
      <c r="I513" s="20">
        <f t="shared" si="88"/>
        <v>1</v>
      </c>
      <c r="J513" s="633"/>
      <c r="K513" s="20">
        <f t="shared" si="89"/>
        <v>1</v>
      </c>
      <c r="L513" s="633"/>
      <c r="M513" s="20">
        <f t="shared" si="90"/>
        <v>1</v>
      </c>
      <c r="N513" s="633"/>
      <c r="O513" s="20">
        <f t="shared" si="91"/>
        <v>1</v>
      </c>
      <c r="P513" s="633"/>
      <c r="Q513" s="20">
        <f t="shared" si="92"/>
        <v>1</v>
      </c>
      <c r="R513" s="20">
        <f t="shared" si="93"/>
        <v>0</v>
      </c>
      <c r="S513" s="306">
        <f t="shared" si="94"/>
        <v>0</v>
      </c>
    </row>
    <row r="514" spans="1:19">
      <c r="A514" s="140"/>
      <c r="B514" s="51"/>
      <c r="C514" s="20">
        <f t="shared" si="85"/>
        <v>1</v>
      </c>
      <c r="D514" s="633"/>
      <c r="E514" s="20">
        <f t="shared" si="86"/>
        <v>1</v>
      </c>
      <c r="F514" s="633"/>
      <c r="G514" s="20">
        <f t="shared" si="87"/>
        <v>1</v>
      </c>
      <c r="H514" s="633"/>
      <c r="I514" s="20">
        <f t="shared" si="88"/>
        <v>1</v>
      </c>
      <c r="J514" s="633"/>
      <c r="K514" s="20">
        <f t="shared" si="89"/>
        <v>1</v>
      </c>
      <c r="L514" s="633"/>
      <c r="M514" s="20">
        <f t="shared" si="90"/>
        <v>1</v>
      </c>
      <c r="N514" s="633"/>
      <c r="O514" s="20">
        <f t="shared" si="91"/>
        <v>1</v>
      </c>
      <c r="P514" s="633"/>
      <c r="Q514" s="20">
        <f t="shared" si="92"/>
        <v>1</v>
      </c>
      <c r="R514" s="20">
        <f t="shared" si="93"/>
        <v>0</v>
      </c>
      <c r="S514" s="306">
        <f t="shared" si="94"/>
        <v>0</v>
      </c>
    </row>
    <row r="515" spans="1:19">
      <c r="A515" s="140"/>
      <c r="B515" s="51"/>
      <c r="C515" s="20">
        <f t="shared" si="85"/>
        <v>1</v>
      </c>
      <c r="D515" s="633"/>
      <c r="E515" s="20">
        <f t="shared" si="86"/>
        <v>1</v>
      </c>
      <c r="F515" s="633"/>
      <c r="G515" s="20">
        <f t="shared" si="87"/>
        <v>1</v>
      </c>
      <c r="H515" s="633"/>
      <c r="I515" s="20">
        <f t="shared" si="88"/>
        <v>1</v>
      </c>
      <c r="J515" s="633"/>
      <c r="K515" s="20">
        <f t="shared" si="89"/>
        <v>1</v>
      </c>
      <c r="L515" s="633"/>
      <c r="M515" s="20">
        <f t="shared" si="90"/>
        <v>1</v>
      </c>
      <c r="N515" s="633"/>
      <c r="O515" s="20">
        <f t="shared" si="91"/>
        <v>1</v>
      </c>
      <c r="P515" s="633"/>
      <c r="Q515" s="20">
        <f t="shared" si="92"/>
        <v>1</v>
      </c>
      <c r="R515" s="20">
        <f t="shared" si="93"/>
        <v>0</v>
      </c>
      <c r="S515" s="306">
        <f t="shared" si="94"/>
        <v>0</v>
      </c>
    </row>
    <row r="516" spans="1:19">
      <c r="A516" s="140"/>
      <c r="B516" s="51"/>
      <c r="C516" s="20">
        <f t="shared" si="85"/>
        <v>1</v>
      </c>
      <c r="D516" s="633"/>
      <c r="E516" s="20">
        <f t="shared" si="86"/>
        <v>1</v>
      </c>
      <c r="F516" s="633"/>
      <c r="G516" s="20">
        <f t="shared" si="87"/>
        <v>1</v>
      </c>
      <c r="H516" s="633"/>
      <c r="I516" s="20">
        <f t="shared" si="88"/>
        <v>1</v>
      </c>
      <c r="J516" s="633"/>
      <c r="K516" s="20">
        <f t="shared" si="89"/>
        <v>1</v>
      </c>
      <c r="L516" s="633"/>
      <c r="M516" s="20">
        <f t="shared" si="90"/>
        <v>1</v>
      </c>
      <c r="N516" s="633"/>
      <c r="O516" s="20">
        <f t="shared" si="91"/>
        <v>1</v>
      </c>
      <c r="P516" s="633"/>
      <c r="Q516" s="20">
        <f t="shared" si="92"/>
        <v>1</v>
      </c>
      <c r="R516" s="20">
        <f t="shared" si="93"/>
        <v>0</v>
      </c>
      <c r="S516" s="306">
        <f t="shared" si="94"/>
        <v>0</v>
      </c>
    </row>
    <row r="517" spans="1:19">
      <c r="A517" s="140"/>
      <c r="B517" s="51"/>
      <c r="C517" s="20">
        <f t="shared" si="85"/>
        <v>1</v>
      </c>
      <c r="D517" s="633"/>
      <c r="E517" s="20">
        <f t="shared" si="86"/>
        <v>1</v>
      </c>
      <c r="F517" s="633"/>
      <c r="G517" s="20">
        <f t="shared" si="87"/>
        <v>1</v>
      </c>
      <c r="H517" s="633"/>
      <c r="I517" s="20">
        <f t="shared" si="88"/>
        <v>1</v>
      </c>
      <c r="J517" s="633"/>
      <c r="K517" s="20">
        <f t="shared" si="89"/>
        <v>1</v>
      </c>
      <c r="L517" s="633"/>
      <c r="M517" s="20">
        <f t="shared" si="90"/>
        <v>1</v>
      </c>
      <c r="N517" s="633"/>
      <c r="O517" s="20">
        <f t="shared" si="91"/>
        <v>1</v>
      </c>
      <c r="P517" s="633"/>
      <c r="Q517" s="20">
        <f t="shared" si="92"/>
        <v>1</v>
      </c>
      <c r="R517" s="20">
        <f t="shared" si="93"/>
        <v>0</v>
      </c>
      <c r="S517" s="306">
        <f t="shared" si="94"/>
        <v>0</v>
      </c>
    </row>
    <row r="518" spans="1:19">
      <c r="A518" s="140"/>
      <c r="B518" s="51"/>
      <c r="C518" s="20">
        <f t="shared" si="85"/>
        <v>1</v>
      </c>
      <c r="D518" s="633"/>
      <c r="E518" s="20">
        <f t="shared" si="86"/>
        <v>1</v>
      </c>
      <c r="F518" s="633"/>
      <c r="G518" s="20">
        <f t="shared" si="87"/>
        <v>1</v>
      </c>
      <c r="H518" s="633"/>
      <c r="I518" s="20">
        <f t="shared" si="88"/>
        <v>1</v>
      </c>
      <c r="J518" s="633"/>
      <c r="K518" s="20">
        <f t="shared" si="89"/>
        <v>1</v>
      </c>
      <c r="L518" s="633"/>
      <c r="M518" s="20">
        <f t="shared" si="90"/>
        <v>1</v>
      </c>
      <c r="N518" s="633"/>
      <c r="O518" s="20">
        <f t="shared" si="91"/>
        <v>1</v>
      </c>
      <c r="P518" s="633"/>
      <c r="Q518" s="20">
        <f t="shared" si="92"/>
        <v>1</v>
      </c>
      <c r="R518" s="20">
        <f t="shared" si="93"/>
        <v>0</v>
      </c>
      <c r="S518" s="306">
        <f t="shared" si="94"/>
        <v>0</v>
      </c>
    </row>
    <row r="519" spans="1:19">
      <c r="A519" s="140"/>
      <c r="B519" s="51"/>
      <c r="C519" s="20">
        <f t="shared" si="85"/>
        <v>1</v>
      </c>
      <c r="D519" s="633"/>
      <c r="E519" s="20">
        <f t="shared" si="86"/>
        <v>1</v>
      </c>
      <c r="F519" s="633"/>
      <c r="G519" s="20">
        <f t="shared" si="87"/>
        <v>1</v>
      </c>
      <c r="H519" s="633"/>
      <c r="I519" s="20">
        <f t="shared" si="88"/>
        <v>1</v>
      </c>
      <c r="J519" s="633"/>
      <c r="K519" s="20">
        <f t="shared" si="89"/>
        <v>1</v>
      </c>
      <c r="L519" s="633"/>
      <c r="M519" s="20">
        <f t="shared" si="90"/>
        <v>1</v>
      </c>
      <c r="N519" s="633"/>
      <c r="O519" s="20">
        <f t="shared" si="91"/>
        <v>1</v>
      </c>
      <c r="P519" s="633"/>
      <c r="Q519" s="20">
        <f t="shared" si="92"/>
        <v>1</v>
      </c>
      <c r="R519" s="20">
        <f t="shared" si="93"/>
        <v>0</v>
      </c>
      <c r="S519" s="306">
        <f t="shared" si="94"/>
        <v>0</v>
      </c>
    </row>
    <row r="520" spans="1:19">
      <c r="A520" s="140"/>
      <c r="B520" s="51"/>
      <c r="C520" s="20">
        <f t="shared" si="85"/>
        <v>1</v>
      </c>
      <c r="D520" s="633"/>
      <c r="E520" s="20">
        <f t="shared" si="86"/>
        <v>1</v>
      </c>
      <c r="F520" s="633"/>
      <c r="G520" s="20">
        <f t="shared" si="87"/>
        <v>1</v>
      </c>
      <c r="H520" s="633"/>
      <c r="I520" s="20">
        <f t="shared" si="88"/>
        <v>1</v>
      </c>
      <c r="J520" s="633"/>
      <c r="K520" s="20">
        <f t="shared" si="89"/>
        <v>1</v>
      </c>
      <c r="L520" s="633"/>
      <c r="M520" s="20">
        <f t="shared" si="90"/>
        <v>1</v>
      </c>
      <c r="N520" s="633"/>
      <c r="O520" s="20">
        <f t="shared" si="91"/>
        <v>1</v>
      </c>
      <c r="P520" s="633"/>
      <c r="Q520" s="20">
        <f t="shared" si="92"/>
        <v>1</v>
      </c>
      <c r="R520" s="20">
        <f t="shared" si="93"/>
        <v>0</v>
      </c>
      <c r="S520" s="306">
        <f t="shared" si="94"/>
        <v>0</v>
      </c>
    </row>
    <row r="521" spans="1:19">
      <c r="A521" s="140"/>
      <c r="B521" s="51"/>
      <c r="C521" s="20">
        <f t="shared" si="85"/>
        <v>1</v>
      </c>
      <c r="D521" s="633"/>
      <c r="E521" s="20">
        <f t="shared" si="86"/>
        <v>1</v>
      </c>
      <c r="F521" s="633"/>
      <c r="G521" s="20">
        <f t="shared" si="87"/>
        <v>1</v>
      </c>
      <c r="H521" s="633"/>
      <c r="I521" s="20">
        <f t="shared" si="88"/>
        <v>1</v>
      </c>
      <c r="J521" s="633"/>
      <c r="K521" s="20">
        <f t="shared" si="89"/>
        <v>1</v>
      </c>
      <c r="L521" s="633"/>
      <c r="M521" s="20">
        <f t="shared" si="90"/>
        <v>1</v>
      </c>
      <c r="N521" s="633"/>
      <c r="O521" s="20">
        <f t="shared" si="91"/>
        <v>1</v>
      </c>
      <c r="P521" s="633"/>
      <c r="Q521" s="20">
        <f t="shared" si="92"/>
        <v>1</v>
      </c>
      <c r="R521" s="20">
        <f t="shared" si="93"/>
        <v>0</v>
      </c>
      <c r="S521" s="306">
        <f t="shared" si="94"/>
        <v>0</v>
      </c>
    </row>
    <row r="522" spans="1:19">
      <c r="A522" s="140"/>
      <c r="B522" s="51"/>
      <c r="C522" s="20">
        <f t="shared" si="85"/>
        <v>1</v>
      </c>
      <c r="D522" s="633"/>
      <c r="E522" s="20">
        <f t="shared" si="86"/>
        <v>1</v>
      </c>
      <c r="F522" s="633"/>
      <c r="G522" s="20">
        <f t="shared" si="87"/>
        <v>1</v>
      </c>
      <c r="H522" s="633"/>
      <c r="I522" s="20">
        <f t="shared" si="88"/>
        <v>1</v>
      </c>
      <c r="J522" s="633"/>
      <c r="K522" s="20">
        <f t="shared" si="89"/>
        <v>1</v>
      </c>
      <c r="L522" s="633"/>
      <c r="M522" s="20">
        <f t="shared" si="90"/>
        <v>1</v>
      </c>
      <c r="N522" s="633"/>
      <c r="O522" s="20">
        <f t="shared" si="91"/>
        <v>1</v>
      </c>
      <c r="P522" s="633"/>
      <c r="Q522" s="20">
        <f t="shared" si="92"/>
        <v>1</v>
      </c>
      <c r="R522" s="20">
        <f t="shared" si="93"/>
        <v>0</v>
      </c>
      <c r="S522" s="306">
        <f t="shared" si="94"/>
        <v>0</v>
      </c>
    </row>
    <row r="523" spans="1:19">
      <c r="A523" s="140"/>
      <c r="B523" s="51"/>
      <c r="C523" s="20">
        <f t="shared" si="85"/>
        <v>1</v>
      </c>
      <c r="D523" s="633"/>
      <c r="E523" s="20">
        <f t="shared" si="86"/>
        <v>1</v>
      </c>
      <c r="F523" s="633"/>
      <c r="G523" s="20">
        <f t="shared" si="87"/>
        <v>1</v>
      </c>
      <c r="H523" s="633"/>
      <c r="I523" s="20">
        <f t="shared" si="88"/>
        <v>1</v>
      </c>
      <c r="J523" s="633"/>
      <c r="K523" s="20">
        <f t="shared" si="89"/>
        <v>1</v>
      </c>
      <c r="L523" s="633"/>
      <c r="M523" s="20">
        <f t="shared" si="90"/>
        <v>1</v>
      </c>
      <c r="N523" s="633"/>
      <c r="O523" s="20">
        <f t="shared" si="91"/>
        <v>1</v>
      </c>
      <c r="P523" s="633"/>
      <c r="Q523" s="20">
        <f t="shared" si="92"/>
        <v>1</v>
      </c>
      <c r="R523" s="20">
        <f t="shared" si="93"/>
        <v>0</v>
      </c>
      <c r="S523" s="306">
        <f t="shared" si="94"/>
        <v>0</v>
      </c>
    </row>
    <row r="524" spans="1:19">
      <c r="A524" s="140"/>
      <c r="B524" s="51"/>
      <c r="C524" s="20">
        <f t="shared" si="85"/>
        <v>1</v>
      </c>
      <c r="D524" s="633"/>
      <c r="E524" s="20">
        <f t="shared" si="86"/>
        <v>1</v>
      </c>
      <c r="F524" s="633"/>
      <c r="G524" s="20">
        <f t="shared" si="87"/>
        <v>1</v>
      </c>
      <c r="H524" s="633"/>
      <c r="I524" s="20">
        <f t="shared" si="88"/>
        <v>1</v>
      </c>
      <c r="J524" s="633"/>
      <c r="K524" s="20">
        <f t="shared" si="89"/>
        <v>1</v>
      </c>
      <c r="L524" s="633"/>
      <c r="M524" s="20">
        <f t="shared" si="90"/>
        <v>1</v>
      </c>
      <c r="N524" s="633"/>
      <c r="O524" s="20">
        <f t="shared" si="91"/>
        <v>1</v>
      </c>
      <c r="P524" s="633"/>
      <c r="Q524" s="20">
        <f t="shared" si="92"/>
        <v>1</v>
      </c>
      <c r="R524" s="20">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20" t="s">
        <v>2081</v>
      </c>
      <c r="B1" s="4"/>
      <c r="C1" s="4"/>
      <c r="D1" s="4"/>
      <c r="E1" s="4"/>
      <c r="F1" s="2537"/>
      <c r="G1" s="2537"/>
      <c r="H1" s="2537"/>
      <c r="I1" s="2537"/>
      <c r="J1" s="2537"/>
      <c r="K1" s="2537"/>
      <c r="L1" s="2537"/>
      <c r="M1" s="2537"/>
      <c r="N1" s="2537"/>
      <c r="O1" s="2537"/>
      <c r="P1" s="2537"/>
    </row>
    <row r="2" spans="1:16" ht="15.6">
      <c r="A2" s="1977" t="s">
        <v>2073</v>
      </c>
      <c r="B2" s="2380">
        <f ca="1">SUMIF(B6:B13,"&lt;&gt;#ref!",B6:B13)</f>
        <v>0</v>
      </c>
      <c r="C2" s="1977" t="s">
        <v>2074</v>
      </c>
      <c r="D2" s="1977" t="s">
        <v>2075</v>
      </c>
      <c r="E2" s="2390">
        <f ca="1">SUMIF(E6:E13,"&lt;&gt;#ref!",E6:E13)</f>
        <v>0</v>
      </c>
      <c r="F2" s="2537"/>
      <c r="G2" s="2537"/>
      <c r="H2" s="2537"/>
      <c r="I2" s="2537"/>
      <c r="J2" s="2537"/>
      <c r="K2" s="2537"/>
      <c r="L2" s="2537"/>
      <c r="M2" s="2537"/>
      <c r="N2" s="2537"/>
      <c r="O2" s="2537"/>
      <c r="P2" s="2537"/>
    </row>
    <row r="3" spans="1:16" ht="15.6">
      <c r="A3" s="1977" t="s">
        <v>2076</v>
      </c>
      <c r="B3" s="2380" t="e">
        <f ca="1">ROUND(B2*10000/E2,0)</f>
        <v>#DIV/0!</v>
      </c>
      <c r="C3" s="1977"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6" t="s">
        <v>2077</v>
      </c>
      <c r="B5" s="2388" t="s">
        <v>2078</v>
      </c>
      <c r="C5" s="1978"/>
      <c r="D5" s="2537"/>
      <c r="E5" s="2389" t="s">
        <v>2079</v>
      </c>
      <c r="F5" s="2537"/>
      <c r="G5" s="2537"/>
      <c r="H5" s="2537"/>
      <c r="I5" s="2537"/>
      <c r="J5" s="2537"/>
      <c r="K5" s="2537"/>
      <c r="L5" s="2537"/>
      <c r="M5" s="2537"/>
      <c r="N5" s="2537"/>
      <c r="O5" s="2537"/>
      <c r="P5" s="2537"/>
    </row>
    <row r="6" spans="1:16" ht="15.6">
      <c r="A6" s="2387" t="s">
        <v>2080</v>
      </c>
      <c r="B6" s="2380">
        <f ca="1">SUMIF(INDIRECT("'"&amp;A6&amp;"'"&amp;"!A:A"),"总价",INDIRECT("'"&amp;A6&amp;"'"&amp;"!B:B"))</f>
        <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6">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6">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6">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6">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6">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6">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6">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23" sqref="C23"/>
    </sheetView>
  </sheetViews>
  <sheetFormatPr defaultColWidth="12" defaultRowHeight="13.2"/>
  <cols>
    <col min="1" max="1" width="9.77734375" style="1888" customWidth="1"/>
    <col min="2" max="2" width="22.44140625" style="1976" customWidth="1"/>
    <col min="3" max="3" width="12" style="1838"/>
    <col min="4" max="4" width="14.88671875" style="1838" customWidth="1"/>
    <col min="5" max="5" width="14.6640625" style="1838" customWidth="1"/>
    <col min="6" max="8" width="12" style="1838"/>
    <col min="9" max="9" width="12.21875" style="1838" bestFit="1" customWidth="1"/>
    <col min="10" max="10" width="12" style="1838"/>
    <col min="11" max="11" width="8.109375" style="1884" customWidth="1"/>
    <col min="12" max="12" width="19.44140625" style="1838" customWidth="1"/>
    <col min="13" max="13" width="8.44140625" style="1838" customWidth="1"/>
    <col min="14" max="14" width="9.77734375" style="1838" customWidth="1"/>
    <col min="15" max="25" width="12" style="1838"/>
    <col min="26" max="26" width="9.33203125" style="1888" customWidth="1"/>
    <col min="27" max="32" width="9.33203125" style="1053" customWidth="1"/>
    <col min="33" max="36" width="9.33203125" style="1888" customWidth="1"/>
    <col min="37" max="38" width="9.33203125" style="1838" customWidth="1"/>
    <col min="39" max="16384" width="12" style="1838"/>
  </cols>
  <sheetData>
    <row r="1" spans="1:36" ht="31.2">
      <c r="A1" s="186" t="s">
        <v>1926</v>
      </c>
      <c r="B1" s="187"/>
      <c r="C1" s="191" t="s">
        <v>1927</v>
      </c>
      <c r="D1" s="331">
        <f>SUM(D33:D34,D37:D42)</f>
        <v>0</v>
      </c>
      <c r="E1" s="1835"/>
      <c r="F1" s="1835"/>
      <c r="G1" s="1835"/>
      <c r="H1" s="1835"/>
      <c r="I1" s="1835"/>
      <c r="J1" s="1835"/>
      <c r="K1" s="1051"/>
      <c r="L1" s="1836" t="s">
        <v>1928</v>
      </c>
      <c r="M1" s="805">
        <f>SUMPRODUCT((区片价!B5:B9=I2)*(区片价!C3:G3=E2)*(区片价!C5:G9))</f>
        <v>0</v>
      </c>
      <c r="N1" s="808">
        <f>SUMPRODUCT((因素修正幅度!B5:B9=I2)*(因素修正幅度!C3:G3=E2)*(因素修正幅度!C5:G9))</f>
        <v>0</v>
      </c>
      <c r="O1" s="1837"/>
      <c r="P1" s="1837"/>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6">
      <c r="A2" s="191" t="s">
        <v>1934</v>
      </c>
      <c r="B2" s="194">
        <f>C30</f>
        <v>0</v>
      </c>
      <c r="C2" s="1839" t="s">
        <v>1935</v>
      </c>
      <c r="D2" s="160" t="s">
        <v>1936</v>
      </c>
      <c r="E2" s="3114" t="s">
        <v>3373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5"/>
      <c r="K2" s="1051"/>
      <c r="L2" s="1840" t="s">
        <v>1939</v>
      </c>
      <c r="M2" s="806">
        <f>SUMPRODUCT((区片价!B10:B29=I2)*(区片价!C3:G3=E2)*(区片价!C10:G29))</f>
        <v>0</v>
      </c>
      <c r="N2" s="808">
        <f>SUMPRODUCT((因素修正幅度!B10:B29=I2)*(因素修正幅度!C3:G3=E2)*(因素修正幅度!C10:G29))</f>
        <v>0</v>
      </c>
      <c r="O2" s="1051"/>
      <c r="P2" s="1051"/>
      <c r="Q2" s="1051"/>
      <c r="R2" s="1124">
        <v>1</v>
      </c>
      <c r="S2" s="3057">
        <f>ROUND(SUMPRODUCT((B106:B110=R2)*(C105:N105=G2)*(C106:N110)),4)</f>
        <v>1.5019</v>
      </c>
      <c r="T2" s="3057">
        <f t="shared" ref="T2:T16" si="0">ROUND($C$5*$C$22*$C$23*$C$24*S2*$C$28,0)</f>
        <v>0</v>
      </c>
      <c r="U2" s="1125"/>
      <c r="V2" s="3057">
        <f>ROUND(T2*U2/10000,0)</f>
        <v>0</v>
      </c>
      <c r="W2" s="1128"/>
      <c r="X2" s="1128"/>
      <c r="Y2" s="1128"/>
      <c r="Z2" s="1128"/>
      <c r="AA2" s="1128"/>
      <c r="AB2" s="1128"/>
      <c r="AC2" s="1129"/>
      <c r="AD2" s="1130"/>
      <c r="AE2" s="1130"/>
      <c r="AF2" s="1130"/>
      <c r="AG2" s="1130"/>
      <c r="AH2" s="1130"/>
      <c r="AI2" s="1130"/>
      <c r="AJ2" s="1131"/>
    </row>
    <row r="3" spans="1:36" ht="15.6">
      <c r="A3" s="193" t="s">
        <v>1940</v>
      </c>
      <c r="B3" s="194" t="e">
        <f>ROUND(B2*10000/D1,0)</f>
        <v>#DIV/0!</v>
      </c>
      <c r="C3" s="1839" t="s">
        <v>1941</v>
      </c>
      <c r="D3" s="160" t="s">
        <v>1942</v>
      </c>
      <c r="E3" s="3112" t="s">
        <v>3960</v>
      </c>
      <c r="F3" s="1841" t="s">
        <v>3961</v>
      </c>
      <c r="G3" s="703">
        <f>IF(F3="宗地容积率",'数据-汇总表'!I4,IF(F3="估价对象容积率",'数据-汇总表'!I6,'数据-汇总表'!I7))</f>
        <v>2.59</v>
      </c>
      <c r="H3" s="160" t="s">
        <v>1943</v>
      </c>
      <c r="I3" s="724"/>
      <c r="J3" s="1835" t="s">
        <v>1944</v>
      </c>
      <c r="K3" s="1051"/>
      <c r="L3" s="1840" t="s">
        <v>1945</v>
      </c>
      <c r="M3" s="806">
        <f>SUMPRODUCT((区片价!B30:B54=I2)*(区片价!C3:G3=E2)*(区片价!C30:G54))</f>
        <v>0</v>
      </c>
      <c r="N3" s="808">
        <f>SUMPRODUCT((因素修正幅度!B30:B54=I2)*(因素修正幅度!C3:G3=E2)*(因素修正幅度!C30:G54))</f>
        <v>0</v>
      </c>
      <c r="O3" s="1051"/>
      <c r="P3" s="1051"/>
      <c r="Q3" s="1051"/>
      <c r="R3" s="1124">
        <v>2</v>
      </c>
      <c r="S3" s="3057">
        <f>ROUND(SUMPRODUCT((B106:B110=R3)*(C105:N105=G2)*(C106:N110)),4)</f>
        <v>1.1838</v>
      </c>
      <c r="T3" s="3057">
        <f t="shared" si="0"/>
        <v>0</v>
      </c>
      <c r="U3" s="1125"/>
      <c r="V3" s="3057">
        <f t="shared" ref="V3:V16" si="1">ROUND(T3*U3/10000,0)</f>
        <v>0</v>
      </c>
      <c r="W3" s="1128"/>
      <c r="X3" s="1128"/>
      <c r="Y3" s="1128"/>
      <c r="Z3" s="1128"/>
      <c r="AA3" s="1128"/>
      <c r="AB3" s="1128"/>
      <c r="AC3" s="1129"/>
      <c r="AD3" s="1130"/>
      <c r="AE3" s="1130"/>
      <c r="AF3" s="1130"/>
      <c r="AG3" s="1130"/>
      <c r="AH3" s="1130"/>
      <c r="AI3" s="1130"/>
      <c r="AJ3" s="1131"/>
    </row>
    <row r="4" spans="1:36" ht="15.6">
      <c r="A4" s="3518"/>
      <c r="B4" s="3519"/>
      <c r="C4" s="3519"/>
      <c r="D4" s="3520"/>
      <c r="E4" s="3520"/>
      <c r="F4" s="3520"/>
      <c r="G4" s="3520"/>
      <c r="H4" s="3520"/>
      <c r="I4" s="3520"/>
      <c r="J4" s="3521"/>
      <c r="K4" s="1051"/>
      <c r="L4" s="1840" t="s">
        <v>1946</v>
      </c>
      <c r="M4" s="806">
        <f>SUMPRODUCT((区片价!B55:B86=I2)*(区片价!C3:G3=E2)*(区片价!C55:G86))</f>
        <v>0</v>
      </c>
      <c r="N4" s="808">
        <f>SUMPRODUCT((因素修正幅度!B55:B86=I2)*(因素修正幅度!C3:G3=E2)*(因素修正幅度!C55:G86))</f>
        <v>0</v>
      </c>
      <c r="O4" s="1051"/>
      <c r="P4" s="1051"/>
      <c r="Q4" s="1051"/>
      <c r="R4" s="1124">
        <v>3</v>
      </c>
      <c r="S4" s="3057">
        <f>ROUND(SUMPRODUCT((B106:B110=R4)*(C105:N105=G2)*(C106:N110)),4)</f>
        <v>1.0004999999999999</v>
      </c>
      <c r="T4" s="3057">
        <f t="shared" si="0"/>
        <v>0</v>
      </c>
      <c r="U4" s="1125"/>
      <c r="V4" s="3057">
        <f t="shared" si="1"/>
        <v>0</v>
      </c>
      <c r="W4" s="1128"/>
      <c r="X4" s="1128"/>
      <c r="Y4" s="1128"/>
      <c r="Z4" s="1128"/>
      <c r="AA4" s="1128"/>
      <c r="AB4" s="1128"/>
      <c r="AC4" s="1129"/>
      <c r="AD4" s="1130"/>
      <c r="AE4" s="1130"/>
      <c r="AF4" s="1130"/>
      <c r="AG4" s="1130"/>
      <c r="AH4" s="1130"/>
      <c r="AI4" s="1130"/>
      <c r="AJ4" s="1131"/>
    </row>
    <row r="5" spans="1:36" s="1851" customFormat="1" ht="15.6" thickBot="1">
      <c r="A5" s="1842" t="s">
        <v>362</v>
      </c>
      <c r="B5" s="1843" t="s">
        <v>1947</v>
      </c>
      <c r="C5" s="704">
        <f>ROUND(IF(E2="商业",C6*C7*C17+C20,(IF(E2="住宅",C6*C13*C17+C20,IF(E2="办公",C6*C12*C17+C20,C6+C20)))),0)</f>
        <v>-126</v>
      </c>
      <c r="D5" s="1247">
        <f>ROUND(C6*C17+C20,0)</f>
        <v>13414</v>
      </c>
      <c r="E5" s="1247"/>
      <c r="F5" s="1844"/>
      <c r="G5" s="1845"/>
      <c r="H5" s="1845"/>
      <c r="I5" s="1845"/>
      <c r="J5" s="1846"/>
      <c r="K5" s="1847"/>
      <c r="L5" s="1840" t="s">
        <v>1948</v>
      </c>
      <c r="M5" s="806">
        <f>SUMPRODUCT((区片价!B87:B126=I2)*(区片价!C3:G3=E2)*(区片价!C87:G126))</f>
        <v>0</v>
      </c>
      <c r="N5" s="808">
        <f>SUMPRODUCT((因素修正幅度!B87:B126=I2)*(因素修正幅度!C3:G3=E2)*(因素修正幅度!C87:G126))</f>
        <v>0</v>
      </c>
      <c r="O5" s="1051"/>
      <c r="P5" s="1051"/>
      <c r="Q5" s="1051"/>
      <c r="R5" s="1124">
        <v>4</v>
      </c>
      <c r="S5" s="3057">
        <f>ROUND(SUMPRODUCT((B106:B110=R5)*(C105:N105=G2)*(C106:N110)),4)</f>
        <v>0.88239999999999996</v>
      </c>
      <c r="T5" s="3057">
        <f t="shared" si="0"/>
        <v>0</v>
      </c>
      <c r="U5" s="1125"/>
      <c r="V5" s="3057">
        <f t="shared" si="1"/>
        <v>0</v>
      </c>
      <c r="W5" s="1128"/>
      <c r="X5" s="1128"/>
      <c r="Y5" s="1128"/>
      <c r="Z5" s="1128"/>
      <c r="AA5" s="1128"/>
      <c r="AB5" s="1128"/>
      <c r="AC5" s="1848"/>
      <c r="AD5" s="1849"/>
      <c r="AE5" s="1849"/>
      <c r="AF5" s="1849"/>
      <c r="AG5" s="1849"/>
      <c r="AH5" s="1849"/>
      <c r="AI5" s="1849"/>
      <c r="AJ5" s="1850"/>
    </row>
    <row r="6" spans="1:36" ht="15.6" thickBot="1">
      <c r="A6" s="1852" t="s">
        <v>1949</v>
      </c>
      <c r="B6" s="1853" t="s">
        <v>1950</v>
      </c>
      <c r="C6" s="705">
        <f>SUMIF(L1:L12,G2,M1:M12)</f>
        <v>13540</v>
      </c>
      <c r="D6" s="1854"/>
      <c r="E6" s="1855"/>
      <c r="F6" s="1855"/>
      <c r="G6" s="1856"/>
      <c r="H6" s="1856"/>
      <c r="I6" s="1856"/>
      <c r="J6" s="1857"/>
      <c r="K6" s="1287"/>
      <c r="L6" s="1840" t="s">
        <v>1951</v>
      </c>
      <c r="M6" s="806">
        <f>SUMPRODUCT((区片价!B127:B189=I2)*(区片价!C3:G3=E2)*(区片价!C127:G189))</f>
        <v>13540</v>
      </c>
      <c r="N6" s="808">
        <f>SUMPRODUCT((因素修正幅度!B127:B189=I2)*(因素修正幅度!C3:G3=E2)*(因素修正幅度!C127:G189))</f>
        <v>0.1</v>
      </c>
      <c r="O6" s="1051"/>
      <c r="P6" s="1051"/>
      <c r="Q6" s="1051"/>
      <c r="R6" s="1124">
        <v>5</v>
      </c>
      <c r="S6" s="3057">
        <f>ROUND(SUMPRODUCT((B106:B110=R6)*(C105:N105=G2)*(C106:N110)),4)</f>
        <v>0.84799999999999998</v>
      </c>
      <c r="T6" s="3057">
        <f t="shared" si="0"/>
        <v>0</v>
      </c>
      <c r="U6" s="1125"/>
      <c r="V6" s="3057">
        <f t="shared" si="1"/>
        <v>0</v>
      </c>
      <c r="W6" s="1128"/>
      <c r="X6" s="1128"/>
      <c r="Y6" s="1128"/>
      <c r="Z6" s="1128"/>
      <c r="AA6" s="1128"/>
      <c r="AB6" s="1128"/>
      <c r="AC6" s="1848"/>
      <c r="AD6" s="1849"/>
      <c r="AE6" s="1849"/>
      <c r="AF6" s="1849"/>
      <c r="AG6" s="1849"/>
      <c r="AH6" s="1849"/>
      <c r="AI6" s="1849"/>
      <c r="AJ6" s="1850"/>
    </row>
    <row r="7" spans="1:36" ht="24.6" thickBot="1">
      <c r="A7" s="3006" t="s">
        <v>3239</v>
      </c>
      <c r="B7" s="1858" t="s">
        <v>1952</v>
      </c>
      <c r="C7" s="706" t="e">
        <f>IF(C8="不临65条商业街",1,ROUND(1+(1.6*E8+1.2*E9+0.8*E10+0.4*E11)*C9,4))</f>
        <v>#DIV/0!</v>
      </c>
      <c r="D7" s="1859" t="s">
        <v>1953</v>
      </c>
      <c r="E7" s="725"/>
      <c r="F7" s="1860"/>
      <c r="G7" s="1861"/>
      <c r="H7" s="1861"/>
      <c r="I7" s="1861"/>
      <c r="J7" s="1862"/>
      <c r="K7" s="1287"/>
      <c r="L7" s="1840" t="s">
        <v>1954</v>
      </c>
      <c r="M7" s="806">
        <f>SUMPRODUCT((区片价!B190:B233=I2)*(区片价!C3:G3=E2)*(区片价!C190:G233))</f>
        <v>0</v>
      </c>
      <c r="N7" s="808">
        <f>SUMPRODUCT((因素修正幅度!B190:B233=I2)*(因素修正幅度!C3:G3=E2)*(因素修正幅度!C190:G233))</f>
        <v>0</v>
      </c>
      <c r="O7" s="1051"/>
      <c r="P7" s="1051"/>
      <c r="Q7" s="1051"/>
      <c r="R7" s="1124">
        <v>6</v>
      </c>
      <c r="S7" s="3111"/>
      <c r="T7" s="3057">
        <f t="shared" si="0"/>
        <v>0</v>
      </c>
      <c r="U7" s="1125"/>
      <c r="V7" s="3057">
        <f t="shared" si="1"/>
        <v>0</v>
      </c>
      <c r="W7" s="1262" t="s">
        <v>1955</v>
      </c>
      <c r="X7" s="1126" t="str">
        <f>G2</f>
        <v>六级</v>
      </c>
      <c r="Y7" s="1126" t="s">
        <v>1956</v>
      </c>
      <c r="Z7" s="1127">
        <f>G3</f>
        <v>2.59</v>
      </c>
      <c r="AA7" s="1128"/>
      <c r="AB7" s="1128"/>
      <c r="AC7" s="1129"/>
      <c r="AD7" s="1130"/>
      <c r="AE7" s="1130"/>
      <c r="AF7" s="1130"/>
      <c r="AG7" s="1130"/>
      <c r="AH7" s="1130"/>
      <c r="AI7" s="1130"/>
      <c r="AJ7" s="1131"/>
    </row>
    <row r="8" spans="1:36" ht="15">
      <c r="A8" s="3003"/>
      <c r="B8" s="160" t="s">
        <v>1957</v>
      </c>
      <c r="C8" s="1863"/>
      <c r="D8" s="707" t="s">
        <v>112</v>
      </c>
      <c r="E8" s="708" t="e">
        <f>ROUND(C11/E7,4)</f>
        <v>#DIV/0!</v>
      </c>
      <c r="F8" s="1864" t="s">
        <v>1958</v>
      </c>
      <c r="G8" s="1865"/>
      <c r="H8" s="1865"/>
      <c r="I8" s="1865"/>
      <c r="J8" s="1866"/>
      <c r="K8" s="1051"/>
      <c r="L8" s="1840" t="s">
        <v>1959</v>
      </c>
      <c r="M8" s="806">
        <f>SUMPRODUCT((区片价!B234:B276=I2)*(区片价!C3:G3=E2)*(区片价!C234:G276))</f>
        <v>0</v>
      </c>
      <c r="N8" s="808">
        <f>SUMPRODUCT((因素修正幅度!B234:B276=I2)*(因素修正幅度!C3:G3=E2)*(因素修正幅度!C234:G276))</f>
        <v>0</v>
      </c>
      <c r="O8" s="1051"/>
      <c r="P8" s="1051"/>
      <c r="Q8" s="1051"/>
      <c r="R8" s="1124">
        <v>7</v>
      </c>
      <c r="S8" s="1125"/>
      <c r="T8" s="3057">
        <f t="shared" si="0"/>
        <v>0</v>
      </c>
      <c r="U8" s="1125"/>
      <c r="V8" s="3057">
        <f t="shared" si="1"/>
        <v>0</v>
      </c>
      <c r="W8" s="3515" t="s">
        <v>1960</v>
      </c>
      <c r="X8" s="3516"/>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09">
        <f>SUMIF(修正!C71:C138,C8,修正!E71:E138)</f>
        <v>0</v>
      </c>
      <c r="D9" s="161" t="s">
        <v>113</v>
      </c>
      <c r="E9" s="161" t="e">
        <f>ROUND(C11/E7,4)</f>
        <v>#DIV/0!</v>
      </c>
      <c r="F9" s="1864" t="s">
        <v>1974</v>
      </c>
      <c r="G9" s="1865"/>
      <c r="H9" s="1865"/>
      <c r="I9" s="1865"/>
      <c r="J9" s="1866"/>
      <c r="K9" s="1051"/>
      <c r="L9" s="1840" t="s">
        <v>1975</v>
      </c>
      <c r="M9" s="806">
        <f>SUMPRODUCT((区片价!B277:B326=I2)*(区片价!C3:G3=E2)*(区片价!C277:G326))</f>
        <v>0</v>
      </c>
      <c r="N9" s="808">
        <f>SUMPRODUCT((因素修正幅度!B277:B326=I2)*(因素修正幅度!C3:G3=E2)*(因素修正幅度!C277:G326))</f>
        <v>0</v>
      </c>
      <c r="O9" s="1051"/>
      <c r="P9" s="1051"/>
      <c r="Q9" s="1051"/>
      <c r="R9" s="1124">
        <v>8</v>
      </c>
      <c r="S9" s="1125"/>
      <c r="T9" s="3057">
        <f t="shared" si="0"/>
        <v>0</v>
      </c>
      <c r="U9" s="1125"/>
      <c r="V9" s="3057">
        <f t="shared" si="1"/>
        <v>0</v>
      </c>
      <c r="W9" s="3517"/>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4" t="s">
        <v>1977</v>
      </c>
      <c r="G10" s="1865"/>
      <c r="H10" s="1865"/>
      <c r="I10" s="1865"/>
      <c r="J10" s="1866"/>
      <c r="K10" s="1051"/>
      <c r="L10" s="1840" t="s">
        <v>1978</v>
      </c>
      <c r="M10" s="806">
        <f>SUMPRODUCT((区片价!B327:B357=I2)*(区片价!C3:G3=E2)*(区片价!C327:G357))</f>
        <v>0</v>
      </c>
      <c r="N10" s="808">
        <f>SUMPRODUCT((因素修正幅度!B327:B357=I2)*(因素修正幅度!C3:G3=E2)*(因素修正幅度!C327:G357))</f>
        <v>0</v>
      </c>
      <c r="O10" s="1051"/>
      <c r="P10" s="1051"/>
      <c r="Q10" s="1051"/>
      <c r="R10" s="1124">
        <v>9</v>
      </c>
      <c r="S10" s="1125"/>
      <c r="T10" s="3057">
        <f t="shared" si="0"/>
        <v>0</v>
      </c>
      <c r="U10" s="1125"/>
      <c r="V10" s="3057">
        <f t="shared" si="1"/>
        <v>0</v>
      </c>
      <c r="W10" s="351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67" t="s">
        <v>1979</v>
      </c>
      <c r="C11" s="710">
        <f>C10/4</f>
        <v>0</v>
      </c>
      <c r="D11" s="710" t="s">
        <v>115</v>
      </c>
      <c r="E11" s="710" t="e">
        <f>ROUND(C11/E7,4)</f>
        <v>#DIV/0!</v>
      </c>
      <c r="F11" s="1868" t="s">
        <v>1980</v>
      </c>
      <c r="G11" s="1869"/>
      <c r="H11" s="1869"/>
      <c r="I11" s="1869"/>
      <c r="J11" s="1870"/>
      <c r="K11" s="1051"/>
      <c r="L11" s="1840" t="s">
        <v>1981</v>
      </c>
      <c r="M11" s="806">
        <f>SUMPRODUCT((区片价!B358:B377=I2)*(区片价!C3:G3=E2)*(区片价!C358:G377))</f>
        <v>0</v>
      </c>
      <c r="N11" s="808">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6"/>
      <c r="AE11" s="2546"/>
      <c r="AF11" s="2546"/>
      <c r="AG11" s="2546"/>
      <c r="AH11" s="2546"/>
      <c r="AI11" s="2546"/>
      <c r="AJ11" s="2547"/>
    </row>
    <row r="12" spans="1:36" ht="25.8" thickBot="1">
      <c r="A12" s="3006" t="s">
        <v>3240</v>
      </c>
      <c r="B12" s="3007" t="s">
        <v>3241</v>
      </c>
      <c r="C12" s="3008"/>
      <c r="D12" s="3009" t="s">
        <v>3242</v>
      </c>
      <c r="E12" s="3010" t="s">
        <v>3243</v>
      </c>
      <c r="F12" s="3011"/>
      <c r="G12" s="3012"/>
      <c r="H12" s="3012"/>
      <c r="I12" s="3012"/>
      <c r="J12" s="3013"/>
      <c r="K12" s="1051"/>
      <c r="L12" s="1789" t="s">
        <v>1984</v>
      </c>
      <c r="M12" s="807">
        <f>SUMPRODUCT((区片价!B378:B384=I2)*(区片价!C3:G3=E2)*(区片价!C378:G384))</f>
        <v>0</v>
      </c>
      <c r="N12" s="808">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6"/>
      <c r="AE12" s="2546"/>
      <c r="AF12" s="2546"/>
      <c r="AG12" s="2546"/>
      <c r="AH12" s="2546"/>
      <c r="AI12" s="2546"/>
      <c r="AJ12" s="2547"/>
    </row>
    <row r="13" spans="1:36" ht="24.6" thickBot="1">
      <c r="A13" s="3006" t="s">
        <v>3244</v>
      </c>
      <c r="B13" s="1871" t="s">
        <v>1982</v>
      </c>
      <c r="C13" s="706">
        <f>ROUND(C16*D16*E16*F16*G16*H16*I16*J16,4)</f>
        <v>0</v>
      </c>
      <c r="D13" s="1872" t="s">
        <v>1983</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6"/>
      <c r="AE13" s="2546"/>
      <c r="AF13" s="2546"/>
      <c r="AG13" s="2546"/>
      <c r="AH13" s="2546"/>
      <c r="AI13" s="2546"/>
      <c r="AJ13" s="2547"/>
    </row>
    <row r="14" spans="1:36" ht="24">
      <c r="A14" s="3002"/>
      <c r="B14" s="1876" t="s">
        <v>1985</v>
      </c>
      <c r="C14" s="1877" t="s">
        <v>1986</v>
      </c>
      <c r="D14" s="1256" t="s">
        <v>1987</v>
      </c>
      <c r="E14" s="26" t="s">
        <v>1988</v>
      </c>
      <c r="F14" s="3014" t="s">
        <v>3245</v>
      </c>
      <c r="G14" s="3014" t="s">
        <v>3245</v>
      </c>
      <c r="H14" s="3014" t="s">
        <v>3245</v>
      </c>
      <c r="I14" s="3014" t="s">
        <v>3245</v>
      </c>
      <c r="J14" s="3014" t="s">
        <v>3245</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6"/>
      <c r="AE14" s="2546"/>
      <c r="AF14" s="2546"/>
      <c r="AG14" s="2546"/>
      <c r="AH14" s="2546"/>
      <c r="AI14" s="2546"/>
      <c r="AJ14" s="2547"/>
    </row>
    <row r="15" spans="1:36" ht="15">
      <c r="A15" s="3002"/>
      <c r="B15" s="1878"/>
      <c r="C15" s="1879"/>
      <c r="D15" s="1880"/>
      <c r="E15" s="1881"/>
      <c r="F15" s="1465" t="s">
        <v>3246</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6"/>
      <c r="AE15" s="2546"/>
      <c r="AF15" s="2546"/>
      <c r="AG15" s="2546"/>
      <c r="AH15" s="2546"/>
      <c r="AI15" s="2546"/>
      <c r="AJ15" s="2547"/>
    </row>
    <row r="16" spans="1:36" ht="15.6" thickBot="1">
      <c r="A16" s="3002"/>
      <c r="B16" s="3020" t="s">
        <v>1989</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6"/>
      <c r="AE16" s="2546"/>
      <c r="AF16" s="2546"/>
      <c r="AG16" s="2546"/>
      <c r="AH16" s="2546"/>
      <c r="AI16" s="2546"/>
      <c r="AJ16" s="2547"/>
    </row>
    <row r="17" spans="1:37" ht="24">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3.8">
      <c r="A18" s="3032"/>
      <c r="B18" s="2302"/>
      <c r="C18" s="3028"/>
      <c r="D18" s="3023" t="s">
        <v>3250</v>
      </c>
      <c r="E18" s="2349"/>
      <c r="F18" s="3024" t="s">
        <v>3253</v>
      </c>
      <c r="G18" s="3028">
        <f>ROUND(1-(1/(POWER(1+G24,E18))),4)</f>
        <v>0</v>
      </c>
      <c r="H18" s="3024" t="s">
        <v>3255</v>
      </c>
      <c r="I18" s="3028">
        <f>ROUND(1-(1/(POWER(1+G24,J24))),4)</f>
        <v>0.96709999999999996</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5"/>
    </row>
    <row r="19" spans="1:37" s="1851" customFormat="1" ht="14.4" thickBot="1">
      <c r="A19" s="3034"/>
      <c r="B19" s="3035"/>
      <c r="C19" s="3036"/>
      <c r="D19" s="3036" t="s">
        <v>3251</v>
      </c>
      <c r="E19" s="3037"/>
      <c r="F19" s="3038" t="s">
        <v>3254</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8"/>
      <c r="AH19" s="1973"/>
      <c r="AI19" s="559"/>
      <c r="AJ19" s="559"/>
      <c r="AK19" s="1892"/>
    </row>
    <row r="20" spans="1:37" s="1851" customFormat="1" ht="13.8">
      <c r="A20" s="3522" t="s">
        <v>3256</v>
      </c>
      <c r="B20" s="157" t="s">
        <v>1994</v>
      </c>
      <c r="C20" s="3025">
        <f>ROUND(IF(F21="与级别开发程度一致",0,(G21-E21)/C21),0)</f>
        <v>-126</v>
      </c>
      <c r="D20" s="3040" t="s">
        <v>1998</v>
      </c>
      <c r="E20" s="3041"/>
      <c r="F20" s="3528" t="s">
        <v>1995</v>
      </c>
      <c r="G20" s="3529"/>
      <c r="H20" s="3026"/>
      <c r="I20" s="3026"/>
      <c r="J20" s="3027"/>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1" customFormat="1" ht="14.4" thickBot="1">
      <c r="A21" s="3523"/>
      <c r="B21" s="1995" t="s">
        <v>1997</v>
      </c>
      <c r="C21" s="1996">
        <f>IF(E3="M4科研用地",SUMPRODUCT((修正!A2:A7=E3)*(修正!B1:M1=G2)*(修正!B2:M7)),SUMPRODUCT((修正!A2:A7=E2)*(修正!B1:M1=G2)*(修正!B2:M7)))</f>
        <v>2.5</v>
      </c>
      <c r="D21" s="177" t="str">
        <f>IF(OR(G2="八级",G2="九级",G2="十级",G2="十一级",G2="十二级"),"五通一平","七通一平")</f>
        <v>七通一平</v>
      </c>
      <c r="E21" s="1986">
        <f>SUMPRODUCT((修正!B1:M1=G2)*(修正!B17:M17))</f>
        <v>315</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1" customFormat="1" ht="15" thickBot="1">
      <c r="A22" s="1989" t="s">
        <v>363</v>
      </c>
      <c r="B22" s="1990" t="s">
        <v>2000</v>
      </c>
      <c r="C22" s="1991">
        <f>SUMIF(修正!C20:C51,E3,修正!E20:E51)</f>
        <v>1</v>
      </c>
      <c r="D22" s="1992"/>
      <c r="E22" s="1993"/>
      <c r="F22" s="1993"/>
      <c r="G22" s="1993"/>
      <c r="H22" s="1993"/>
      <c r="I22" s="1993"/>
      <c r="J22" s="1994"/>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7" thickBot="1">
      <c r="A23" s="1885" t="s">
        <v>364</v>
      </c>
      <c r="B23" s="1886" t="s">
        <v>2001</v>
      </c>
      <c r="C23" s="71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89" t="s">
        <v>2002</v>
      </c>
      <c r="E23" s="712">
        <v>44197</v>
      </c>
      <c r="F23" s="1889" t="s">
        <v>2003</v>
      </c>
      <c r="G23" s="713">
        <f>'数据-取费表'!B2</f>
        <v>45029</v>
      </c>
      <c r="H23" s="3042" t="s">
        <v>3258</v>
      </c>
      <c r="I23" s="3043" t="str">
        <f>IF(H23="季度增幅（自定义）",SUMIF(N25:N28,E2,O25:O28),"")</f>
        <v/>
      </c>
      <c r="J23" s="3135" t="s">
        <v>3257</v>
      </c>
      <c r="K23" s="1056"/>
      <c r="L23" s="1890" t="s">
        <v>2004</v>
      </c>
      <c r="M23" s="1236">
        <f>ROUND(SUMIF(地价!B2:G2,E2,地价!B16:G16),0)</f>
        <v>687</v>
      </c>
      <c r="N23" s="1891" t="s">
        <v>2005</v>
      </c>
      <c r="O23" s="714">
        <f>ROUNDDOWN(DATEDIF(E23,G23,"M")/3,0)</f>
        <v>9</v>
      </c>
      <c r="P23" s="1052"/>
      <c r="Q23" s="2545"/>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6" thickBot="1">
      <c r="A24" s="1893" t="s">
        <v>365</v>
      </c>
      <c r="B24" s="1894" t="s">
        <v>2006</v>
      </c>
      <c r="C24" s="715">
        <f>ROUND(POWER(1+G24,J24-I24)*(POWER(1+G24,I24)-1)/(POWER(1+G24,J24)-1),4)</f>
        <v>0.99680000000000002</v>
      </c>
      <c r="D24" s="1895" t="s">
        <v>2007</v>
      </c>
      <c r="E24" s="1243">
        <f>存贷款利率!E22/100</f>
        <v>4.3499999999999997E-2</v>
      </c>
      <c r="F24" s="1895" t="s">
        <v>1999</v>
      </c>
      <c r="G24" s="719">
        <f>SUMIF(M30:Q30,E2,M33:Q33)</f>
        <v>0.05</v>
      </c>
      <c r="H24" s="1895" t="s">
        <v>2008</v>
      </c>
      <c r="I24" s="720">
        <f>SUMIF('数据-取费表'!C6:C15,E2,'数据-取费表'!F6:F15)/COUNTIF('数据-取费表'!C6:C15,E2)</f>
        <v>68.13</v>
      </c>
      <c r="J24" s="721">
        <f>IF(E2="住宅",70,IF(E2="商业",40,50))</f>
        <v>70</v>
      </c>
      <c r="K24" s="1056"/>
      <c r="L24" s="1896" t="s">
        <v>2009</v>
      </c>
      <c r="M24" s="1237">
        <f>ROUND(SUMPRODUCT((地价!A4:A16=YEAR(G23)&amp;"-"&amp;ROUNDUP(MONTH(G23)/3,0))*(地价!B2:G2=E2)*(地价!B4:G16)),0)</f>
        <v>0</v>
      </c>
      <c r="N24" s="1897" t="s">
        <v>2010</v>
      </c>
      <c r="O24" s="1898" t="s">
        <v>2011</v>
      </c>
      <c r="P24" s="1899" t="s">
        <v>2012</v>
      </c>
      <c r="Q24" s="1837"/>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4.4">
      <c r="A25" s="1900" t="s">
        <v>366</v>
      </c>
      <c r="B25" s="1901" t="s">
        <v>3337</v>
      </c>
      <c r="C25" s="459">
        <f>IF(B25="容积率修正",IF(G3&lt;10,D26,J26),C27)</f>
        <v>0.99229999999999996</v>
      </c>
      <c r="D25" s="1902"/>
      <c r="E25" s="1902"/>
      <c r="F25" s="1902"/>
      <c r="G25" s="1902"/>
      <c r="H25" s="1902"/>
      <c r="I25" s="1902"/>
      <c r="J25" s="1903"/>
      <c r="K25" s="1056"/>
      <c r="L25" s="2545"/>
      <c r="M25" s="2545"/>
      <c r="N25" s="1904" t="s">
        <v>2013</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4">
      <c r="A26" s="1799" t="s">
        <v>2014</v>
      </c>
      <c r="B26" s="1905" t="s">
        <v>2015</v>
      </c>
      <c r="C26" s="1905" t="s">
        <v>3259</v>
      </c>
      <c r="D26" s="1258">
        <f>IF(E26=G26,F26,IF(G3&lt;10,ROUND(F26+(H26-F26)*(G3-E26)/(G26-E26),4),"——"))</f>
        <v>0.99229999999999996</v>
      </c>
      <c r="E26" s="703">
        <f>ROUNDDOWN(G3,1)</f>
        <v>2.5</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3">
        <f>ROUNDUP(G3,1)</f>
        <v>2.6</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1905" t="s">
        <v>3260</v>
      </c>
      <c r="J26" s="372" t="str">
        <f>IF(G3&gt;=10,D115,"——")</f>
        <v>——</v>
      </c>
      <c r="K26" s="1056"/>
      <c r="L26" s="2545"/>
      <c r="M26" s="2545"/>
      <c r="N26" s="1904" t="s">
        <v>2016</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 thickBot="1">
      <c r="A27" s="1799" t="s">
        <v>2017</v>
      </c>
      <c r="B27" s="1906" t="s">
        <v>2018</v>
      </c>
      <c r="C27" s="786">
        <f>ROUND(IF(I3&lt;6,SUMPRODUCT((B106:B110=I3)*(C105:N105=G2)*(C106:N110)),SUMIF(C105:N105,G2,C112:N112)),4)</f>
        <v>0</v>
      </c>
      <c r="D27" s="1835"/>
      <c r="E27" s="1835"/>
      <c r="F27" s="1907"/>
      <c r="G27" s="1908"/>
      <c r="H27" s="1909"/>
      <c r="I27" s="1910"/>
      <c r="J27" s="1911"/>
      <c r="K27" s="1051"/>
      <c r="L27" s="1837"/>
      <c r="M27" s="1837"/>
      <c r="N27" s="1904" t="s">
        <v>2019</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 thickBot="1">
      <c r="A28" s="1893" t="s">
        <v>367</v>
      </c>
      <c r="B28" s="1886" t="s">
        <v>2020</v>
      </c>
      <c r="C28" s="711">
        <f>SUMIF(A47:A101,E2,B47:B101)</f>
        <v>1</v>
      </c>
      <c r="D28" s="1887"/>
      <c r="E28" s="1912"/>
      <c r="F28" s="1912"/>
      <c r="G28" s="1912"/>
      <c r="H28" s="1912"/>
      <c r="I28" s="1912"/>
      <c r="J28" s="1913"/>
      <c r="K28" s="1056"/>
      <c r="L28" s="2545"/>
      <c r="M28" s="2545"/>
      <c r="N28" s="1914"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 thickBot="1">
      <c r="A29" s="1893" t="s">
        <v>368</v>
      </c>
      <c r="B29" s="1915" t="s">
        <v>2022</v>
      </c>
      <c r="C29" s="716"/>
      <c r="D29" s="1861"/>
      <c r="E29" s="1861"/>
      <c r="F29" s="1916"/>
      <c r="G29" s="1861"/>
      <c r="H29" s="1861"/>
      <c r="I29" s="1861"/>
      <c r="J29" s="1862"/>
      <c r="K29" s="1051"/>
      <c r="L29" s="1837"/>
      <c r="M29" s="1837"/>
      <c r="N29" s="2542" t="s">
        <v>2023</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4.4">
      <c r="A30" s="1917"/>
      <c r="B30" s="1905" t="s">
        <v>2024</v>
      </c>
      <c r="C30" s="2138">
        <f>IF(B25="容积率修正",E33+SUM(E37:E42),SUM(V2:V16)+SUM(E37:E42))</f>
        <v>0</v>
      </c>
      <c r="D30" s="1918"/>
      <c r="E30" s="1835"/>
      <c r="F30" s="1919"/>
      <c r="G30" s="1835"/>
      <c r="H30" s="1835"/>
      <c r="I30" s="1835"/>
      <c r="J30" s="1920"/>
      <c r="K30" s="1051"/>
      <c r="L30" s="3049" t="s">
        <v>1936</v>
      </c>
      <c r="M30" s="3050" t="s">
        <v>1990</v>
      </c>
      <c r="N30" s="3050" t="s">
        <v>1991</v>
      </c>
      <c r="O30" s="3050" t="s">
        <v>1992</v>
      </c>
      <c r="P30" s="3050" t="s">
        <v>1993</v>
      </c>
      <c r="Q30" s="3053" t="s">
        <v>3264</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 thickBot="1">
      <c r="A31" s="1917"/>
      <c r="B31" s="1921" t="s">
        <v>2025</v>
      </c>
      <c r="C31" s="717">
        <f>E34+SUM(I37:I42)</f>
        <v>0</v>
      </c>
      <c r="D31" s="1922"/>
      <c r="E31" s="1923"/>
      <c r="F31" s="1924"/>
      <c r="G31" s="1923"/>
      <c r="H31" s="1923"/>
      <c r="I31" s="1923"/>
      <c r="J31" s="1925"/>
      <c r="K31" s="1051"/>
      <c r="L31" s="3051" t="s">
        <v>1996</v>
      </c>
      <c r="M31" s="160">
        <v>0.25</v>
      </c>
      <c r="N31" s="160">
        <v>0.2</v>
      </c>
      <c r="O31" s="160">
        <v>0.15</v>
      </c>
      <c r="P31" s="160">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 thickBot="1">
      <c r="A32" s="1926"/>
      <c r="B32" s="1927" t="s">
        <v>2026</v>
      </c>
      <c r="C32" s="1928" t="s">
        <v>2027</v>
      </c>
      <c r="D32" s="1928" t="s">
        <v>2028</v>
      </c>
      <c r="E32" s="1929" t="s">
        <v>2029</v>
      </c>
      <c r="F32" s="1930"/>
      <c r="G32" s="1874"/>
      <c r="H32" s="1874"/>
      <c r="I32" s="1874"/>
      <c r="J32" s="1875"/>
      <c r="K32" s="1051"/>
      <c r="L32" s="3052" t="s">
        <v>1999</v>
      </c>
      <c r="M32" s="2348">
        <f>ROUND($E$24*(1+M31),3)</f>
        <v>5.3999999999999999E-2</v>
      </c>
      <c r="N32" s="2348">
        <f>ROUND($E$24*(1+N31),3)</f>
        <v>5.1999999999999998E-2</v>
      </c>
      <c r="O32" s="2348">
        <f>ROUND($E$24*(1+O31),3)</f>
        <v>0.05</v>
      </c>
      <c r="P32" s="2348">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3.8">
      <c r="A33" s="1931"/>
      <c r="B33" s="1932" t="s">
        <v>2030</v>
      </c>
      <c r="C33" s="165">
        <f>ROUND(C5*C22*C23*C24*C25*C28,0)</f>
        <v>0</v>
      </c>
      <c r="D33" s="1933"/>
      <c r="E33" s="722">
        <f>ROUND(C33*D33/10000,0)</f>
        <v>0</v>
      </c>
      <c r="F33" s="3044" t="s">
        <v>3262</v>
      </c>
      <c r="G33" s="1934"/>
      <c r="H33" s="1934"/>
      <c r="I33" s="1934"/>
      <c r="J33" s="1935"/>
      <c r="K33" s="1051"/>
      <c r="L33" s="3047" t="s">
        <v>3265</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8" thickBot="1">
      <c r="A34" s="1936"/>
      <c r="B34" s="1937" t="s">
        <v>2031</v>
      </c>
      <c r="C34" s="177">
        <f>ROUND(IF(E2="工业",C33*M42,IF(B25="楼层修正",SUM(V2:V16)*M41*10000/D34,C33*M41)),0)</f>
        <v>0</v>
      </c>
      <c r="D34" s="1938"/>
      <c r="E34" s="722">
        <f>ROUND(IF(B25="楼层修正",SUM(V2:V16)*M40,C34*D34/10000),0)</f>
        <v>0</v>
      </c>
      <c r="F34" s="1939" t="s">
        <v>2032</v>
      </c>
      <c r="G34" s="1940"/>
      <c r="H34" s="1940"/>
      <c r="I34" s="1940"/>
      <c r="J34" s="1941"/>
      <c r="K34" s="1051"/>
      <c r="L34" s="3047" t="s">
        <v>3266</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2033</v>
      </c>
      <c r="C35" s="3045" t="s">
        <v>3263</v>
      </c>
      <c r="D35" s="1874"/>
      <c r="E35" s="1944"/>
      <c r="F35" s="1944"/>
      <c r="G35" s="1872" t="s">
        <v>2034</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36.6" thickBot="1">
      <c r="A36" s="1931"/>
      <c r="B36" s="1946"/>
      <c r="C36" s="434" t="s">
        <v>2027</v>
      </c>
      <c r="D36" s="431" t="s">
        <v>2028</v>
      </c>
      <c r="E36" s="431" t="s">
        <v>2029</v>
      </c>
      <c r="F36" s="331" t="s">
        <v>2035</v>
      </c>
      <c r="G36" s="1947" t="s">
        <v>2027</v>
      </c>
      <c r="H36" s="1947" t="s">
        <v>2028</v>
      </c>
      <c r="I36" s="1947" t="s">
        <v>2029</v>
      </c>
      <c r="J36" s="233"/>
      <c r="K36" s="1957" t="s">
        <v>3267</v>
      </c>
      <c r="L36" s="3136">
        <f ca="1">'数据-取费表'!B40</f>
        <v>4.1499999999999995E-2</v>
      </c>
      <c r="M36" s="2358">
        <f ca="1">ROUND($L$36*(1+M31),3)</f>
        <v>5.1999999999999998E-2</v>
      </c>
      <c r="N36" s="2358">
        <f ca="1">ROUND($L$36*(1+N31),3)</f>
        <v>0.05</v>
      </c>
      <c r="O36" s="2358">
        <f ca="1">ROUND($L$36*(1+O31),3)</f>
        <v>4.8000000000000001E-2</v>
      </c>
      <c r="P36" s="2358">
        <f ca="1">ROUND($L$36*(1+P31),3)</f>
        <v>4.5999999999999999E-2</v>
      </c>
      <c r="Q36" s="2358">
        <f ca="1">ROUND($L$36*(1+Q31),3)</f>
        <v>4.8000000000000001E-2</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6" thickBot="1">
      <c r="A37" s="3526"/>
      <c r="B37" s="1948" t="s">
        <v>2036</v>
      </c>
      <c r="C37" s="165">
        <f>ROUND(D5*C22*C23*C24*C28*F37,0)</f>
        <v>0</v>
      </c>
      <c r="D37" s="1933"/>
      <c r="E37" s="161">
        <f>ROUND(C37*D37/10000,0)</f>
        <v>0</v>
      </c>
      <c r="F37" s="161">
        <f>SUMIF(修正!A57:A68,G2,修正!B57:B68)</f>
        <v>0.6</v>
      </c>
      <c r="G37" s="161">
        <f>ROUND(IF(E2="工业",C37*$M$42,C37*$M$41),0)</f>
        <v>0</v>
      </c>
      <c r="H37" s="161">
        <f>D37</f>
        <v>0</v>
      </c>
      <c r="I37" s="161">
        <f>ROUND(G37*H37/10000,0)</f>
        <v>0</v>
      </c>
      <c r="J37" s="2747"/>
      <c r="K37" s="3055" t="s">
        <v>3268</v>
      </c>
      <c r="L37" s="1957">
        <f ca="1">L36+K38</f>
        <v>4.6499999999999993E-2</v>
      </c>
      <c r="M37" s="2358">
        <f ca="1">ROUND($L$37*(1+M31),3)</f>
        <v>5.8000000000000003E-2</v>
      </c>
      <c r="N37" s="2358">
        <f t="shared" ref="N37:Q37" ca="1" si="3">ROUND($L$37*(1+N31),3)</f>
        <v>5.6000000000000001E-2</v>
      </c>
      <c r="O37" s="2358">
        <f t="shared" ca="1" si="3"/>
        <v>5.2999999999999999E-2</v>
      </c>
      <c r="P37" s="2358">
        <f t="shared" ca="1" si="3"/>
        <v>5.0999999999999997E-2</v>
      </c>
      <c r="Q37" s="2358">
        <f t="shared" ca="1" si="3"/>
        <v>5.2999999999999999E-2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527"/>
      <c r="B38" s="1877" t="s">
        <v>2037</v>
      </c>
      <c r="C38" s="165">
        <f>ROUND(D5*C22*C23*C24*C28*F38,0)</f>
        <v>0</v>
      </c>
      <c r="D38" s="1933"/>
      <c r="E38" s="161">
        <f t="shared" ref="E38:E42" si="4">ROUND(C38*D38/10000,0)</f>
        <v>0</v>
      </c>
      <c r="F38" s="161">
        <f>SUMIF(修正!A57:A68,G2,修正!C57:C68)</f>
        <v>0.3</v>
      </c>
      <c r="G38" s="161">
        <f>ROUND(IF(E2="工业",C38*$M$42,C38*$M$41),0)</f>
        <v>0</v>
      </c>
      <c r="H38" s="161">
        <f t="shared" ref="H38:H42" si="5">D38</f>
        <v>0</v>
      </c>
      <c r="I38" s="161">
        <f t="shared" ref="I38:I42" si="6">ROUND(G38*H38/10000,0)</f>
        <v>0</v>
      </c>
      <c r="J38" s="2746"/>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8" thickBot="1">
      <c r="A39" s="3527"/>
      <c r="B39" s="1877" t="s">
        <v>3261</v>
      </c>
      <c r="C39" s="165">
        <f>ROUND(D5*C22*C23*C24*C28*F39,0)</f>
        <v>0</v>
      </c>
      <c r="D39" s="1933"/>
      <c r="E39" s="161">
        <f t="shared" si="4"/>
        <v>0</v>
      </c>
      <c r="F39" s="161">
        <f>SUMIF(修正!A57:A68,G2,修正!D57:D68)</f>
        <v>0.25</v>
      </c>
      <c r="G39" s="161">
        <f>ROUND(IF(E2="工业",C39*$M$42,C39*$M$41),0)</f>
        <v>0</v>
      </c>
      <c r="H39" s="161">
        <f t="shared" si="5"/>
        <v>0</v>
      </c>
      <c r="I39" s="161">
        <f t="shared" si="6"/>
        <v>0</v>
      </c>
      <c r="J39" s="2746"/>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2038</v>
      </c>
      <c r="C40" s="161">
        <f>ROUND(D5*C22*C23*C24*C28*F40,0)</f>
        <v>0</v>
      </c>
      <c r="D40" s="1933"/>
      <c r="E40" s="161">
        <f t="shared" si="4"/>
        <v>0</v>
      </c>
      <c r="F40" s="165">
        <f>SUMIF(修正!A57:A68,G2,修正!E57:E68)</f>
        <v>0.25</v>
      </c>
      <c r="G40" s="161">
        <f>ROUND(IF(E2="工业",C40*$M$42,C40*$M$41),0)</f>
        <v>0</v>
      </c>
      <c r="H40" s="161">
        <f t="shared" si="5"/>
        <v>0</v>
      </c>
      <c r="I40" s="161">
        <f t="shared" si="6"/>
        <v>0</v>
      </c>
      <c r="J40" s="934"/>
      <c r="L40" s="1950" t="s">
        <v>2039</v>
      </c>
      <c r="M40" s="1951"/>
      <c r="Z40" s="1052"/>
      <c r="AA40" s="1052"/>
      <c r="AB40" s="1052"/>
      <c r="AC40" s="1052"/>
      <c r="AD40" s="1052"/>
      <c r="AE40" s="1052"/>
      <c r="AF40" s="1052"/>
      <c r="AG40" s="1052"/>
      <c r="AH40" s="1052"/>
      <c r="AI40" s="1052"/>
      <c r="AJ40" s="1052"/>
    </row>
    <row r="41" spans="1:37" s="1051" customFormat="1">
      <c r="A41" s="1949"/>
      <c r="B41" s="1877" t="s">
        <v>2040</v>
      </c>
      <c r="C41" s="161">
        <f>ROUND(D5*C22*C23*C44*C28*F41,0)</f>
        <v>0</v>
      </c>
      <c r="D41" s="1933"/>
      <c r="E41" s="161">
        <f t="shared" si="4"/>
        <v>0</v>
      </c>
      <c r="F41" s="165">
        <f>SUMIF(修正!A57:A68,G2,修正!F57:F68)</f>
        <v>0.25</v>
      </c>
      <c r="G41" s="161">
        <f>ROUND(IF(E2="工业",C41*$M$42,C41*$M$41),0)</f>
        <v>0</v>
      </c>
      <c r="H41" s="161">
        <f t="shared" si="5"/>
        <v>0</v>
      </c>
      <c r="I41" s="161">
        <f t="shared" si="6"/>
        <v>0</v>
      </c>
      <c r="J41" s="934"/>
      <c r="L41" s="3056" t="s">
        <v>3269</v>
      </c>
      <c r="M41" s="1952">
        <v>0.25</v>
      </c>
      <c r="Z41" s="1052"/>
      <c r="AA41" s="1052"/>
      <c r="AB41" s="1052"/>
      <c r="AC41" s="1052"/>
      <c r="AD41" s="1052"/>
      <c r="AE41" s="1052"/>
      <c r="AF41" s="1052"/>
      <c r="AG41" s="1052"/>
      <c r="AH41" s="1052"/>
      <c r="AI41" s="1052"/>
      <c r="AJ41" s="1052"/>
    </row>
    <row r="42" spans="1:37" s="1051" customFormat="1" ht="13.8" thickBot="1">
      <c r="A42" s="1936"/>
      <c r="B42" s="1953" t="s">
        <v>2041</v>
      </c>
      <c r="C42" s="177">
        <f>ROUND(D5*C22*C23*C44*C28*F42,0)</f>
        <v>0</v>
      </c>
      <c r="D42" s="1938"/>
      <c r="E42" s="177">
        <f t="shared" si="4"/>
        <v>0</v>
      </c>
      <c r="F42" s="718">
        <f>SUMIF(修正!A57:A68,G2,修正!G57:G68)</f>
        <v>0.15</v>
      </c>
      <c r="G42" s="177">
        <f>ROUND(IF(E2="工业",C42*$M$42,C42*$M$41),0)</f>
        <v>0</v>
      </c>
      <c r="H42" s="177">
        <f t="shared" si="5"/>
        <v>0</v>
      </c>
      <c r="I42" s="177">
        <f t="shared" si="6"/>
        <v>0</v>
      </c>
      <c r="J42" s="1954"/>
      <c r="L42" s="1955" t="s">
        <v>1993</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ht="24">
      <c r="A44" s="1052"/>
      <c r="B44" s="1985" t="s">
        <v>2122</v>
      </c>
      <c r="C44" s="331">
        <f>ROUND(POWER(1+E44,H44-G44)*(POWER(1+E44,G44)-1)/(POWER(1+E44,H44)-1),4)</f>
        <v>0</v>
      </c>
      <c r="D44" s="161" t="s">
        <v>1999</v>
      </c>
      <c r="E44" s="1984">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 thickBot="1">
      <c r="A47" s="1958" t="s">
        <v>2042</v>
      </c>
      <c r="B47" s="1959"/>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4.4">
      <c r="A48" s="1960" t="s">
        <v>2043</v>
      </c>
      <c r="B48" s="1961">
        <f>1+E50</f>
        <v>1</v>
      </c>
      <c r="C48" s="1721"/>
      <c r="D48" s="694"/>
      <c r="E48" s="695"/>
      <c r="F48" s="1962"/>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5.2">
      <c r="A49" s="1963" t="s">
        <v>2044</v>
      </c>
      <c r="B49" s="1257" t="s">
        <v>2045</v>
      </c>
      <c r="C49" s="1257" t="s">
        <v>2046</v>
      </c>
      <c r="D49" s="1257" t="s">
        <v>2047</v>
      </c>
      <c r="E49" s="696" t="s">
        <v>2048</v>
      </c>
      <c r="F49" s="1964" t="s">
        <v>2049</v>
      </c>
      <c r="G49" s="1257" t="s">
        <v>310</v>
      </c>
      <c r="H49" s="1965"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25.2">
      <c r="A50" s="1963" t="s">
        <v>2052</v>
      </c>
      <c r="B50" s="1966">
        <f>估价对象房地状况!C4</f>
        <v>0</v>
      </c>
      <c r="C50" s="1880"/>
      <c r="D50" s="997">
        <f t="shared" ref="D50:D58" si="7">SUMIF($J$49:$N$49,C50,J50:N50)</f>
        <v>0</v>
      </c>
      <c r="E50" s="697">
        <f>ROUND(SUM(D50:D58),4)</f>
        <v>0</v>
      </c>
      <c r="F50" s="1670" t="str">
        <f>IF(E2="商业",SUMIF(L1:L12,G2,N1:N12),"——")</f>
        <v>——</v>
      </c>
      <c r="G50" s="995"/>
      <c r="H50" s="998" t="str">
        <f t="shared" ref="H50:H58" si="8">IFERROR(ROUNDDOWN($F$50*I50/2,4),"——")</f>
        <v>——</v>
      </c>
      <c r="I50" s="3062">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24">
      <c r="A51" s="1963" t="s">
        <v>2053</v>
      </c>
      <c r="B51" s="1257" t="str">
        <f>估价对象房地状况!C18</f>
        <v>一般</v>
      </c>
      <c r="C51" s="1880"/>
      <c r="D51" s="997">
        <f t="shared" si="7"/>
        <v>0</v>
      </c>
      <c r="E51" s="698"/>
      <c r="F51" s="1670"/>
      <c r="G51" s="995"/>
      <c r="H51" s="998" t="str">
        <f t="shared" si="8"/>
        <v>——</v>
      </c>
      <c r="I51" s="3062">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48">
      <c r="A52" s="3064" t="s">
        <v>3271</v>
      </c>
      <c r="B52" s="1257">
        <f>估价对象房地状况!C19</f>
        <v>0</v>
      </c>
      <c r="C52" s="1880"/>
      <c r="D52" s="997">
        <f t="shared" si="7"/>
        <v>0</v>
      </c>
      <c r="E52" s="698"/>
      <c r="F52" s="1670"/>
      <c r="G52" s="995"/>
      <c r="H52" s="998" t="str">
        <f t="shared" si="8"/>
        <v>——</v>
      </c>
      <c r="I52" s="3062">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7.200000000000003">
      <c r="A53" s="1963" t="s">
        <v>2054</v>
      </c>
      <c r="B53" s="1967" t="s">
        <v>2055</v>
      </c>
      <c r="C53" s="1880"/>
      <c r="D53" s="997">
        <f t="shared" si="7"/>
        <v>0</v>
      </c>
      <c r="E53" s="698"/>
      <c r="F53" s="1670"/>
      <c r="G53" s="995"/>
      <c r="H53" s="998" t="str">
        <f t="shared" si="8"/>
        <v>——</v>
      </c>
      <c r="I53" s="3062">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3" t="s">
        <v>2056</v>
      </c>
      <c r="B54" s="1257">
        <f>估价对象房地状况!C24</f>
        <v>0</v>
      </c>
      <c r="C54" s="1880"/>
      <c r="D54" s="997">
        <f t="shared" si="7"/>
        <v>0</v>
      </c>
      <c r="E54" s="698"/>
      <c r="F54" s="1670"/>
      <c r="G54" s="995"/>
      <c r="H54" s="998" t="str">
        <f t="shared" si="8"/>
        <v>——</v>
      </c>
      <c r="I54" s="3062">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36">
      <c r="A55" s="1963" t="s">
        <v>2057</v>
      </c>
      <c r="B55" s="1968" t="s">
        <v>2058</v>
      </c>
      <c r="C55" s="1880"/>
      <c r="D55" s="997">
        <f t="shared" si="7"/>
        <v>0</v>
      </c>
      <c r="E55" s="698"/>
      <c r="F55" s="1670"/>
      <c r="G55" s="995"/>
      <c r="H55" s="998" t="str">
        <f t="shared" si="8"/>
        <v>——</v>
      </c>
      <c r="I55" s="3062">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9" t="s">
        <v>2059</v>
      </c>
      <c r="B56" s="1235" t="str">
        <f>估价对象房地状况!C21</f>
        <v>较差</v>
      </c>
      <c r="C56" s="1880"/>
      <c r="D56" s="997">
        <f t="shared" si="7"/>
        <v>0</v>
      </c>
      <c r="E56" s="698"/>
      <c r="F56" s="1670"/>
      <c r="G56" s="995"/>
      <c r="H56" s="998" t="str">
        <f t="shared" si="8"/>
        <v>——</v>
      </c>
      <c r="I56" s="3062">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9" t="s">
        <v>2060</v>
      </c>
      <c r="B57" s="1257" t="str">
        <f>估价对象房地状况!C22</f>
        <v>七通</v>
      </c>
      <c r="C57" s="1880"/>
      <c r="D57" s="997">
        <f t="shared" si="7"/>
        <v>0</v>
      </c>
      <c r="E57" s="698"/>
      <c r="F57" s="1670"/>
      <c r="G57" s="995"/>
      <c r="H57" s="998" t="str">
        <f t="shared" si="8"/>
        <v>——</v>
      </c>
      <c r="I57" s="3062">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36.6" thickBot="1">
      <c r="A58" s="1970" t="s">
        <v>2061</v>
      </c>
      <c r="B58" s="1971" t="str">
        <f>估价对象房地状况!C20</f>
        <v>一般</v>
      </c>
      <c r="C58" s="1880"/>
      <c r="D58" s="997">
        <f t="shared" si="7"/>
        <v>0</v>
      </c>
      <c r="E58" s="699"/>
      <c r="F58" s="1670"/>
      <c r="G58" s="995"/>
      <c r="H58" s="998" t="str">
        <f t="shared" si="8"/>
        <v>——</v>
      </c>
      <c r="I58" s="3063">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4.4">
      <c r="A59" s="1960" t="s">
        <v>2062</v>
      </c>
      <c r="B59" s="1961">
        <f>1+E61</f>
        <v>1</v>
      </c>
      <c r="C59" s="694"/>
      <c r="D59" s="694"/>
      <c r="E59" s="695"/>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5.2">
      <c r="A60" s="1963" t="s">
        <v>2044</v>
      </c>
      <c r="B60" s="1257"/>
      <c r="C60" s="1257" t="s">
        <v>2046</v>
      </c>
      <c r="D60" s="1257" t="s">
        <v>2047</v>
      </c>
      <c r="E60" s="696" t="s">
        <v>2048</v>
      </c>
      <c r="F60" s="1964" t="s">
        <v>2063</v>
      </c>
      <c r="G60" s="1257" t="s">
        <v>310</v>
      </c>
      <c r="H60" s="1965"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24">
      <c r="A61" s="1963" t="s">
        <v>2064</v>
      </c>
      <c r="B61" s="1966">
        <f>估价对象房地状况!C17</f>
        <v>0</v>
      </c>
      <c r="C61" s="1880"/>
      <c r="D61" s="997">
        <f t="shared" ref="D61:D69" si="12">SUMIF($J$60:$N$60,C61,J61:N61)</f>
        <v>0</v>
      </c>
      <c r="E61" s="697">
        <f>ROUND(SUM(D61:D69),4)</f>
        <v>0</v>
      </c>
      <c r="F61" s="1670" t="str">
        <f>IF(E2="办公",SUMIF(L1:L12,G2,N1:N12),"——")</f>
        <v>——</v>
      </c>
      <c r="G61" s="995"/>
      <c r="H61" s="998" t="str">
        <f t="shared" ref="H61:H69" si="13">IFERROR(ROUNDDOWN($F$61*I61/2,4),"——")</f>
        <v>——</v>
      </c>
      <c r="I61" s="3062">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24">
      <c r="A62" s="1963" t="s">
        <v>2053</v>
      </c>
      <c r="B62" s="1257" t="str">
        <f>估价对象房地状况!C18</f>
        <v>一般</v>
      </c>
      <c r="C62" s="1880"/>
      <c r="D62" s="997">
        <f t="shared" si="12"/>
        <v>0</v>
      </c>
      <c r="E62" s="698"/>
      <c r="F62" s="1670"/>
      <c r="G62" s="995"/>
      <c r="H62" s="998" t="str">
        <f t="shared" si="13"/>
        <v>——</v>
      </c>
      <c r="I62" s="3062">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48">
      <c r="A63" s="3064" t="s">
        <v>3271</v>
      </c>
      <c r="B63" s="1257">
        <f>估价对象房地状况!C19</f>
        <v>0</v>
      </c>
      <c r="C63" s="1880"/>
      <c r="D63" s="997">
        <f t="shared" si="12"/>
        <v>0</v>
      </c>
      <c r="E63" s="698"/>
      <c r="F63" s="1670"/>
      <c r="G63" s="995"/>
      <c r="H63" s="998" t="str">
        <f t="shared" si="13"/>
        <v>——</v>
      </c>
      <c r="I63" s="3062">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7.200000000000003">
      <c r="A64" s="1963" t="s">
        <v>2054</v>
      </c>
      <c r="B64" s="1967" t="s">
        <v>2055</v>
      </c>
      <c r="C64" s="1880"/>
      <c r="D64" s="997">
        <f t="shared" si="12"/>
        <v>0</v>
      </c>
      <c r="E64" s="698"/>
      <c r="F64" s="1670"/>
      <c r="G64" s="995"/>
      <c r="H64" s="998" t="str">
        <f t="shared" si="13"/>
        <v>——</v>
      </c>
      <c r="I64" s="3062">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3" t="s">
        <v>2056</v>
      </c>
      <c r="B65" s="1257">
        <f>估价对象房地状况!C24</f>
        <v>0</v>
      </c>
      <c r="C65" s="1880"/>
      <c r="D65" s="997">
        <f t="shared" si="12"/>
        <v>0</v>
      </c>
      <c r="E65" s="698"/>
      <c r="F65" s="1670"/>
      <c r="G65" s="995"/>
      <c r="H65" s="998" t="str">
        <f t="shared" si="13"/>
        <v>——</v>
      </c>
      <c r="I65" s="3062">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36">
      <c r="A66" s="1963" t="s">
        <v>2057</v>
      </c>
      <c r="B66" s="1968" t="s">
        <v>2058</v>
      </c>
      <c r="C66" s="1880"/>
      <c r="D66" s="997">
        <f t="shared" si="12"/>
        <v>0</v>
      </c>
      <c r="E66" s="698"/>
      <c r="F66" s="1670"/>
      <c r="G66" s="995"/>
      <c r="H66" s="998" t="str">
        <f t="shared" si="13"/>
        <v>——</v>
      </c>
      <c r="I66" s="3062">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3" t="s">
        <v>2059</v>
      </c>
      <c r="B67" s="1235" t="str">
        <f>估价对象房地状况!C21</f>
        <v>较差</v>
      </c>
      <c r="C67" s="1880"/>
      <c r="D67" s="997">
        <f t="shared" si="12"/>
        <v>0</v>
      </c>
      <c r="E67" s="698"/>
      <c r="F67" s="1670"/>
      <c r="G67" s="995"/>
      <c r="H67" s="998" t="str">
        <f t="shared" si="13"/>
        <v>——</v>
      </c>
      <c r="I67" s="3062">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3" t="s">
        <v>2060</v>
      </c>
      <c r="B68" s="1235" t="str">
        <f>估价对象房地状况!C22</f>
        <v>七通</v>
      </c>
      <c r="C68" s="1880"/>
      <c r="D68" s="997">
        <f t="shared" si="12"/>
        <v>0</v>
      </c>
      <c r="E68" s="698"/>
      <c r="F68" s="1670"/>
      <c r="G68" s="995"/>
      <c r="H68" s="998" t="str">
        <f t="shared" si="13"/>
        <v>——</v>
      </c>
      <c r="I68" s="3062">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36.6" thickBot="1">
      <c r="A69" s="1970" t="s">
        <v>2061</v>
      </c>
      <c r="B69" s="1972" t="str">
        <f>估价对象房地状况!C20</f>
        <v>一般</v>
      </c>
      <c r="C69" s="1880"/>
      <c r="D69" s="997">
        <f t="shared" si="12"/>
        <v>0</v>
      </c>
      <c r="E69" s="699"/>
      <c r="F69" s="1670"/>
      <c r="G69" s="995"/>
      <c r="H69" s="998" t="str">
        <f t="shared" si="13"/>
        <v>——</v>
      </c>
      <c r="I69" s="3063">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4.4">
      <c r="A70" s="1960" t="s">
        <v>2065</v>
      </c>
      <c r="B70" s="1961">
        <f>1+E72</f>
        <v>1</v>
      </c>
      <c r="C70" s="694"/>
      <c r="D70" s="694"/>
      <c r="E70" s="695"/>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5.2">
      <c r="A71" s="1963" t="s">
        <v>2044</v>
      </c>
      <c r="B71" s="1257"/>
      <c r="C71" s="1257" t="s">
        <v>2046</v>
      </c>
      <c r="D71" s="1257" t="s">
        <v>2047</v>
      </c>
      <c r="E71" s="696" t="s">
        <v>2048</v>
      </c>
      <c r="F71" s="1964" t="s">
        <v>2063</v>
      </c>
      <c r="G71" s="1257" t="s">
        <v>310</v>
      </c>
      <c r="H71" s="1965"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24">
      <c r="A72" s="1963" t="s">
        <v>2066</v>
      </c>
      <c r="B72" s="1966" t="str">
        <f>估价对象房地状况!C15</f>
        <v>一般</v>
      </c>
      <c r="C72" s="1880"/>
      <c r="D72" s="997">
        <f t="shared" ref="D72:D80" si="17">SUMIF($J$71:$N$71,C72,J72:N72)</f>
        <v>0</v>
      </c>
      <c r="E72" s="697">
        <f>ROUND(SUM(D72:D80),4)</f>
        <v>0</v>
      </c>
      <c r="F72" s="1670">
        <f>IF(E2="住宅",SUMIF(L1:L12,G2,N1:N12),"——")</f>
        <v>0.1</v>
      </c>
      <c r="G72" s="995"/>
      <c r="H72" s="998">
        <f t="shared" ref="H72:H80" si="18">IFERROR(ROUNDDOWN($F$72*I72/2,4),"——")</f>
        <v>0.01</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24">
      <c r="A73" s="1963" t="s">
        <v>2053</v>
      </c>
      <c r="B73" s="1257" t="str">
        <f>估价对象房地状况!C18</f>
        <v>一般</v>
      </c>
      <c r="C73" s="1880"/>
      <c r="D73" s="997">
        <f t="shared" si="17"/>
        <v>0</v>
      </c>
      <c r="E73" s="700"/>
      <c r="F73" s="1670"/>
      <c r="G73" s="995"/>
      <c r="H73" s="998">
        <f t="shared" si="18"/>
        <v>1.2999999999999999E-2</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7" customFormat="1" ht="48">
      <c r="A74" s="3064" t="s">
        <v>3271</v>
      </c>
      <c r="B74" s="1257">
        <f>估价对象房地状况!C19</f>
        <v>0</v>
      </c>
      <c r="C74" s="1880"/>
      <c r="D74" s="997">
        <f t="shared" si="17"/>
        <v>0</v>
      </c>
      <c r="E74" s="700"/>
      <c r="F74" s="1670"/>
      <c r="G74" s="995"/>
      <c r="H74" s="998">
        <f t="shared" si="18"/>
        <v>5.0000000000000001E-3</v>
      </c>
      <c r="I74" s="3062">
        <v>0.1</v>
      </c>
      <c r="J74" s="996">
        <f t="shared" si="19"/>
        <v>0</v>
      </c>
      <c r="K74" s="996">
        <f t="shared" si="20"/>
        <v>0</v>
      </c>
      <c r="L74" s="996">
        <v>0</v>
      </c>
      <c r="M74" s="996">
        <f t="shared" si="21"/>
        <v>0</v>
      </c>
      <c r="N74" s="996">
        <f t="shared" si="21"/>
        <v>0</v>
      </c>
      <c r="O74" s="1051"/>
      <c r="P74" s="1051"/>
      <c r="Q74" s="1051"/>
      <c r="AA74" s="1973"/>
      <c r="AB74" s="1052"/>
      <c r="AC74" s="1052"/>
      <c r="AD74" s="1052"/>
      <c r="AE74" s="1052"/>
      <c r="AF74" s="1052"/>
      <c r="AG74" s="1052"/>
      <c r="AH74" s="1973"/>
      <c r="AI74" s="1973"/>
      <c r="AJ74" s="1973"/>
      <c r="AK74" s="1973"/>
    </row>
    <row r="75" spans="1:37" ht="13.8">
      <c r="A75" s="1963" t="s">
        <v>2067</v>
      </c>
      <c r="B75" s="1257">
        <f>估价对象房地状况!C24</f>
        <v>0</v>
      </c>
      <c r="C75" s="1880"/>
      <c r="D75" s="997">
        <f t="shared" si="17"/>
        <v>0</v>
      </c>
      <c r="E75" s="700"/>
      <c r="F75" s="1670"/>
      <c r="G75" s="995"/>
      <c r="H75" s="998">
        <f t="shared" si="18"/>
        <v>2.5000000000000001E-3</v>
      </c>
      <c r="I75" s="3062">
        <v>0.05</v>
      </c>
      <c r="J75" s="996">
        <f t="shared" si="19"/>
        <v>0</v>
      </c>
      <c r="K75" s="996">
        <f t="shared" si="20"/>
        <v>0</v>
      </c>
      <c r="L75" s="996">
        <v>0</v>
      </c>
      <c r="M75" s="996">
        <f t="shared" si="21"/>
        <v>0</v>
      </c>
      <c r="N75" s="996">
        <f t="shared" si="21"/>
        <v>0</v>
      </c>
      <c r="O75" s="1051"/>
      <c r="P75" s="1051"/>
      <c r="Q75" s="1837"/>
      <c r="Z75" s="1838"/>
      <c r="AA75" s="1888"/>
      <c r="AG75" s="1053"/>
      <c r="AK75" s="1888"/>
    </row>
    <row r="76" spans="1:37" ht="24">
      <c r="A76" s="1963" t="s">
        <v>2059</v>
      </c>
      <c r="B76" s="1235" t="str">
        <f>估价对象房地状况!C21</f>
        <v>较差</v>
      </c>
      <c r="C76" s="1880"/>
      <c r="D76" s="997">
        <f t="shared" si="17"/>
        <v>0</v>
      </c>
      <c r="E76" s="700"/>
      <c r="F76" s="1670"/>
      <c r="G76" s="995"/>
      <c r="H76" s="998">
        <f t="shared" si="18"/>
        <v>4.0000000000000001E-3</v>
      </c>
      <c r="I76" s="3062">
        <v>0.08</v>
      </c>
      <c r="J76" s="996">
        <f t="shared" si="19"/>
        <v>0</v>
      </c>
      <c r="K76" s="996">
        <f t="shared" si="20"/>
        <v>0</v>
      </c>
      <c r="L76" s="996">
        <v>0</v>
      </c>
      <c r="M76" s="996">
        <f t="shared" si="21"/>
        <v>0</v>
      </c>
      <c r="N76" s="996">
        <f t="shared" si="21"/>
        <v>0</v>
      </c>
      <c r="O76" s="1051"/>
      <c r="P76" s="1051"/>
      <c r="Z76" s="1838"/>
      <c r="AA76" s="1888"/>
      <c r="AG76" s="1053"/>
      <c r="AK76" s="1888"/>
    </row>
    <row r="77" spans="1:37" ht="24">
      <c r="A77" s="1963" t="s">
        <v>2060</v>
      </c>
      <c r="B77" s="1235" t="str">
        <f>估价对象房地状况!C22</f>
        <v>七通</v>
      </c>
      <c r="C77" s="1880"/>
      <c r="D77" s="997">
        <f t="shared" si="17"/>
        <v>0</v>
      </c>
      <c r="E77" s="700"/>
      <c r="F77" s="1670"/>
      <c r="G77" s="995"/>
      <c r="H77" s="998">
        <f t="shared" si="18"/>
        <v>4.4999999999999997E-3</v>
      </c>
      <c r="I77" s="3062">
        <v>0.09</v>
      </c>
      <c r="J77" s="996">
        <f t="shared" si="19"/>
        <v>0</v>
      </c>
      <c r="K77" s="996">
        <f t="shared" si="20"/>
        <v>0</v>
      </c>
      <c r="L77" s="996">
        <v>0</v>
      </c>
      <c r="M77" s="996">
        <f t="shared" si="21"/>
        <v>0</v>
      </c>
      <c r="N77" s="996">
        <f t="shared" si="21"/>
        <v>0</v>
      </c>
      <c r="O77" s="1051"/>
      <c r="P77" s="1051"/>
      <c r="Z77" s="1838"/>
      <c r="AA77" s="1888"/>
      <c r="AG77" s="1053"/>
      <c r="AK77" s="1888"/>
    </row>
    <row r="78" spans="1:37" ht="36">
      <c r="A78" s="1963" t="s">
        <v>2057</v>
      </c>
      <c r="B78" s="1968" t="s">
        <v>2058</v>
      </c>
      <c r="C78" s="1880"/>
      <c r="D78" s="997">
        <f t="shared" si="17"/>
        <v>0</v>
      </c>
      <c r="E78" s="700"/>
      <c r="F78" s="1670"/>
      <c r="G78" s="995"/>
      <c r="H78" s="998">
        <f t="shared" si="18"/>
        <v>2.5000000000000001E-3</v>
      </c>
      <c r="I78" s="3062">
        <v>0.05</v>
      </c>
      <c r="J78" s="996">
        <f t="shared" si="19"/>
        <v>0</v>
      </c>
      <c r="K78" s="996">
        <f t="shared" si="20"/>
        <v>0</v>
      </c>
      <c r="L78" s="996">
        <v>0</v>
      </c>
      <c r="M78" s="996">
        <f t="shared" si="21"/>
        <v>0</v>
      </c>
      <c r="N78" s="996">
        <f t="shared" si="21"/>
        <v>0</v>
      </c>
      <c r="O78" s="1837"/>
      <c r="P78" s="1837"/>
      <c r="Z78" s="1838"/>
      <c r="AA78" s="1888"/>
      <c r="AG78" s="1053"/>
      <c r="AK78" s="1888"/>
    </row>
    <row r="79" spans="1:37" ht="36">
      <c r="A79" s="1963" t="s">
        <v>2061</v>
      </c>
      <c r="B79" s="1966" t="str">
        <f>估价对象房地状况!C20</f>
        <v>一般</v>
      </c>
      <c r="C79" s="1880"/>
      <c r="D79" s="997">
        <f t="shared" si="17"/>
        <v>0</v>
      </c>
      <c r="E79" s="700"/>
      <c r="F79" s="1670"/>
      <c r="G79" s="995"/>
      <c r="H79" s="998">
        <f t="shared" si="18"/>
        <v>6.0000000000000001E-3</v>
      </c>
      <c r="I79" s="3062">
        <v>0.12</v>
      </c>
      <c r="J79" s="996">
        <f t="shared" si="19"/>
        <v>0</v>
      </c>
      <c r="K79" s="996">
        <f t="shared" si="20"/>
        <v>0</v>
      </c>
      <c r="L79" s="996">
        <v>0</v>
      </c>
      <c r="M79" s="996">
        <f t="shared" si="21"/>
        <v>0</v>
      </c>
      <c r="N79" s="996">
        <f t="shared" si="21"/>
        <v>0</v>
      </c>
      <c r="Z79" s="1838"/>
      <c r="AA79" s="1888"/>
      <c r="AG79" s="1053"/>
      <c r="AK79" s="1888"/>
    </row>
    <row r="80" spans="1:37" ht="36.6" thickBot="1">
      <c r="A80" s="1970" t="s">
        <v>2068</v>
      </c>
      <c r="B80" s="1974"/>
      <c r="C80" s="1880"/>
      <c r="D80" s="997">
        <f t="shared" si="17"/>
        <v>0</v>
      </c>
      <c r="E80" s="701"/>
      <c r="F80" s="1670"/>
      <c r="G80" s="995"/>
      <c r="H80" s="998">
        <f t="shared" si="18"/>
        <v>2.5000000000000001E-3</v>
      </c>
      <c r="I80" s="3063">
        <v>0.05</v>
      </c>
      <c r="J80" s="996">
        <f t="shared" si="19"/>
        <v>0</v>
      </c>
      <c r="K80" s="996">
        <f t="shared" si="20"/>
        <v>0</v>
      </c>
      <c r="L80" s="996">
        <v>0</v>
      </c>
      <c r="M80" s="996">
        <f t="shared" si="21"/>
        <v>0</v>
      </c>
      <c r="N80" s="996">
        <f t="shared" si="21"/>
        <v>0</v>
      </c>
      <c r="Z80" s="1838"/>
      <c r="AA80" s="1888"/>
      <c r="AG80" s="1053"/>
      <c r="AK80" s="1888"/>
    </row>
    <row r="81" spans="1:37" ht="14.4">
      <c r="A81" s="1960" t="s">
        <v>2069</v>
      </c>
      <c r="B81" s="1961">
        <f>1+E83</f>
        <v>1</v>
      </c>
      <c r="C81" s="694"/>
      <c r="D81" s="694"/>
      <c r="E81" s="695"/>
      <c r="F81" s="1962"/>
      <c r="G81" s="3"/>
      <c r="H81" s="3"/>
      <c r="I81" s="3"/>
      <c r="J81" s="4"/>
      <c r="K81" s="4"/>
      <c r="L81" s="4"/>
      <c r="M81" s="4"/>
      <c r="N81" s="4"/>
      <c r="Z81" s="1838"/>
      <c r="AA81" s="1888"/>
      <c r="AG81" s="1053"/>
      <c r="AK81" s="1888"/>
    </row>
    <row r="82" spans="1:37" ht="25.2">
      <c r="A82" s="1963" t="s">
        <v>2044</v>
      </c>
      <c r="B82" s="1257"/>
      <c r="C82" s="1257" t="s">
        <v>2046</v>
      </c>
      <c r="D82" s="1257" t="s">
        <v>2047</v>
      </c>
      <c r="E82" s="696" t="s">
        <v>2048</v>
      </c>
      <c r="F82" s="1964" t="s">
        <v>2063</v>
      </c>
      <c r="G82" s="1257" t="s">
        <v>310</v>
      </c>
      <c r="H82" s="1965" t="s">
        <v>2050</v>
      </c>
      <c r="I82" s="1257" t="s">
        <v>2051</v>
      </c>
      <c r="J82" s="528" t="s">
        <v>1721</v>
      </c>
      <c r="K82" s="528" t="s">
        <v>1722</v>
      </c>
      <c r="L82" s="528" t="s">
        <v>1723</v>
      </c>
      <c r="M82" s="528" t="s">
        <v>1724</v>
      </c>
      <c r="N82" s="528" t="s">
        <v>1725</v>
      </c>
      <c r="Z82" s="1838"/>
      <c r="AA82" s="1888"/>
      <c r="AG82" s="1053"/>
      <c r="AK82" s="1888"/>
    </row>
    <row r="83" spans="1:37" ht="39.6">
      <c r="A83" s="1963" t="s">
        <v>2070</v>
      </c>
      <c r="B83" s="1257" t="str">
        <f>估价对象房地状况!G15</f>
        <v>估价对象位于XX开发区，园区建设成熟度XX，产业集聚程度XX</v>
      </c>
      <c r="C83" s="1880"/>
      <c r="D83" s="997">
        <f t="shared" ref="D83:D90" si="22">SUMIF($J$82:$N$82,C83,J83:N83)</f>
        <v>0</v>
      </c>
      <c r="E83" s="697">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38"/>
      <c r="AA83" s="1888"/>
      <c r="AG83" s="1053"/>
      <c r="AK83" s="1888"/>
    </row>
    <row r="84" spans="1:37" ht="52.8">
      <c r="A84" s="1963" t="s">
        <v>2053</v>
      </c>
      <c r="B84" s="1257" t="str">
        <f>估价对象房地状况!G16</f>
        <v>估价对象周边道路状况、公共交通通达情况、停车便捷程度，综合评价交通便捷度较好</v>
      </c>
      <c r="C84" s="1880"/>
      <c r="D84" s="997">
        <f t="shared" si="22"/>
        <v>0</v>
      </c>
      <c r="E84" s="700"/>
      <c r="F84" s="1670"/>
      <c r="G84" s="995"/>
      <c r="H84" s="998" t="str">
        <f t="shared" si="23"/>
        <v>——</v>
      </c>
      <c r="I84" s="3062">
        <v>0.3</v>
      </c>
      <c r="J84" s="996">
        <f t="shared" si="24"/>
        <v>0</v>
      </c>
      <c r="K84" s="996">
        <f t="shared" si="25"/>
        <v>0</v>
      </c>
      <c r="L84" s="996">
        <v>0</v>
      </c>
      <c r="M84" s="996">
        <f t="shared" si="26"/>
        <v>0</v>
      </c>
      <c r="N84" s="996">
        <f t="shared" si="26"/>
        <v>0</v>
      </c>
      <c r="Z84" s="1838"/>
      <c r="AA84" s="1888"/>
      <c r="AG84" s="1053"/>
      <c r="AK84" s="1888"/>
    </row>
    <row r="85" spans="1:37" ht="48">
      <c r="A85" s="3064" t="s">
        <v>3272</v>
      </c>
      <c r="B85" s="1257">
        <f>估价对象房地状况!G17</f>
        <v>0</v>
      </c>
      <c r="C85" s="1880"/>
      <c r="D85" s="997">
        <f t="shared" si="22"/>
        <v>0</v>
      </c>
      <c r="E85" s="700"/>
      <c r="F85" s="1670"/>
      <c r="G85" s="995"/>
      <c r="H85" s="998" t="str">
        <f t="shared" si="23"/>
        <v>——</v>
      </c>
      <c r="I85" s="3062">
        <v>0.1</v>
      </c>
      <c r="J85" s="996">
        <f t="shared" si="24"/>
        <v>0</v>
      </c>
      <c r="K85" s="996">
        <f t="shared" si="25"/>
        <v>0</v>
      </c>
      <c r="L85" s="996">
        <v>0</v>
      </c>
      <c r="M85" s="996">
        <f t="shared" si="26"/>
        <v>0</v>
      </c>
      <c r="N85" s="996">
        <f t="shared" si="26"/>
        <v>0</v>
      </c>
      <c r="Z85" s="1838"/>
      <c r="AA85" s="1888"/>
      <c r="AG85" s="1053"/>
      <c r="AK85" s="1888"/>
    </row>
    <row r="86" spans="1:37" ht="13.8">
      <c r="A86" s="1963" t="s">
        <v>2067</v>
      </c>
      <c r="B86" s="1257">
        <f>估价对象房地状况!G22</f>
        <v>0</v>
      </c>
      <c r="C86" s="1880"/>
      <c r="D86" s="997">
        <f t="shared" si="22"/>
        <v>0</v>
      </c>
      <c r="E86" s="700"/>
      <c r="F86" s="1670"/>
      <c r="G86" s="995"/>
      <c r="H86" s="998" t="str">
        <f t="shared" si="23"/>
        <v>——</v>
      </c>
      <c r="I86" s="3062">
        <v>0.05</v>
      </c>
      <c r="J86" s="996">
        <f t="shared" si="24"/>
        <v>0</v>
      </c>
      <c r="K86" s="996">
        <f t="shared" si="25"/>
        <v>0</v>
      </c>
      <c r="L86" s="996">
        <v>0</v>
      </c>
      <c r="M86" s="996">
        <f t="shared" si="26"/>
        <v>0</v>
      </c>
      <c r="N86" s="996">
        <f t="shared" si="26"/>
        <v>0</v>
      </c>
      <c r="Z86" s="1838"/>
      <c r="AA86" s="1888"/>
      <c r="AG86" s="1053"/>
      <c r="AK86" s="1888"/>
    </row>
    <row r="87" spans="1:37" ht="26.4">
      <c r="A87" s="1963" t="s">
        <v>2059</v>
      </c>
      <c r="B87" s="1235" t="str">
        <f>估价对象房地状况!G19</f>
        <v>估价对象所在区域公共配套设施齐备情况</v>
      </c>
      <c r="C87" s="1880"/>
      <c r="D87" s="997">
        <f t="shared" si="22"/>
        <v>0</v>
      </c>
      <c r="E87" s="700"/>
      <c r="F87" s="1670"/>
      <c r="G87" s="995"/>
      <c r="H87" s="998" t="str">
        <f t="shared" si="23"/>
        <v>——</v>
      </c>
      <c r="I87" s="3062">
        <v>0.06</v>
      </c>
      <c r="J87" s="996">
        <f t="shared" si="24"/>
        <v>0</v>
      </c>
      <c r="K87" s="996">
        <f t="shared" si="25"/>
        <v>0</v>
      </c>
      <c r="L87" s="996">
        <v>0</v>
      </c>
      <c r="M87" s="996">
        <f t="shared" si="26"/>
        <v>0</v>
      </c>
      <c r="N87" s="996">
        <f t="shared" si="26"/>
        <v>0</v>
      </c>
    </row>
    <row r="88" spans="1:37" ht="26.4">
      <c r="A88" s="1963" t="s">
        <v>2060</v>
      </c>
      <c r="B88" s="1235" t="str">
        <f>估价对象房地状况!G20</f>
        <v>估价对象所在区域基础设施水平</v>
      </c>
      <c r="C88" s="1880"/>
      <c r="D88" s="997">
        <f t="shared" si="22"/>
        <v>0</v>
      </c>
      <c r="E88" s="700"/>
      <c r="F88" s="1670"/>
      <c r="G88" s="995"/>
      <c r="H88" s="998" t="str">
        <f t="shared" si="23"/>
        <v>——</v>
      </c>
      <c r="I88" s="3062">
        <v>0.12</v>
      </c>
      <c r="J88" s="996">
        <f t="shared" si="24"/>
        <v>0</v>
      </c>
      <c r="K88" s="996">
        <f t="shared" si="25"/>
        <v>0</v>
      </c>
      <c r="L88" s="996">
        <v>0</v>
      </c>
      <c r="M88" s="996">
        <f t="shared" si="26"/>
        <v>0</v>
      </c>
      <c r="N88" s="996">
        <f t="shared" si="26"/>
        <v>0</v>
      </c>
    </row>
    <row r="89" spans="1:37" ht="36">
      <c r="A89" s="1963" t="s">
        <v>2057</v>
      </c>
      <c r="B89" s="1968" t="s">
        <v>2071</v>
      </c>
      <c r="C89" s="1880"/>
      <c r="D89" s="997">
        <f t="shared" si="22"/>
        <v>0</v>
      </c>
      <c r="E89" s="700"/>
      <c r="F89" s="1670"/>
      <c r="G89" s="995"/>
      <c r="H89" s="998" t="str">
        <f t="shared" si="23"/>
        <v>——</v>
      </c>
      <c r="I89" s="3062">
        <v>0.06</v>
      </c>
      <c r="J89" s="996">
        <f t="shared" si="24"/>
        <v>0</v>
      </c>
      <c r="K89" s="996">
        <f t="shared" si="25"/>
        <v>0</v>
      </c>
      <c r="L89" s="996">
        <v>0</v>
      </c>
      <c r="M89" s="996">
        <f t="shared" si="26"/>
        <v>0</v>
      </c>
      <c r="N89" s="996">
        <f t="shared" si="26"/>
        <v>0</v>
      </c>
    </row>
    <row r="90" spans="1:37" ht="40.200000000000003" thickBot="1">
      <c r="A90" s="1970" t="s">
        <v>2072</v>
      </c>
      <c r="B90" s="1975" t="str">
        <f>估价对象房地状况!G18</f>
        <v>该园区内是否有污染型企业，绿化情况，卫生条件，整体环境状况判断</v>
      </c>
      <c r="C90" s="1880"/>
      <c r="D90" s="997">
        <f t="shared" si="22"/>
        <v>0</v>
      </c>
      <c r="E90" s="701"/>
      <c r="F90" s="1670"/>
      <c r="G90" s="995"/>
      <c r="H90" s="998" t="str">
        <f t="shared" si="23"/>
        <v>——</v>
      </c>
      <c r="I90" s="3063">
        <v>0.05</v>
      </c>
      <c r="J90" s="996">
        <f t="shared" si="24"/>
        <v>0</v>
      </c>
      <c r="K90" s="996">
        <f t="shared" si="25"/>
        <v>0</v>
      </c>
      <c r="L90" s="996">
        <v>0</v>
      </c>
      <c r="M90" s="996">
        <f t="shared" si="26"/>
        <v>0</v>
      </c>
      <c r="N90" s="996">
        <f t="shared" si="26"/>
        <v>0</v>
      </c>
    </row>
    <row r="91" spans="1:37" ht="13.8">
      <c r="A91" s="3072" t="s">
        <v>2608</v>
      </c>
      <c r="B91" s="3073">
        <f>1+E93</f>
        <v>1</v>
      </c>
      <c r="C91" s="3066"/>
      <c r="D91" s="3067"/>
      <c r="E91" s="1670"/>
      <c r="F91" s="1670"/>
      <c r="G91" s="3068"/>
      <c r="H91" s="3069"/>
      <c r="I91" s="3070"/>
      <c r="J91" s="3071"/>
      <c r="K91" s="3071"/>
      <c r="L91" s="3071"/>
      <c r="M91" s="3071"/>
      <c r="N91" s="3071"/>
    </row>
    <row r="92" spans="1:37" ht="25.2">
      <c r="A92" s="3074" t="s">
        <v>3273</v>
      </c>
      <c r="B92" s="2302"/>
      <c r="C92" s="2302" t="s">
        <v>3282</v>
      </c>
      <c r="D92" s="2302" t="s">
        <v>3283</v>
      </c>
      <c r="E92" s="3046" t="s">
        <v>3284</v>
      </c>
      <c r="F92" s="3076" t="s">
        <v>3285</v>
      </c>
      <c r="G92" s="2302" t="s">
        <v>3286</v>
      </c>
      <c r="H92" s="3083" t="s">
        <v>3289</v>
      </c>
      <c r="I92" s="2302" t="s">
        <v>3290</v>
      </c>
      <c r="J92" s="2143" t="s">
        <v>3291</v>
      </c>
      <c r="K92" s="2143" t="s">
        <v>3292</v>
      </c>
      <c r="L92" s="2143" t="s">
        <v>3293</v>
      </c>
      <c r="M92" s="2143" t="s">
        <v>3294</v>
      </c>
      <c r="N92" s="2143" t="s">
        <v>3295</v>
      </c>
    </row>
    <row r="93" spans="1:37" ht="24">
      <c r="A93" s="3064" t="s">
        <v>3274</v>
      </c>
      <c r="B93" s="1216"/>
      <c r="C93" s="1880"/>
      <c r="D93" s="2302">
        <f>SUMIF($J$92:$N$92,C93,J93:N93)</f>
        <v>0</v>
      </c>
      <c r="E93" s="3077">
        <f>ROUND(SUM(D93:D101),4)</f>
        <v>0</v>
      </c>
      <c r="F93" s="1670" t="str">
        <f>IF(E2="公共服务",SUMIF(L1:L12,G2,N1:N12),"——")</f>
        <v>——</v>
      </c>
      <c r="G93" s="3068"/>
      <c r="H93" s="3113" t="str">
        <f>IFERROR(ROUNDDOWN($F$93*I93/2,4),"——")</f>
        <v>——</v>
      </c>
      <c r="I93" s="3062">
        <v>0.25</v>
      </c>
      <c r="J93" s="1905">
        <f t="shared" ref="J93:J101" si="27">K93+$G93</f>
        <v>0</v>
      </c>
      <c r="K93" s="1905">
        <f t="shared" ref="K93:K101" si="28">$L93+$G93</f>
        <v>0</v>
      </c>
      <c r="L93" s="1905">
        <v>0</v>
      </c>
      <c r="M93" s="1905">
        <f t="shared" ref="M93:N101" si="29">L93-$G93</f>
        <v>0</v>
      </c>
      <c r="N93" s="1905">
        <f t="shared" si="29"/>
        <v>0</v>
      </c>
    </row>
    <row r="94" spans="1:37" ht="24">
      <c r="A94" s="3074" t="s">
        <v>3275</v>
      </c>
      <c r="B94" s="3065" t="str">
        <f>估价对象房地状况!C18</f>
        <v>一般</v>
      </c>
      <c r="C94" s="1880"/>
      <c r="D94" s="2302">
        <f t="shared" ref="D94:D101" si="30">SUMIF($J$60:$N$60,C94,J94:N94)</f>
        <v>0</v>
      </c>
      <c r="E94" s="3078"/>
      <c r="F94" s="1670"/>
      <c r="G94" s="3068"/>
      <c r="H94" s="3113" t="str">
        <f>IFERROR(ROUNDDOWN($F$93*I94/2,4),"——")</f>
        <v>——</v>
      </c>
      <c r="I94" s="3062">
        <v>0.26</v>
      </c>
      <c r="J94" s="1905">
        <f t="shared" si="27"/>
        <v>0</v>
      </c>
      <c r="K94" s="1905">
        <f t="shared" si="28"/>
        <v>0</v>
      </c>
      <c r="L94" s="1905">
        <v>0</v>
      </c>
      <c r="M94" s="1905">
        <f t="shared" si="29"/>
        <v>0</v>
      </c>
      <c r="N94" s="1905">
        <f t="shared" si="29"/>
        <v>0</v>
      </c>
    </row>
    <row r="95" spans="1:37" ht="48">
      <c r="A95" s="3064" t="s">
        <v>3271</v>
      </c>
      <c r="B95" s="3065">
        <f>估价对象房地状况!C19</f>
        <v>0</v>
      </c>
      <c r="C95" s="1880"/>
      <c r="D95" s="2302">
        <f t="shared" si="30"/>
        <v>0</v>
      </c>
      <c r="E95" s="3078"/>
      <c r="F95" s="1670"/>
      <c r="G95" s="3068"/>
      <c r="H95" s="3113" t="str">
        <f t="shared" ref="H95:H101" si="31">IFERROR(ROUNDDOWN($F$93*I95/2,4),"——")</f>
        <v>——</v>
      </c>
      <c r="I95" s="3062">
        <v>0.11</v>
      </c>
      <c r="J95" s="1905">
        <f t="shared" si="27"/>
        <v>0</v>
      </c>
      <c r="K95" s="1905">
        <f t="shared" si="28"/>
        <v>0</v>
      </c>
      <c r="L95" s="1905">
        <v>0</v>
      </c>
      <c r="M95" s="1905">
        <f t="shared" si="29"/>
        <v>0</v>
      </c>
      <c r="N95" s="1905">
        <f t="shared" si="29"/>
        <v>0</v>
      </c>
    </row>
    <row r="96" spans="1:37" ht="37.200000000000003">
      <c r="A96" s="3074" t="s">
        <v>3276</v>
      </c>
      <c r="B96" s="3080" t="s">
        <v>3287</v>
      </c>
      <c r="C96" s="1880"/>
      <c r="D96" s="2302">
        <f t="shared" si="30"/>
        <v>0</v>
      </c>
      <c r="E96" s="3078"/>
      <c r="F96" s="1670"/>
      <c r="G96" s="3068"/>
      <c r="H96" s="3113" t="str">
        <f t="shared" si="31"/>
        <v>——</v>
      </c>
      <c r="I96" s="3062">
        <v>0.05</v>
      </c>
      <c r="J96" s="1905">
        <f t="shared" si="27"/>
        <v>0</v>
      </c>
      <c r="K96" s="1905">
        <f t="shared" si="28"/>
        <v>0</v>
      </c>
      <c r="L96" s="1905">
        <v>0</v>
      </c>
      <c r="M96" s="1905">
        <f t="shared" si="29"/>
        <v>0</v>
      </c>
      <c r="N96" s="1905">
        <f t="shared" si="29"/>
        <v>0</v>
      </c>
    </row>
    <row r="97" spans="1:14" ht="24">
      <c r="A97" s="3074" t="s">
        <v>3277</v>
      </c>
      <c r="B97" s="3065">
        <f>估价对象房地状况!C24</f>
        <v>0</v>
      </c>
      <c r="C97" s="1880"/>
      <c r="D97" s="2302">
        <f t="shared" si="30"/>
        <v>0</v>
      </c>
      <c r="E97" s="3078"/>
      <c r="F97" s="1670"/>
      <c r="G97" s="3068"/>
      <c r="H97" s="3113" t="str">
        <f t="shared" si="31"/>
        <v>——</v>
      </c>
      <c r="I97" s="3062">
        <v>0.05</v>
      </c>
      <c r="J97" s="1905">
        <f t="shared" si="27"/>
        <v>0</v>
      </c>
      <c r="K97" s="1905">
        <f t="shared" si="28"/>
        <v>0</v>
      </c>
      <c r="L97" s="1905">
        <v>0</v>
      </c>
      <c r="M97" s="1905">
        <f t="shared" si="29"/>
        <v>0</v>
      </c>
      <c r="N97" s="1905">
        <f t="shared" si="29"/>
        <v>0</v>
      </c>
    </row>
    <row r="98" spans="1:14" ht="36">
      <c r="A98" s="3074" t="s">
        <v>3278</v>
      </c>
      <c r="B98" s="3081" t="s">
        <v>3288</v>
      </c>
      <c r="C98" s="1880"/>
      <c r="D98" s="2302">
        <f t="shared" si="30"/>
        <v>0</v>
      </c>
      <c r="E98" s="3078"/>
      <c r="F98" s="1670"/>
      <c r="G98" s="3068"/>
      <c r="H98" s="3113" t="str">
        <f t="shared" si="31"/>
        <v>——</v>
      </c>
      <c r="I98" s="3062">
        <v>0.06</v>
      </c>
      <c r="J98" s="1905">
        <f t="shared" si="27"/>
        <v>0</v>
      </c>
      <c r="K98" s="1905">
        <f t="shared" si="28"/>
        <v>0</v>
      </c>
      <c r="L98" s="1905">
        <v>0</v>
      </c>
      <c r="M98" s="1905">
        <f t="shared" si="29"/>
        <v>0</v>
      </c>
      <c r="N98" s="1905">
        <f t="shared" si="29"/>
        <v>0</v>
      </c>
    </row>
    <row r="99" spans="1:14" ht="24">
      <c r="A99" s="3074" t="s">
        <v>3279</v>
      </c>
      <c r="B99" s="3065" t="str">
        <f>估价对象房地状况!C21</f>
        <v>较差</v>
      </c>
      <c r="C99" s="1880"/>
      <c r="D99" s="2302">
        <f t="shared" si="30"/>
        <v>0</v>
      </c>
      <c r="E99" s="3078"/>
      <c r="F99" s="1670"/>
      <c r="G99" s="3068"/>
      <c r="H99" s="3113" t="str">
        <f t="shared" si="31"/>
        <v>——</v>
      </c>
      <c r="I99" s="3062">
        <v>0.06</v>
      </c>
      <c r="J99" s="1905">
        <f t="shared" si="27"/>
        <v>0</v>
      </c>
      <c r="K99" s="1905">
        <f t="shared" si="28"/>
        <v>0</v>
      </c>
      <c r="L99" s="1905">
        <v>0</v>
      </c>
      <c r="M99" s="1905">
        <f t="shared" si="29"/>
        <v>0</v>
      </c>
      <c r="N99" s="1905">
        <f t="shared" si="29"/>
        <v>0</v>
      </c>
    </row>
    <row r="100" spans="1:14" ht="24">
      <c r="A100" s="3074" t="s">
        <v>3280</v>
      </c>
      <c r="B100" s="3065" t="str">
        <f>估价对象房地状况!C22</f>
        <v>七通</v>
      </c>
      <c r="C100" s="1880"/>
      <c r="D100" s="2302">
        <f t="shared" si="30"/>
        <v>0</v>
      </c>
      <c r="E100" s="3078"/>
      <c r="F100" s="1670"/>
      <c r="G100" s="3068"/>
      <c r="H100" s="3113" t="str">
        <f t="shared" si="31"/>
        <v>——</v>
      </c>
      <c r="I100" s="3062">
        <v>0.09</v>
      </c>
      <c r="J100" s="1905">
        <f t="shared" si="27"/>
        <v>0</v>
      </c>
      <c r="K100" s="1905">
        <f t="shared" si="28"/>
        <v>0</v>
      </c>
      <c r="L100" s="1905">
        <v>0</v>
      </c>
      <c r="M100" s="1905">
        <f t="shared" si="29"/>
        <v>0</v>
      </c>
      <c r="N100" s="1905">
        <f t="shared" si="29"/>
        <v>0</v>
      </c>
    </row>
    <row r="101" spans="1:14" ht="36.6" thickBot="1">
      <c r="A101" s="3075" t="s">
        <v>3281</v>
      </c>
      <c r="B101" s="3082" t="str">
        <f>估价对象房地状况!C20</f>
        <v>一般</v>
      </c>
      <c r="C101" s="1880"/>
      <c r="D101" s="2302">
        <f t="shared" si="30"/>
        <v>0</v>
      </c>
      <c r="E101" s="3079"/>
      <c r="F101" s="1670"/>
      <c r="G101" s="3068"/>
      <c r="H101" s="3113" t="str">
        <f t="shared" si="31"/>
        <v>——</v>
      </c>
      <c r="I101" s="3063">
        <v>7.0000000000000007E-2</v>
      </c>
      <c r="J101" s="1905">
        <f t="shared" si="27"/>
        <v>0</v>
      </c>
      <c r="K101" s="1905">
        <f t="shared" si="28"/>
        <v>0</v>
      </c>
      <c r="L101" s="1905">
        <v>0</v>
      </c>
      <c r="M101" s="1905">
        <f t="shared" si="29"/>
        <v>0</v>
      </c>
      <c r="N101" s="1905">
        <f t="shared" si="29"/>
        <v>0</v>
      </c>
    </row>
    <row r="103" spans="1:14">
      <c r="A103" s="3524" t="s">
        <v>3296</v>
      </c>
      <c r="B103" s="3524"/>
      <c r="C103" s="3524"/>
      <c r="D103" s="3524"/>
      <c r="E103" s="3524"/>
      <c r="F103" s="3524"/>
      <c r="G103" s="3524"/>
      <c r="H103" s="3524"/>
      <c r="I103" s="3524"/>
      <c r="J103" s="3524"/>
      <c r="K103" s="1662"/>
      <c r="L103" s="1662"/>
      <c r="M103" s="1662"/>
      <c r="N103" s="1662"/>
    </row>
    <row r="104" spans="1:14">
      <c r="A104" s="3525" t="s">
        <v>3297</v>
      </c>
      <c r="B104" s="3525" t="s">
        <v>3298</v>
      </c>
      <c r="C104" s="3084" t="s">
        <v>3299</v>
      </c>
      <c r="D104" s="3085"/>
      <c r="E104" s="3085"/>
      <c r="F104" s="3085"/>
      <c r="G104" s="3085"/>
      <c r="H104" s="3085"/>
      <c r="I104" s="3085"/>
      <c r="J104" s="3086"/>
      <c r="K104" s="3087"/>
      <c r="L104" s="3087"/>
      <c r="M104" s="3087"/>
      <c r="N104" s="3087"/>
    </row>
    <row r="105" spans="1:14">
      <c r="A105" s="3525"/>
      <c r="B105" s="3525"/>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1"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2"/>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3"/>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4" t="s">
        <v>3313</v>
      </c>
      <c r="B113" s="3514"/>
      <c r="C113" s="3514"/>
      <c r="D113" s="3514"/>
      <c r="E113" s="3514"/>
      <c r="F113" s="3514"/>
      <c r="G113" s="3514"/>
      <c r="H113" s="3514"/>
      <c r="I113" s="3514"/>
      <c r="J113" s="3514"/>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8" thickBot="1">
      <c r="A115" s="3091"/>
      <c r="B115" s="3091"/>
      <c r="C115" s="3091"/>
      <c r="D115" s="3091"/>
      <c r="E115" s="3091"/>
      <c r="F115" s="3091"/>
      <c r="G115" s="3091"/>
      <c r="H115" s="3091"/>
      <c r="I115" s="3091"/>
      <c r="J115" s="3091"/>
      <c r="K115" s="1957"/>
      <c r="L115" s="3091"/>
      <c r="M115" s="3091"/>
      <c r="N115" s="3091"/>
    </row>
    <row r="116" spans="1:14" ht="25.8" thickBot="1">
      <c r="A116" s="3092" t="s">
        <v>3314</v>
      </c>
      <c r="B116" s="3108">
        <f>G3</f>
        <v>2.59</v>
      </c>
      <c r="C116" s="3093" t="s">
        <v>3315</v>
      </c>
      <c r="D116" s="3094">
        <f>SUMPRODUCT((A118:A122=F116)*(B117:M117=H116)*B118:M122)</f>
        <v>0.89939999999999998</v>
      </c>
      <c r="E116" s="160" t="s">
        <v>3316</v>
      </c>
      <c r="F116" s="3095" t="str">
        <f>E2</f>
        <v>住宅</v>
      </c>
      <c r="G116" s="160" t="s">
        <v>3317</v>
      </c>
      <c r="H116" s="3095" t="str">
        <f>G2</f>
        <v>六级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0.96830000000000005</v>
      </c>
      <c r="C118" s="3083">
        <f>B118</f>
        <v>0.96830000000000005</v>
      </c>
      <c r="D118" s="3083">
        <f>ROUND(0.949-0.014*B116,4)</f>
        <v>0.91269999999999996</v>
      </c>
      <c r="E118" s="3083">
        <f>D118</f>
        <v>0.91269999999999996</v>
      </c>
      <c r="F118" s="3083">
        <f>E118</f>
        <v>0.91269999999999996</v>
      </c>
      <c r="G118" s="3083">
        <f>F118</f>
        <v>0.91269999999999996</v>
      </c>
      <c r="H118" s="3083">
        <f>G118</f>
        <v>0.91269999999999996</v>
      </c>
      <c r="I118" s="3083">
        <f>ROUND(0.8486-0.018*B116,4)</f>
        <v>0.80200000000000005</v>
      </c>
      <c r="J118" s="3083">
        <f t="shared" ref="J118:M122" si="35">I118</f>
        <v>0.80200000000000005</v>
      </c>
      <c r="K118" s="3083">
        <f t="shared" si="35"/>
        <v>0.80200000000000005</v>
      </c>
      <c r="L118" s="3083">
        <f t="shared" si="35"/>
        <v>0.80200000000000005</v>
      </c>
      <c r="M118" s="3103">
        <f t="shared" si="35"/>
        <v>0.80200000000000005</v>
      </c>
      <c r="N118" s="3091"/>
    </row>
    <row r="119" spans="1:14">
      <c r="A119" s="3051" t="s">
        <v>3331</v>
      </c>
      <c r="B119" s="3083">
        <f>ROUND(0.993-0.0112*B116,4)</f>
        <v>0.96399999999999997</v>
      </c>
      <c r="C119" s="3083">
        <f>B119</f>
        <v>0.96399999999999997</v>
      </c>
      <c r="D119" s="3083">
        <f>ROUND(0.9415-0.0142*B116,4)</f>
        <v>0.90469999999999995</v>
      </c>
      <c r="E119" s="3083">
        <f t="shared" ref="E119:H120" si="36">D119</f>
        <v>0.90469999999999995</v>
      </c>
      <c r="F119" s="3083">
        <f t="shared" si="36"/>
        <v>0.90469999999999995</v>
      </c>
      <c r="G119" s="3083">
        <f t="shared" si="36"/>
        <v>0.90469999999999995</v>
      </c>
      <c r="H119" s="3083">
        <f t="shared" si="36"/>
        <v>0.90469999999999995</v>
      </c>
      <c r="I119" s="3083">
        <f>ROUND(0.838-0.0182*B116,4)</f>
        <v>0.79090000000000005</v>
      </c>
      <c r="J119" s="3083">
        <f t="shared" si="35"/>
        <v>0.79090000000000005</v>
      </c>
      <c r="K119" s="3083">
        <f t="shared" si="35"/>
        <v>0.79090000000000005</v>
      </c>
      <c r="L119" s="3083">
        <f t="shared" si="35"/>
        <v>0.79090000000000005</v>
      </c>
      <c r="M119" s="3103">
        <f t="shared" si="35"/>
        <v>0.79090000000000005</v>
      </c>
      <c r="N119" s="3091"/>
    </row>
    <row r="120" spans="1:14">
      <c r="A120" s="3051" t="s">
        <v>3332</v>
      </c>
      <c r="B120" s="3083">
        <f>ROUND(0.9448-0.0115*B116,4)</f>
        <v>0.91500000000000004</v>
      </c>
      <c r="C120" s="3083">
        <f>B120</f>
        <v>0.91500000000000004</v>
      </c>
      <c r="D120" s="3083">
        <f>ROUND(0.937-0.0145*B116,4)</f>
        <v>0.89939999999999998</v>
      </c>
      <c r="E120" s="3083">
        <f t="shared" si="36"/>
        <v>0.89939999999999998</v>
      </c>
      <c r="F120" s="3083">
        <f t="shared" si="36"/>
        <v>0.89939999999999998</v>
      </c>
      <c r="G120" s="3083">
        <f t="shared" si="36"/>
        <v>0.89939999999999998</v>
      </c>
      <c r="H120" s="3083">
        <f t="shared" si="36"/>
        <v>0.89939999999999998</v>
      </c>
      <c r="I120" s="3083">
        <f>ROUND(0.7965-0.0185*B116,4)</f>
        <v>0.74860000000000004</v>
      </c>
      <c r="J120" s="3083">
        <f t="shared" si="35"/>
        <v>0.74860000000000004</v>
      </c>
      <c r="K120" s="3083">
        <f t="shared" si="35"/>
        <v>0.74860000000000004</v>
      </c>
      <c r="L120" s="3083">
        <f t="shared" si="35"/>
        <v>0.74860000000000004</v>
      </c>
      <c r="M120" s="3103">
        <f t="shared" si="35"/>
        <v>0.74860000000000004</v>
      </c>
      <c r="N120" s="3091"/>
    </row>
    <row r="121" spans="1:14" ht="13.8" thickBot="1">
      <c r="A121" s="3104" t="s">
        <v>3333</v>
      </c>
      <c r="B121" s="3105">
        <f>ROUND(0.7836-0.012*B116,4)</f>
        <v>0.75249999999999995</v>
      </c>
      <c r="C121" s="3105">
        <f>B121</f>
        <v>0.75249999999999995</v>
      </c>
      <c r="D121" s="3105">
        <f>ROUND(0.753-0.015*B116,4)</f>
        <v>0.71419999999999995</v>
      </c>
      <c r="E121" s="3105">
        <f>D121</f>
        <v>0.71419999999999995</v>
      </c>
      <c r="F121" s="3105">
        <f>E121</f>
        <v>0.71419999999999995</v>
      </c>
      <c r="G121" s="3105">
        <f>ROUND(0.6612-0.018*B116,4)</f>
        <v>0.61460000000000004</v>
      </c>
      <c r="H121" s="3105">
        <f>G121</f>
        <v>0.61460000000000004</v>
      </c>
      <c r="I121" s="3105">
        <f>ROUND(0.5905-0.019*B116,4)</f>
        <v>0.5413</v>
      </c>
      <c r="J121" s="3105">
        <f t="shared" si="35"/>
        <v>0.5413</v>
      </c>
      <c r="K121" s="3105">
        <f t="shared" si="35"/>
        <v>0.5413</v>
      </c>
      <c r="L121" s="3105">
        <f t="shared" si="35"/>
        <v>0.5413</v>
      </c>
      <c r="M121" s="3106">
        <f t="shared" si="35"/>
        <v>0.5413</v>
      </c>
      <c r="N121" s="3091"/>
    </row>
    <row r="122" spans="1:14">
      <c r="A122" s="3107" t="s">
        <v>2608</v>
      </c>
      <c r="B122" s="3083">
        <f>ROUND(0.9404-0.0106*B116,4)</f>
        <v>0.91290000000000004</v>
      </c>
      <c r="C122" s="3083">
        <f>B122</f>
        <v>0.91290000000000004</v>
      </c>
      <c r="D122" s="3083">
        <f>ROUND(0.8955-0.0135*B116,4)</f>
        <v>0.86050000000000004</v>
      </c>
      <c r="E122" s="3083">
        <f t="shared" ref="E122:H122" si="37">D122</f>
        <v>0.86050000000000004</v>
      </c>
      <c r="F122" s="3083">
        <f t="shared" si="37"/>
        <v>0.86050000000000004</v>
      </c>
      <c r="G122" s="3083">
        <f t="shared" si="37"/>
        <v>0.86050000000000004</v>
      </c>
      <c r="H122" s="3083">
        <f t="shared" si="37"/>
        <v>0.86050000000000004</v>
      </c>
      <c r="I122" s="3083">
        <f>ROUND(0.7632-0.0166*B116,4)</f>
        <v>0.72019999999999995</v>
      </c>
      <c r="J122" s="3083">
        <f t="shared" si="35"/>
        <v>0.72019999999999995</v>
      </c>
      <c r="K122" s="3083">
        <f t="shared" si="35"/>
        <v>0.72019999999999995</v>
      </c>
      <c r="L122" s="3083">
        <f t="shared" si="35"/>
        <v>0.72019999999999995</v>
      </c>
      <c r="M122" s="3103">
        <f t="shared" si="35"/>
        <v>0.72019999999999995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37" t="s">
        <v>2603</v>
      </c>
      <c r="B20" s="3530" t="s">
        <v>2624</v>
      </c>
      <c r="C20" s="2835" t="s">
        <v>2435</v>
      </c>
      <c r="D20" s="2836"/>
      <c r="E20" s="2837">
        <v>1</v>
      </c>
      <c r="F20" s="2838" t="s">
        <v>2436</v>
      </c>
      <c r="G20" s="2838"/>
    </row>
    <row r="21" spans="1:13" ht="19.5" customHeight="1">
      <c r="A21" s="3538"/>
      <c r="B21" s="3531"/>
      <c r="C21" s="2839" t="s">
        <v>2437</v>
      </c>
      <c r="D21" s="2840"/>
      <c r="E21" s="2841">
        <v>1</v>
      </c>
      <c r="F21" s="2838" t="s">
        <v>2438</v>
      </c>
      <c r="G21" s="2838"/>
    </row>
    <row r="22" spans="1:13" ht="19.5" customHeight="1">
      <c r="A22" s="3538"/>
      <c r="B22" s="3531"/>
      <c r="C22" s="2839" t="s">
        <v>2439</v>
      </c>
      <c r="D22" s="2840"/>
      <c r="E22" s="2841">
        <v>0.9</v>
      </c>
      <c r="F22" s="2838" t="s">
        <v>2440</v>
      </c>
      <c r="G22" s="2838"/>
    </row>
    <row r="23" spans="1:13" ht="19.5" customHeight="1">
      <c r="A23" s="3538"/>
      <c r="B23" s="3531"/>
      <c r="C23" s="2839" t="s">
        <v>2441</v>
      </c>
      <c r="D23" s="2840"/>
      <c r="E23" s="2841">
        <v>0.9</v>
      </c>
      <c r="F23" s="2838" t="s">
        <v>2442</v>
      </c>
      <c r="G23" s="2838"/>
    </row>
    <row r="24" spans="1:13" ht="19.5" customHeight="1">
      <c r="A24" s="3538"/>
      <c r="B24" s="3531"/>
      <c r="C24" s="2839" t="s">
        <v>2443</v>
      </c>
      <c r="D24" s="2840"/>
      <c r="E24" s="2841">
        <v>0.8</v>
      </c>
      <c r="F24" s="2838" t="s">
        <v>2444</v>
      </c>
      <c r="G24" s="2838"/>
    </row>
    <row r="25" spans="1:13" ht="19.5" customHeight="1" thickBot="1">
      <c r="A25" s="3539"/>
      <c r="B25" s="3532"/>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533" t="s">
        <v>2627</v>
      </c>
      <c r="B27" s="3530" t="s">
        <v>2608</v>
      </c>
      <c r="C27" s="2835" t="s">
        <v>2448</v>
      </c>
      <c r="D27" s="2836"/>
      <c r="E27" s="2837">
        <v>1</v>
      </c>
      <c r="F27" s="2838" t="s">
        <v>2449</v>
      </c>
      <c r="G27" s="2838"/>
    </row>
    <row r="28" spans="1:13" ht="19.5" customHeight="1">
      <c r="A28" s="3534"/>
      <c r="B28" s="3531"/>
      <c r="C28" s="2839" t="s">
        <v>2450</v>
      </c>
      <c r="D28" s="2840"/>
      <c r="E28" s="2841">
        <v>1</v>
      </c>
      <c r="F28" s="2838" t="s">
        <v>2451</v>
      </c>
      <c r="G28" s="2838"/>
    </row>
    <row r="29" spans="1:13" ht="19.5" customHeight="1">
      <c r="A29" s="3534"/>
      <c r="B29" s="3531"/>
      <c r="C29" s="2839" t="s">
        <v>2452</v>
      </c>
      <c r="D29" s="2840"/>
      <c r="E29" s="2841">
        <v>0.8</v>
      </c>
      <c r="F29" s="2838" t="s">
        <v>2453</v>
      </c>
      <c r="G29" s="2838"/>
    </row>
    <row r="30" spans="1:13" ht="19.5" customHeight="1">
      <c r="A30" s="3534"/>
      <c r="B30" s="3531"/>
      <c r="C30" s="2839" t="s">
        <v>2454</v>
      </c>
      <c r="D30" s="2840"/>
      <c r="E30" s="2841">
        <v>0.8</v>
      </c>
      <c r="F30" s="2838" t="s">
        <v>2455</v>
      </c>
      <c r="G30" s="2838"/>
    </row>
    <row r="31" spans="1:13" ht="19.5" customHeight="1">
      <c r="A31" s="3534"/>
      <c r="B31" s="3531"/>
      <c r="C31" s="2839" t="s">
        <v>2456</v>
      </c>
      <c r="D31" s="2840"/>
      <c r="E31" s="2841">
        <v>0.8</v>
      </c>
      <c r="F31" s="2838" t="s">
        <v>2457</v>
      </c>
      <c r="G31" s="2838"/>
    </row>
    <row r="32" spans="1:13" ht="19.5" customHeight="1">
      <c r="A32" s="3534"/>
      <c r="B32" s="3531"/>
      <c r="C32" s="2839" t="s">
        <v>2458</v>
      </c>
      <c r="D32" s="2840"/>
      <c r="E32" s="2841">
        <v>0.7</v>
      </c>
      <c r="F32" s="2838" t="s">
        <v>2459</v>
      </c>
      <c r="G32" s="2838"/>
    </row>
    <row r="33" spans="1:7" ht="19.5" customHeight="1">
      <c r="A33" s="3534"/>
      <c r="B33" s="3531"/>
      <c r="C33" s="2839" t="s">
        <v>2460</v>
      </c>
      <c r="D33" s="2840"/>
      <c r="E33" s="2841">
        <v>0.8</v>
      </c>
      <c r="F33" s="2838" t="s">
        <v>2461</v>
      </c>
      <c r="G33" s="2838"/>
    </row>
    <row r="34" spans="1:7" ht="19.5" customHeight="1">
      <c r="A34" s="3534"/>
      <c r="B34" s="3531"/>
      <c r="C34" s="2839" t="s">
        <v>2462</v>
      </c>
      <c r="D34" s="2840"/>
      <c r="E34" s="2841">
        <v>0.6</v>
      </c>
      <c r="F34" s="2838" t="s">
        <v>2463</v>
      </c>
      <c r="G34" s="2838"/>
    </row>
    <row r="35" spans="1:7" ht="19.5" customHeight="1">
      <c r="A35" s="3534"/>
      <c r="B35" s="3531"/>
      <c r="C35" s="2839" t="s">
        <v>2464</v>
      </c>
      <c r="D35" s="2840"/>
      <c r="E35" s="2841">
        <v>0.2</v>
      </c>
      <c r="F35" s="2838" t="s">
        <v>2465</v>
      </c>
      <c r="G35" s="2838"/>
    </row>
    <row r="36" spans="1:7" ht="19.5" customHeight="1">
      <c r="A36" s="3534"/>
      <c r="B36" s="3531"/>
      <c r="C36" s="2839" t="s">
        <v>2466</v>
      </c>
      <c r="D36" s="2840"/>
      <c r="E36" s="2841">
        <v>0.2</v>
      </c>
      <c r="F36" s="2838" t="s">
        <v>2467</v>
      </c>
      <c r="G36" s="2838"/>
    </row>
    <row r="37" spans="1:7" ht="19.5" customHeight="1">
      <c r="A37" s="3534"/>
      <c r="B37" s="3536" t="s">
        <v>2628</v>
      </c>
      <c r="C37" s="2839" t="s">
        <v>2468</v>
      </c>
      <c r="D37" s="2840"/>
      <c r="E37" s="2841">
        <v>0.6</v>
      </c>
      <c r="F37" s="2838" t="s">
        <v>2469</v>
      </c>
      <c r="G37" s="2838"/>
    </row>
    <row r="38" spans="1:7" ht="19.5" customHeight="1">
      <c r="A38" s="3534"/>
      <c r="B38" s="3531"/>
      <c r="C38" s="2839" t="s">
        <v>2470</v>
      </c>
      <c r="D38" s="2840"/>
      <c r="E38" s="2841">
        <v>0.6</v>
      </c>
      <c r="F38" s="2838" t="s">
        <v>2471</v>
      </c>
      <c r="G38" s="2838"/>
    </row>
    <row r="39" spans="1:7" ht="19.5" customHeight="1" thickBot="1">
      <c r="A39" s="3535"/>
      <c r="B39" s="3532"/>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537" t="s">
        <v>2606</v>
      </c>
      <c r="B41" s="3530" t="s">
        <v>2630</v>
      </c>
      <c r="C41" s="2835" t="s">
        <v>2475</v>
      </c>
      <c r="D41" s="2836"/>
      <c r="E41" s="2837">
        <v>1</v>
      </c>
      <c r="F41" s="2838" t="s">
        <v>2476</v>
      </c>
      <c r="G41" s="2838"/>
    </row>
    <row r="42" spans="1:7" ht="19.5" customHeight="1">
      <c r="A42" s="3538"/>
      <c r="B42" s="3531"/>
      <c r="C42" s="2839" t="s">
        <v>2477</v>
      </c>
      <c r="D42" s="2840"/>
      <c r="E42" s="2841">
        <v>1</v>
      </c>
      <c r="F42" s="2838" t="s">
        <v>2478</v>
      </c>
      <c r="G42" s="2838"/>
    </row>
    <row r="43" spans="1:7" ht="19.5" customHeight="1">
      <c r="A43" s="3538"/>
      <c r="B43" s="3540"/>
      <c r="C43" s="2839" t="s">
        <v>2479</v>
      </c>
      <c r="D43" s="2840"/>
      <c r="E43" s="2841">
        <v>1.5</v>
      </c>
      <c r="F43" s="2838" t="s">
        <v>2480</v>
      </c>
      <c r="G43" s="2838"/>
    </row>
    <row r="44" spans="1:7" ht="19.5" customHeight="1">
      <c r="A44" s="3538"/>
      <c r="B44" s="2850" t="s">
        <v>2631</v>
      </c>
      <c r="C44" s="2839" t="s">
        <v>2632</v>
      </c>
      <c r="D44" s="2840"/>
      <c r="E44" s="2841">
        <v>2</v>
      </c>
      <c r="F44" s="2838" t="s">
        <v>2481</v>
      </c>
      <c r="G44" s="2838"/>
    </row>
    <row r="45" spans="1:7" ht="19.5" customHeight="1">
      <c r="A45" s="3538"/>
      <c r="B45" s="3536" t="s">
        <v>2633</v>
      </c>
      <c r="C45" s="2839" t="s">
        <v>2482</v>
      </c>
      <c r="D45" s="2840"/>
      <c r="E45" s="2841">
        <v>1</v>
      </c>
      <c r="F45" s="2838" t="s">
        <v>2483</v>
      </c>
      <c r="G45" s="2838"/>
    </row>
    <row r="46" spans="1:7" ht="19.5" customHeight="1">
      <c r="A46" s="3538"/>
      <c r="B46" s="3531"/>
      <c r="C46" s="2839" t="s">
        <v>2484</v>
      </c>
      <c r="D46" s="2840"/>
      <c r="E46" s="2841">
        <v>1</v>
      </c>
      <c r="F46" s="2838" t="s">
        <v>2485</v>
      </c>
      <c r="G46" s="2838"/>
    </row>
    <row r="47" spans="1:7" ht="19.5" customHeight="1">
      <c r="A47" s="3538"/>
      <c r="B47" s="3531"/>
      <c r="C47" s="2839" t="s">
        <v>2486</v>
      </c>
      <c r="D47" s="2840"/>
      <c r="E47" s="2841">
        <v>1</v>
      </c>
      <c r="F47" s="2838" t="s">
        <v>2487</v>
      </c>
      <c r="G47" s="2838"/>
    </row>
    <row r="48" spans="1:7" ht="19.5" customHeight="1">
      <c r="A48" s="3538"/>
      <c r="B48" s="3531"/>
      <c r="C48" s="2839" t="s">
        <v>2488</v>
      </c>
      <c r="D48" s="2840"/>
      <c r="E48" s="2841">
        <v>1</v>
      </c>
      <c r="F48" s="2838" t="s">
        <v>2489</v>
      </c>
      <c r="G48" s="2838"/>
    </row>
    <row r="49" spans="1:7" ht="19.5" customHeight="1">
      <c r="A49" s="3538"/>
      <c r="B49" s="3531"/>
      <c r="C49" s="2839" t="s">
        <v>2490</v>
      </c>
      <c r="D49" s="2840"/>
      <c r="E49" s="2841">
        <v>1</v>
      </c>
      <c r="F49" s="2838" t="s">
        <v>2491</v>
      </c>
      <c r="G49" s="2838"/>
    </row>
    <row r="50" spans="1:7" ht="19.5" customHeight="1">
      <c r="A50" s="3538"/>
      <c r="B50" s="3531"/>
      <c r="C50" s="2839" t="s">
        <v>2492</v>
      </c>
      <c r="D50" s="2840"/>
      <c r="E50" s="2841">
        <v>1</v>
      </c>
      <c r="F50" s="2838" t="s">
        <v>2493</v>
      </c>
      <c r="G50" s="2838"/>
    </row>
    <row r="51" spans="1:7" ht="19.5" customHeight="1" thickBot="1">
      <c r="A51" s="3539"/>
      <c r="B51" s="3532"/>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4.4">
      <c r="A72" s="2850"/>
      <c r="B72" s="2850"/>
      <c r="C72" s="2850" t="s">
        <v>2646</v>
      </c>
      <c r="D72" s="2850"/>
      <c r="E72" s="2850" t="s">
        <v>2617</v>
      </c>
      <c r="F72" s="2850" t="s">
        <v>2617</v>
      </c>
    </row>
    <row r="73" spans="1:7" ht="14.4">
      <c r="A73" s="2850">
        <v>1</v>
      </c>
      <c r="B73" s="3536" t="s">
        <v>2647</v>
      </c>
      <c r="C73" s="2824" t="s">
        <v>2648</v>
      </c>
      <c r="D73" s="2824" t="s">
        <v>2649</v>
      </c>
      <c r="E73" s="2850">
        <v>0.2</v>
      </c>
      <c r="F73" s="2850">
        <v>25</v>
      </c>
    </row>
    <row r="74" spans="1:7" ht="24">
      <c r="A74" s="2850">
        <v>2</v>
      </c>
      <c r="B74" s="3531"/>
      <c r="C74" s="2824" t="s">
        <v>2650</v>
      </c>
      <c r="D74" s="2824" t="s">
        <v>2651</v>
      </c>
      <c r="E74" s="2850">
        <v>0.2</v>
      </c>
      <c r="F74" s="2850">
        <v>25</v>
      </c>
    </row>
    <row r="75" spans="1:7" ht="24">
      <c r="A75" s="2850">
        <v>3</v>
      </c>
      <c r="B75" s="3531"/>
      <c r="C75" s="2824" t="s">
        <v>2652</v>
      </c>
      <c r="D75" s="2824" t="s">
        <v>2653</v>
      </c>
      <c r="E75" s="2850">
        <v>0.2</v>
      </c>
      <c r="F75" s="2850">
        <v>25</v>
      </c>
    </row>
    <row r="76" spans="1:7" ht="14.4">
      <c r="A76" s="2850">
        <v>4</v>
      </c>
      <c r="B76" s="3531"/>
      <c r="C76" s="2824" t="s">
        <v>2654</v>
      </c>
      <c r="D76" s="2824" t="s">
        <v>2655</v>
      </c>
      <c r="E76" s="2850">
        <v>0.15</v>
      </c>
      <c r="F76" s="2850">
        <v>20</v>
      </c>
    </row>
    <row r="77" spans="1:7" ht="24">
      <c r="A77" s="2850">
        <v>5</v>
      </c>
      <c r="B77" s="3531"/>
      <c r="C77" s="2824" t="s">
        <v>2656</v>
      </c>
      <c r="D77" s="2824" t="s">
        <v>2657</v>
      </c>
      <c r="E77" s="2850">
        <v>0.15</v>
      </c>
      <c r="F77" s="2850">
        <v>20</v>
      </c>
    </row>
    <row r="78" spans="1:7" ht="24">
      <c r="A78" s="2850">
        <v>6</v>
      </c>
      <c r="B78" s="3531"/>
      <c r="C78" s="2824" t="s">
        <v>2658</v>
      </c>
      <c r="D78" s="2824" t="s">
        <v>2659</v>
      </c>
      <c r="E78" s="2850">
        <v>0.15</v>
      </c>
      <c r="F78" s="2850">
        <v>20</v>
      </c>
    </row>
    <row r="79" spans="1:7" ht="24">
      <c r="A79" s="2850">
        <v>7</v>
      </c>
      <c r="B79" s="3531"/>
      <c r="C79" s="2824" t="s">
        <v>2660</v>
      </c>
      <c r="D79" s="2824" t="s">
        <v>2661</v>
      </c>
      <c r="E79" s="2850">
        <v>0.15</v>
      </c>
      <c r="F79" s="2850">
        <v>20</v>
      </c>
    </row>
    <row r="80" spans="1:7" ht="24">
      <c r="A80" s="2850">
        <v>8</v>
      </c>
      <c r="B80" s="3531"/>
      <c r="C80" s="2824" t="s">
        <v>2662</v>
      </c>
      <c r="D80" s="2824" t="s">
        <v>2663</v>
      </c>
      <c r="E80" s="2850">
        <v>0.1</v>
      </c>
      <c r="F80" s="2850">
        <v>15</v>
      </c>
    </row>
    <row r="81" spans="1:6" ht="24">
      <c r="A81" s="2850">
        <v>9</v>
      </c>
      <c r="B81" s="3531"/>
      <c r="C81" s="2824" t="s">
        <v>2664</v>
      </c>
      <c r="D81" s="2824" t="s">
        <v>2665</v>
      </c>
      <c r="E81" s="2850">
        <v>0.1</v>
      </c>
      <c r="F81" s="2850">
        <v>15</v>
      </c>
    </row>
    <row r="82" spans="1:6" ht="24">
      <c r="A82" s="2850">
        <v>10</v>
      </c>
      <c r="B82" s="3531"/>
      <c r="C82" s="2824" t="s">
        <v>2666</v>
      </c>
      <c r="D82" s="2824" t="s">
        <v>2667</v>
      </c>
      <c r="E82" s="2850">
        <v>0.1</v>
      </c>
      <c r="F82" s="2850">
        <v>15</v>
      </c>
    </row>
    <row r="83" spans="1:6" ht="24">
      <c r="A83" s="2850">
        <v>11</v>
      </c>
      <c r="B83" s="3531"/>
      <c r="C83" s="2824" t="s">
        <v>2668</v>
      </c>
      <c r="D83" s="2824" t="s">
        <v>2669</v>
      </c>
      <c r="E83" s="2850">
        <v>0.1</v>
      </c>
      <c r="F83" s="2850">
        <v>15</v>
      </c>
    </row>
    <row r="84" spans="1:6" ht="24">
      <c r="A84" s="2850">
        <v>12</v>
      </c>
      <c r="B84" s="3531"/>
      <c r="C84" s="2824" t="s">
        <v>2670</v>
      </c>
      <c r="D84" s="2824" t="s">
        <v>2671</v>
      </c>
      <c r="E84" s="2850">
        <v>0.1</v>
      </c>
      <c r="F84" s="2850">
        <v>15</v>
      </c>
    </row>
    <row r="85" spans="1:6" ht="24">
      <c r="A85" s="2850">
        <v>13</v>
      </c>
      <c r="B85" s="3531"/>
      <c r="C85" s="2824" t="s">
        <v>2672</v>
      </c>
      <c r="D85" s="2824" t="s">
        <v>2673</v>
      </c>
      <c r="E85" s="2850">
        <v>0.1</v>
      </c>
      <c r="F85" s="2850">
        <v>15</v>
      </c>
    </row>
    <row r="86" spans="1:6" ht="24">
      <c r="A86" s="2850">
        <v>14</v>
      </c>
      <c r="B86" s="3531"/>
      <c r="C86" s="2824" t="s">
        <v>2674</v>
      </c>
      <c r="D86" s="2824" t="s">
        <v>2675</v>
      </c>
      <c r="E86" s="2850">
        <v>0.1</v>
      </c>
      <c r="F86" s="2850">
        <v>15</v>
      </c>
    </row>
    <row r="87" spans="1:6" ht="24">
      <c r="A87" s="2850">
        <v>15</v>
      </c>
      <c r="B87" s="3531"/>
      <c r="C87" s="2824" t="s">
        <v>2676</v>
      </c>
      <c r="D87" s="2824" t="s">
        <v>2677</v>
      </c>
      <c r="E87" s="2850">
        <v>0.1</v>
      </c>
      <c r="F87" s="2850">
        <v>15</v>
      </c>
    </row>
    <row r="88" spans="1:6" ht="24">
      <c r="A88" s="2850">
        <v>16</v>
      </c>
      <c r="B88" s="3531"/>
      <c r="C88" s="2824" t="s">
        <v>2678</v>
      </c>
      <c r="D88" s="2824" t="s">
        <v>2679</v>
      </c>
      <c r="E88" s="2850">
        <v>0.1</v>
      </c>
      <c r="F88" s="2850">
        <v>15</v>
      </c>
    </row>
    <row r="89" spans="1:6" ht="24">
      <c r="A89" s="2850">
        <v>17</v>
      </c>
      <c r="B89" s="3540"/>
      <c r="C89" s="2824" t="s">
        <v>2680</v>
      </c>
      <c r="D89" s="2824" t="s">
        <v>2681</v>
      </c>
      <c r="E89" s="2850">
        <v>0.1</v>
      </c>
      <c r="F89" s="2850">
        <v>15</v>
      </c>
    </row>
    <row r="90" spans="1:6" ht="14.4">
      <c r="A90" s="2850">
        <v>18</v>
      </c>
      <c r="B90" s="3536" t="s">
        <v>2682</v>
      </c>
      <c r="C90" s="2824" t="s">
        <v>2683</v>
      </c>
      <c r="D90" s="2824" t="s">
        <v>2684</v>
      </c>
      <c r="E90" s="2850">
        <v>0.2</v>
      </c>
      <c r="F90" s="2850">
        <v>25</v>
      </c>
    </row>
    <row r="91" spans="1:6" ht="24">
      <c r="A91" s="2850">
        <v>19</v>
      </c>
      <c r="B91" s="3531"/>
      <c r="C91" s="2824" t="s">
        <v>2685</v>
      </c>
      <c r="D91" s="2824" t="s">
        <v>2686</v>
      </c>
      <c r="E91" s="2850">
        <v>0.2</v>
      </c>
      <c r="F91" s="2850">
        <v>25</v>
      </c>
    </row>
    <row r="92" spans="1:6" ht="14.4">
      <c r="A92" s="2850">
        <v>20</v>
      </c>
      <c r="B92" s="3531"/>
      <c r="C92" s="2824" t="s">
        <v>2687</v>
      </c>
      <c r="D92" s="2824" t="s">
        <v>2688</v>
      </c>
      <c r="E92" s="2850">
        <v>0.15</v>
      </c>
      <c r="F92" s="2850">
        <v>20</v>
      </c>
    </row>
    <row r="93" spans="1:6" ht="24">
      <c r="A93" s="2850">
        <v>21</v>
      </c>
      <c r="B93" s="3531"/>
      <c r="C93" s="2824" t="s">
        <v>2689</v>
      </c>
      <c r="D93" s="2824" t="s">
        <v>2690</v>
      </c>
      <c r="E93" s="2850">
        <v>0.15</v>
      </c>
      <c r="F93" s="2850">
        <v>20</v>
      </c>
    </row>
    <row r="94" spans="1:6" ht="24">
      <c r="A94" s="2850">
        <v>22</v>
      </c>
      <c r="B94" s="3531"/>
      <c r="C94" s="2824" t="s">
        <v>2691</v>
      </c>
      <c r="D94" s="2824" t="s">
        <v>2692</v>
      </c>
      <c r="E94" s="2850">
        <v>0.15</v>
      </c>
      <c r="F94" s="2850">
        <v>20</v>
      </c>
    </row>
    <row r="95" spans="1:6" ht="36">
      <c r="A95" s="2850">
        <v>23</v>
      </c>
      <c r="B95" s="3531"/>
      <c r="C95" s="2824" t="s">
        <v>2693</v>
      </c>
      <c r="D95" s="2824" t="s">
        <v>2694</v>
      </c>
      <c r="E95" s="2850">
        <v>0.15</v>
      </c>
      <c r="F95" s="2850">
        <v>20</v>
      </c>
    </row>
    <row r="96" spans="1:6" ht="24">
      <c r="A96" s="2850">
        <v>24</v>
      </c>
      <c r="B96" s="3531"/>
      <c r="C96" s="2824" t="s">
        <v>2695</v>
      </c>
      <c r="D96" s="2824" t="s">
        <v>2696</v>
      </c>
      <c r="E96" s="2850">
        <v>0.1</v>
      </c>
      <c r="F96" s="2850">
        <v>15</v>
      </c>
    </row>
    <row r="97" spans="1:6" ht="24">
      <c r="A97" s="2850">
        <v>25</v>
      </c>
      <c r="B97" s="3531"/>
      <c r="C97" s="2824" t="s">
        <v>2697</v>
      </c>
      <c r="D97" s="2824" t="s">
        <v>2698</v>
      </c>
      <c r="E97" s="2850">
        <v>0.1</v>
      </c>
      <c r="F97" s="2850">
        <v>15</v>
      </c>
    </row>
    <row r="98" spans="1:6" ht="24">
      <c r="A98" s="2850">
        <v>26</v>
      </c>
      <c r="B98" s="3531"/>
      <c r="C98" s="2824" t="s">
        <v>2699</v>
      </c>
      <c r="D98" s="2824" t="s">
        <v>2700</v>
      </c>
      <c r="E98" s="2850">
        <v>0.1</v>
      </c>
      <c r="F98" s="2850">
        <v>15</v>
      </c>
    </row>
    <row r="99" spans="1:6" ht="24">
      <c r="A99" s="2850">
        <v>27</v>
      </c>
      <c r="B99" s="3531"/>
      <c r="C99" s="2824" t="s">
        <v>2701</v>
      </c>
      <c r="D99" s="2824" t="s">
        <v>2702</v>
      </c>
      <c r="E99" s="2850">
        <v>0.1</v>
      </c>
      <c r="F99" s="2850">
        <v>15</v>
      </c>
    </row>
    <row r="100" spans="1:6" ht="24">
      <c r="A100" s="2850">
        <v>28</v>
      </c>
      <c r="B100" s="3531"/>
      <c r="C100" s="2824" t="s">
        <v>2703</v>
      </c>
      <c r="D100" s="2824" t="s">
        <v>2704</v>
      </c>
      <c r="E100" s="2850">
        <v>0.1</v>
      </c>
      <c r="F100" s="2850">
        <v>15</v>
      </c>
    </row>
    <row r="101" spans="1:6" ht="24">
      <c r="A101" s="2850">
        <v>29</v>
      </c>
      <c r="B101" s="3531"/>
      <c r="C101" s="2824" t="s">
        <v>2705</v>
      </c>
      <c r="D101" s="2824" t="s">
        <v>2706</v>
      </c>
      <c r="E101" s="2850">
        <v>0.1</v>
      </c>
      <c r="F101" s="2850">
        <v>15</v>
      </c>
    </row>
    <row r="102" spans="1:6" ht="24">
      <c r="A102" s="2850">
        <v>30</v>
      </c>
      <c r="B102" s="3531"/>
      <c r="C102" s="2824" t="s">
        <v>2707</v>
      </c>
      <c r="D102" s="2824" t="s">
        <v>2708</v>
      </c>
      <c r="E102" s="2850">
        <v>0.1</v>
      </c>
      <c r="F102" s="2850">
        <v>15</v>
      </c>
    </row>
    <row r="103" spans="1:6" ht="24">
      <c r="A103" s="2850">
        <v>31</v>
      </c>
      <c r="B103" s="3531"/>
      <c r="C103" s="2824" t="s">
        <v>2709</v>
      </c>
      <c r="D103" s="2824" t="s">
        <v>2710</v>
      </c>
      <c r="E103" s="2850">
        <v>0.1</v>
      </c>
      <c r="F103" s="2850">
        <v>15</v>
      </c>
    </row>
    <row r="104" spans="1:6" ht="24">
      <c r="A104" s="2850">
        <v>32</v>
      </c>
      <c r="B104" s="3531"/>
      <c r="C104" s="2824" t="s">
        <v>2711</v>
      </c>
      <c r="D104" s="2824" t="s">
        <v>2712</v>
      </c>
      <c r="E104" s="2850">
        <v>0.1</v>
      </c>
      <c r="F104" s="2850">
        <v>15</v>
      </c>
    </row>
    <row r="105" spans="1:6" ht="24">
      <c r="A105" s="2850">
        <v>33</v>
      </c>
      <c r="B105" s="3531"/>
      <c r="C105" s="2824" t="s">
        <v>2713</v>
      </c>
      <c r="D105" s="2824" t="s">
        <v>2714</v>
      </c>
      <c r="E105" s="2850">
        <v>0.1</v>
      </c>
      <c r="F105" s="2850">
        <v>15</v>
      </c>
    </row>
    <row r="106" spans="1:6" ht="24">
      <c r="A106" s="2850">
        <v>34</v>
      </c>
      <c r="B106" s="3540"/>
      <c r="C106" s="2824" t="s">
        <v>2715</v>
      </c>
      <c r="D106" s="2824" t="s">
        <v>2716</v>
      </c>
      <c r="E106" s="2850">
        <v>0.1</v>
      </c>
      <c r="F106" s="2850">
        <v>15</v>
      </c>
    </row>
    <row r="107" spans="1:6" ht="36">
      <c r="A107" s="2850">
        <v>35</v>
      </c>
      <c r="B107" s="3536" t="s">
        <v>2717</v>
      </c>
      <c r="C107" s="2850" t="s">
        <v>2718</v>
      </c>
      <c r="D107" s="2824" t="s">
        <v>2719</v>
      </c>
      <c r="E107" s="2850">
        <v>0.15</v>
      </c>
      <c r="F107" s="2850">
        <v>20</v>
      </c>
    </row>
    <row r="108" spans="1:6" ht="24">
      <c r="A108" s="2850">
        <v>36</v>
      </c>
      <c r="B108" s="3531"/>
      <c r="C108" s="2850" t="s">
        <v>2720</v>
      </c>
      <c r="D108" s="2824" t="s">
        <v>2721</v>
      </c>
      <c r="E108" s="2850">
        <v>0.15</v>
      </c>
      <c r="F108" s="2850">
        <v>20</v>
      </c>
    </row>
    <row r="109" spans="1:6" ht="24">
      <c r="A109" s="2850">
        <v>37</v>
      </c>
      <c r="B109" s="3531"/>
      <c r="C109" s="2850" t="s">
        <v>2722</v>
      </c>
      <c r="D109" s="2824" t="s">
        <v>2723</v>
      </c>
      <c r="E109" s="2850">
        <v>0.15</v>
      </c>
      <c r="F109" s="2850">
        <v>20</v>
      </c>
    </row>
    <row r="110" spans="1:6" ht="24">
      <c r="A110" s="2850">
        <v>38</v>
      </c>
      <c r="B110" s="3531"/>
      <c r="C110" s="2850" t="s">
        <v>2724</v>
      </c>
      <c r="D110" s="2824" t="s">
        <v>2725</v>
      </c>
      <c r="E110" s="2850">
        <v>0.1</v>
      </c>
      <c r="F110" s="2850">
        <v>15</v>
      </c>
    </row>
    <row r="111" spans="1:6" ht="24">
      <c r="A111" s="2850">
        <v>39</v>
      </c>
      <c r="B111" s="3531"/>
      <c r="C111" s="2850" t="s">
        <v>2726</v>
      </c>
      <c r="D111" s="2824" t="s">
        <v>2727</v>
      </c>
      <c r="E111" s="2850">
        <v>0.1</v>
      </c>
      <c r="F111" s="2850">
        <v>15</v>
      </c>
    </row>
    <row r="112" spans="1:6" ht="24">
      <c r="A112" s="2850">
        <v>40</v>
      </c>
      <c r="B112" s="3540"/>
      <c r="C112" s="2850" t="s">
        <v>2728</v>
      </c>
      <c r="D112" s="2824" t="s">
        <v>2729</v>
      </c>
      <c r="E112" s="2850">
        <v>0.1</v>
      </c>
      <c r="F112" s="2850">
        <v>15</v>
      </c>
    </row>
    <row r="113" spans="1:6" ht="24">
      <c r="A113" s="2850">
        <v>41</v>
      </c>
      <c r="B113" s="3541" t="s">
        <v>2730</v>
      </c>
      <c r="C113" s="2850" t="s">
        <v>2731</v>
      </c>
      <c r="D113" s="2824" t="s">
        <v>2732</v>
      </c>
      <c r="E113" s="2850">
        <v>0.1</v>
      </c>
      <c r="F113" s="2850">
        <v>15</v>
      </c>
    </row>
    <row r="114" spans="1:6" ht="24">
      <c r="A114" s="2850">
        <v>42</v>
      </c>
      <c r="B114" s="3541"/>
      <c r="C114" s="2850" t="s">
        <v>2733</v>
      </c>
      <c r="D114" s="2824" t="s">
        <v>2734</v>
      </c>
      <c r="E114" s="2850">
        <v>0.1</v>
      </c>
      <c r="F114" s="2850">
        <v>15</v>
      </c>
    </row>
    <row r="115" spans="1:6" ht="24">
      <c r="A115" s="2850">
        <v>43</v>
      </c>
      <c r="B115" s="3541"/>
      <c r="C115" s="2850" t="s">
        <v>2735</v>
      </c>
      <c r="D115" s="2824" t="s">
        <v>2736</v>
      </c>
      <c r="E115" s="2850">
        <v>0.1</v>
      </c>
      <c r="F115" s="2850">
        <v>15</v>
      </c>
    </row>
    <row r="116" spans="1:6" ht="24">
      <c r="A116" s="2850">
        <v>44</v>
      </c>
      <c r="B116" s="3536" t="s">
        <v>2737</v>
      </c>
      <c r="C116" s="2850" t="s">
        <v>2738</v>
      </c>
      <c r="D116" s="2824" t="s">
        <v>2739</v>
      </c>
      <c r="E116" s="2850">
        <v>0.1</v>
      </c>
      <c r="F116" s="2850">
        <v>15</v>
      </c>
    </row>
    <row r="117" spans="1:6" ht="24">
      <c r="A117" s="2850">
        <v>45</v>
      </c>
      <c r="B117" s="3540"/>
      <c r="C117" s="2824" t="s">
        <v>2740</v>
      </c>
      <c r="D117" s="2824" t="s">
        <v>2741</v>
      </c>
      <c r="E117" s="2850">
        <v>0.1</v>
      </c>
      <c r="F117" s="2850">
        <v>15</v>
      </c>
    </row>
    <row r="118" spans="1:6" ht="24">
      <c r="A118" s="2850">
        <v>46</v>
      </c>
      <c r="B118" s="3536" t="s">
        <v>2742</v>
      </c>
      <c r="C118" s="2850" t="s">
        <v>2743</v>
      </c>
      <c r="D118" s="2824" t="s">
        <v>2744</v>
      </c>
      <c r="E118" s="2850">
        <v>0.1</v>
      </c>
      <c r="F118" s="2850">
        <v>15</v>
      </c>
    </row>
    <row r="119" spans="1:6" ht="24">
      <c r="A119" s="2850">
        <v>47</v>
      </c>
      <c r="B119" s="3540"/>
      <c r="C119" s="2850" t="s">
        <v>2745</v>
      </c>
      <c r="D119" s="2824" t="s">
        <v>2746</v>
      </c>
      <c r="E119" s="2850">
        <v>0.1</v>
      </c>
      <c r="F119" s="2850">
        <v>15</v>
      </c>
    </row>
    <row r="120" spans="1:6" ht="24">
      <c r="A120" s="2850">
        <v>48</v>
      </c>
      <c r="B120" s="3536" t="s">
        <v>2747</v>
      </c>
      <c r="C120" s="2850" t="s">
        <v>2748</v>
      </c>
      <c r="D120" s="2824" t="s">
        <v>2749</v>
      </c>
      <c r="E120" s="2850">
        <v>0.1</v>
      </c>
      <c r="F120" s="2850">
        <v>15</v>
      </c>
    </row>
    <row r="121" spans="1:6" ht="24">
      <c r="A121" s="2850">
        <v>49</v>
      </c>
      <c r="B121" s="3540"/>
      <c r="C121" s="2850" t="s">
        <v>2750</v>
      </c>
      <c r="D121" s="2824" t="s">
        <v>2751</v>
      </c>
      <c r="E121" s="2850">
        <v>0.1</v>
      </c>
      <c r="F121" s="2850">
        <v>15</v>
      </c>
    </row>
    <row r="122" spans="1:6" ht="24">
      <c r="A122" s="2850">
        <v>50</v>
      </c>
      <c r="B122" s="3541" t="s">
        <v>2752</v>
      </c>
      <c r="C122" s="2850" t="s">
        <v>2753</v>
      </c>
      <c r="D122" s="2824" t="s">
        <v>2754</v>
      </c>
      <c r="E122" s="2850">
        <v>0.1</v>
      </c>
      <c r="F122" s="2850">
        <v>15</v>
      </c>
    </row>
    <row r="123" spans="1:6" ht="24">
      <c r="A123" s="2850">
        <v>51</v>
      </c>
      <c r="B123" s="3541"/>
      <c r="C123" s="2850" t="s">
        <v>2755</v>
      </c>
      <c r="D123" s="2824" t="s">
        <v>2756</v>
      </c>
      <c r="E123" s="2850">
        <v>0.1</v>
      </c>
      <c r="F123" s="2850">
        <v>15</v>
      </c>
    </row>
    <row r="124" spans="1:6" ht="24">
      <c r="A124" s="2850">
        <v>52</v>
      </c>
      <c r="B124" s="3541" t="s">
        <v>2757</v>
      </c>
      <c r="C124" s="2850" t="s">
        <v>2758</v>
      </c>
      <c r="D124" s="2824" t="s">
        <v>2759</v>
      </c>
      <c r="E124" s="2850">
        <v>0.1</v>
      </c>
      <c r="F124" s="2850">
        <v>15</v>
      </c>
    </row>
    <row r="125" spans="1:6" ht="24">
      <c r="A125" s="2850">
        <v>53</v>
      </c>
      <c r="B125" s="3541"/>
      <c r="C125" s="2850" t="s">
        <v>2760</v>
      </c>
      <c r="D125" s="2824" t="s">
        <v>2761</v>
      </c>
      <c r="E125" s="2850">
        <v>0.1</v>
      </c>
      <c r="F125" s="2850">
        <v>15</v>
      </c>
    </row>
    <row r="126" spans="1:6" ht="24">
      <c r="A126" s="2850">
        <v>54</v>
      </c>
      <c r="B126" s="2850" t="s">
        <v>2762</v>
      </c>
      <c r="C126" s="2850" t="s">
        <v>2763</v>
      </c>
      <c r="D126" s="2824" t="s">
        <v>2764</v>
      </c>
      <c r="E126" s="2850">
        <v>0.1</v>
      </c>
      <c r="F126" s="2850">
        <v>15</v>
      </c>
    </row>
    <row r="127" spans="1:6" ht="24">
      <c r="A127" s="2850">
        <v>55</v>
      </c>
      <c r="B127" s="3541" t="s">
        <v>2765</v>
      </c>
      <c r="C127" s="2850" t="s">
        <v>2766</v>
      </c>
      <c r="D127" s="2824" t="s">
        <v>2767</v>
      </c>
      <c r="E127" s="2850">
        <v>0.1</v>
      </c>
      <c r="F127" s="2850">
        <v>15</v>
      </c>
    </row>
    <row r="128" spans="1:6" ht="24">
      <c r="A128" s="2850">
        <v>56</v>
      </c>
      <c r="B128" s="3541"/>
      <c r="C128" s="2850" t="s">
        <v>2768</v>
      </c>
      <c r="D128" s="2824" t="s">
        <v>2769</v>
      </c>
      <c r="E128" s="2850">
        <v>0.1</v>
      </c>
      <c r="F128" s="2850">
        <v>15</v>
      </c>
    </row>
    <row r="129" spans="1:6" ht="24">
      <c r="A129" s="2850">
        <v>57</v>
      </c>
      <c r="B129" s="3541"/>
      <c r="C129" s="2850" t="s">
        <v>2770</v>
      </c>
      <c r="D129" s="2824" t="s">
        <v>2771</v>
      </c>
      <c r="E129" s="2850">
        <v>0.1</v>
      </c>
      <c r="F129" s="2850">
        <v>15</v>
      </c>
    </row>
    <row r="130" spans="1:6" ht="24">
      <c r="A130" s="2850">
        <v>58</v>
      </c>
      <c r="B130" s="3541" t="s">
        <v>2772</v>
      </c>
      <c r="C130" s="2850" t="s">
        <v>2773</v>
      </c>
      <c r="D130" s="2824" t="s">
        <v>2774</v>
      </c>
      <c r="E130" s="2850">
        <v>0.1</v>
      </c>
      <c r="F130" s="2850">
        <v>15</v>
      </c>
    </row>
    <row r="131" spans="1:6" ht="24">
      <c r="A131" s="2850">
        <v>59</v>
      </c>
      <c r="B131" s="3541"/>
      <c r="C131" s="2850" t="s">
        <v>2775</v>
      </c>
      <c r="D131" s="2824" t="s">
        <v>2776</v>
      </c>
      <c r="E131" s="2850">
        <v>0.1</v>
      </c>
      <c r="F131" s="2850">
        <v>15</v>
      </c>
    </row>
    <row r="132" spans="1:6" ht="24">
      <c r="A132" s="2850">
        <v>60</v>
      </c>
      <c r="B132" s="3536" t="s">
        <v>2777</v>
      </c>
      <c r="C132" s="2850" t="s">
        <v>2778</v>
      </c>
      <c r="D132" s="2824" t="s">
        <v>2779</v>
      </c>
      <c r="E132" s="2850">
        <v>0.1</v>
      </c>
      <c r="F132" s="2850">
        <v>15</v>
      </c>
    </row>
    <row r="133" spans="1:6" ht="24">
      <c r="A133" s="2850">
        <v>61</v>
      </c>
      <c r="B133" s="3540"/>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24">
      <c r="A135" s="2850">
        <v>63</v>
      </c>
      <c r="B135" s="3541" t="s">
        <v>2785</v>
      </c>
      <c r="C135" s="2850" t="s">
        <v>2786</v>
      </c>
      <c r="D135" s="2824" t="s">
        <v>2787</v>
      </c>
      <c r="E135" s="2850">
        <v>0.1</v>
      </c>
      <c r="F135" s="2850">
        <v>15</v>
      </c>
    </row>
    <row r="136" spans="1:6" ht="24">
      <c r="A136" s="2850">
        <v>64</v>
      </c>
      <c r="B136" s="3541"/>
      <c r="C136" s="2850" t="s">
        <v>2788</v>
      </c>
      <c r="D136" s="2824" t="s">
        <v>2789</v>
      </c>
      <c r="E136" s="2850">
        <v>0.1</v>
      </c>
      <c r="F136" s="2850">
        <v>15</v>
      </c>
    </row>
    <row r="137" spans="1:6" ht="24">
      <c r="A137" s="2850">
        <v>65</v>
      </c>
      <c r="B137" s="2850" t="s">
        <v>2790</v>
      </c>
      <c r="C137" s="2850" t="s">
        <v>2791</v>
      </c>
      <c r="D137" s="2824" t="s">
        <v>2792</v>
      </c>
      <c r="E137" s="2850">
        <v>0.1</v>
      </c>
      <c r="F137" s="2850">
        <v>15</v>
      </c>
    </row>
    <row r="138" spans="1:6" ht="14.4">
      <c r="A138" s="2850"/>
      <c r="B138" s="2850"/>
      <c r="C138" s="2850"/>
      <c r="D138" s="2850"/>
      <c r="E138" s="2850" t="s">
        <v>2793</v>
      </c>
      <c r="F138" s="2850"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2794</v>
      </c>
      <c r="B1" s="2858"/>
      <c r="C1" s="2858"/>
      <c r="D1" s="2858"/>
      <c r="E1" s="2858"/>
      <c r="F1" s="2858"/>
      <c r="G1" s="2858"/>
      <c r="H1" s="2858"/>
      <c r="I1" s="2858"/>
      <c r="J1" s="2858"/>
      <c r="K1" s="2858"/>
      <c r="L1" s="2858"/>
      <c r="M1" s="2858"/>
      <c r="N1" s="702"/>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1</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2"/>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2"/>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0.95120000000000005</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50931</v>
      </c>
      <c r="C2" s="2" t="s">
        <v>106</v>
      </c>
      <c r="D2" s="189"/>
      <c r="E2" s="189"/>
      <c r="F2" s="189"/>
      <c r="G2" s="189"/>
    </row>
    <row r="3" spans="1:7" s="190" customFormat="1" ht="18" customHeight="1" thickBot="1">
      <c r="A3" s="193" t="s">
        <v>58</v>
      </c>
      <c r="B3" s="194">
        <f ca="1">ROUND(B2*10000/'数据-汇总表'!E3,0)</f>
        <v>14218</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7" t="s">
        <v>346</v>
      </c>
      <c r="B6" s="205" t="s">
        <v>64</v>
      </c>
      <c r="C6" s="206">
        <v>20000</v>
      </c>
      <c r="D6" s="207"/>
      <c r="E6" s="208"/>
      <c r="F6" s="208"/>
      <c r="G6" s="209"/>
    </row>
    <row r="7" spans="1:7" s="204" customFormat="1" ht="13.5" customHeight="1">
      <c r="A7" s="727" t="s">
        <v>347</v>
      </c>
      <c r="B7" s="205" t="s">
        <v>30</v>
      </c>
      <c r="C7" s="210">
        <f>ROUND(C6*F7,0)</f>
        <v>610</v>
      </c>
      <c r="D7" s="210"/>
      <c r="E7" s="208"/>
      <c r="F7" s="211">
        <f>'数据-取费表'!B48+'数据-取费表'!B49</f>
        <v>3.0499999999999999E-2</v>
      </c>
      <c r="G7" s="209"/>
    </row>
    <row r="8" spans="1:7" s="213" customFormat="1">
      <c r="A8" s="727" t="s">
        <v>348</v>
      </c>
      <c r="B8" s="205" t="s">
        <v>65</v>
      </c>
      <c r="C8" s="210" t="str">
        <f>IF(G8="已包含在土地购买价格中","0",'数据-取费表'!B29)</f>
        <v>0</v>
      </c>
      <c r="D8" s="212"/>
      <c r="E8" s="210"/>
      <c r="F8" s="211"/>
      <c r="G8" s="1" t="s">
        <v>451</v>
      </c>
    </row>
    <row r="9" spans="1:7" s="204" customFormat="1" ht="13.5" customHeight="1">
      <c r="A9" s="728" t="s">
        <v>355</v>
      </c>
      <c r="B9" s="214" t="s">
        <v>66</v>
      </c>
      <c r="C9" s="215">
        <f>ROUND(D9*E9/10000,0)</f>
        <v>360</v>
      </c>
      <c r="D9" s="790">
        <f>'数据-汇总表'!E5</f>
        <v>22498.01</v>
      </c>
      <c r="E9" s="215">
        <f>'数据-取费表'!B27</f>
        <v>160</v>
      </c>
      <c r="F9" s="211"/>
      <c r="G9" s="216"/>
    </row>
    <row r="10" spans="1:7" s="204" customFormat="1" ht="13.5" customHeight="1">
      <c r="A10" s="728" t="s">
        <v>356</v>
      </c>
      <c r="B10" s="214" t="s">
        <v>67</v>
      </c>
      <c r="C10" s="215">
        <f>ROUND(D10*E10/10000,0)</f>
        <v>266</v>
      </c>
      <c r="D10" s="790">
        <f>'数据-汇总表'!E6</f>
        <v>13324.600000000002</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6" t="s">
        <v>417</v>
      </c>
      <c r="B19" s="200" t="s">
        <v>84</v>
      </c>
      <c r="C19" s="201">
        <f>IF(G19="已包含在土地取得成本中","0",ROUND(D19*E19/10000,0))</f>
        <v>716</v>
      </c>
      <c r="D19" s="202">
        <f>'数据-汇总表'!E3</f>
        <v>35822.61</v>
      </c>
      <c r="E19" s="201">
        <f>'数据-取费表'!B31</f>
        <v>200</v>
      </c>
      <c r="F19" s="221"/>
      <c r="G19" s="1" t="s">
        <v>436</v>
      </c>
    </row>
    <row r="20" spans="1:7" s="204" customFormat="1" ht="13.5" customHeight="1">
      <c r="A20" s="726" t="s">
        <v>419</v>
      </c>
      <c r="B20" s="200" t="s">
        <v>77</v>
      </c>
      <c r="C20" s="222">
        <f>ROUND((C5+C19)*F20,0)</f>
        <v>640</v>
      </c>
      <c r="D20" s="222"/>
      <c r="E20" s="222"/>
      <c r="F20" s="223">
        <f>'数据-取费表'!B37</f>
        <v>0.03</v>
      </c>
      <c r="G20" s="999" t="s">
        <v>430</v>
      </c>
    </row>
    <row r="21" spans="1:7" s="204" customFormat="1" ht="13.5" customHeight="1">
      <c r="A21" s="726" t="s">
        <v>421</v>
      </c>
      <c r="B21" s="200" t="s">
        <v>78</v>
      </c>
      <c r="C21" s="225">
        <f>F21</f>
        <v>0.03</v>
      </c>
      <c r="D21" s="226" t="s">
        <v>99</v>
      </c>
      <c r="E21" s="222"/>
      <c r="F21" s="223">
        <f>'数据-取费表'!B38</f>
        <v>0.03</v>
      </c>
      <c r="G21" s="224" t="s">
        <v>79</v>
      </c>
    </row>
    <row r="22" spans="1:7" s="204" customFormat="1" ht="13.5" customHeight="1">
      <c r="A22" s="726" t="s">
        <v>341</v>
      </c>
      <c r="B22" s="200" t="s">
        <v>80</v>
      </c>
      <c r="C22" s="1036">
        <f ca="1">ROUND(SUM(C23:C25),0)</f>
        <v>1738</v>
      </c>
      <c r="D22" s="225">
        <f ca="1">C26</f>
        <v>1.1999999999999999E-3</v>
      </c>
      <c r="E22" s="226" t="s">
        <v>99</v>
      </c>
      <c r="F22" s="227">
        <f ca="1">'数据-取费表'!B40</f>
        <v>4.1499999999999995E-2</v>
      </c>
      <c r="G22" s="999" t="str">
        <f>IF('数据-取费表'!B22&lt;=1,"单利计息","复利计息")</f>
        <v>复利计息</v>
      </c>
    </row>
    <row r="23" spans="1:7" s="204" customFormat="1" ht="13.5" customHeight="1">
      <c r="A23" s="729" t="s">
        <v>349</v>
      </c>
      <c r="B23" s="205" t="s">
        <v>423</v>
      </c>
      <c r="C23" s="1037">
        <f ca="1">ROUND(IF('数据-取费表'!B22&lt;=1,C5*F22*'数据-取费表'!B23,C5*(POWER((1+F22),'数据-取费表'!B23)-1)),0)</f>
        <v>1655</v>
      </c>
      <c r="D23" s="228"/>
      <c r="E23" s="228"/>
      <c r="F23" s="229"/>
      <c r="G23" s="230" t="s">
        <v>81</v>
      </c>
    </row>
    <row r="24" spans="1:7" s="204" customFormat="1" ht="13.5" customHeight="1">
      <c r="A24" s="729" t="s">
        <v>347</v>
      </c>
      <c r="B24" s="205" t="s">
        <v>418</v>
      </c>
      <c r="C24" s="1037">
        <f ca="1">ROUND(IF('数据-取费表'!B22&lt;=1,C19*F22*('数据-取费表'!B19/2+'数据-取费表'!B21),C19*(POWER((1+F22),('数据-取费表'!B19/2+'数据-取费表'!B21))-1)),0)</f>
        <v>58</v>
      </c>
      <c r="D24" s="228"/>
      <c r="E24" s="228"/>
      <c r="F24" s="229"/>
      <c r="G24" s="230" t="s">
        <v>82</v>
      </c>
    </row>
    <row r="25" spans="1:7" s="204" customFormat="1" ht="24">
      <c r="A25" s="729" t="s">
        <v>348</v>
      </c>
      <c r="B25" s="205" t="s">
        <v>420</v>
      </c>
      <c r="C25" s="1037">
        <f ca="1">ROUND(IF('数据-取费表'!B22&lt;=1,C20*F22*'数据-取费表'!B23/2,C20*(POWER((1+F22),'数据-取费表'!B23/2)-1)),0)</f>
        <v>25</v>
      </c>
      <c r="D25" s="228"/>
      <c r="E25" s="231"/>
      <c r="F25" s="229"/>
      <c r="G25" s="232" t="s">
        <v>83</v>
      </c>
    </row>
    <row r="26" spans="1:7" s="204" customFormat="1">
      <c r="A26" s="729" t="s">
        <v>350</v>
      </c>
      <c r="B26" s="205" t="s">
        <v>422</v>
      </c>
      <c r="C26" s="228">
        <f ca="1">ROUND(IF('数据-取费表'!B22&lt;=1,F21*F22*'数据-取费表'!B23/2,F21*(POWER((1+F22),'数据-取费表'!B23/2)-1)),4)</f>
        <v>1.1999999999999999E-3</v>
      </c>
      <c r="D26" s="228"/>
      <c r="E26" s="231"/>
      <c r="F26" s="229"/>
      <c r="G26" s="233"/>
    </row>
    <row r="27" spans="1:7" s="204" customFormat="1" ht="26.4">
      <c r="A27" s="726" t="s">
        <v>342</v>
      </c>
      <c r="B27" s="234" t="s">
        <v>85</v>
      </c>
      <c r="C27" s="235">
        <f>C28</f>
        <v>2337</v>
      </c>
      <c r="D27" s="225">
        <f>C29</f>
        <v>3.2000000000000002E-3</v>
      </c>
      <c r="E27" s="226" t="s">
        <v>99</v>
      </c>
      <c r="F27" s="236">
        <f>'数据-取费表'!Q16</f>
        <v>0.14000000000000001</v>
      </c>
      <c r="G27" s="237" t="s">
        <v>431</v>
      </c>
    </row>
    <row r="28" spans="1:7" s="204" customFormat="1" ht="13.5" customHeight="1">
      <c r="A28" s="729" t="s">
        <v>349</v>
      </c>
      <c r="B28" s="238" t="s">
        <v>424</v>
      </c>
      <c r="C28" s="239">
        <f>ROUND((C5+C19+C20)*F27*'数据-取费表'!B21/'数据-取费表'!B20,0)</f>
        <v>2337</v>
      </c>
      <c r="D28" s="225"/>
      <c r="E28" s="226"/>
      <c r="F28" s="236"/>
      <c r="G28" s="237"/>
    </row>
    <row r="29" spans="1:7" s="204" customFormat="1" ht="13.5" customHeight="1">
      <c r="A29" s="729" t="s">
        <v>347</v>
      </c>
      <c r="B29" s="238" t="s">
        <v>425</v>
      </c>
      <c r="C29" s="228">
        <f>ROUND(C21*F27*'数据-取费表'!B21/'数据-取费表'!B20,4)</f>
        <v>3.2000000000000002E-3</v>
      </c>
      <c r="D29" s="225"/>
      <c r="E29" s="226"/>
      <c r="F29" s="236"/>
      <c r="G29" s="237"/>
    </row>
    <row r="30" spans="1:7" s="204" customFormat="1" ht="13.5" customHeight="1">
      <c r="A30" s="726"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28545</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16793</v>
      </c>
      <c r="D33" s="222"/>
      <c r="E33" s="202"/>
      <c r="F33" s="231"/>
      <c r="G33" s="224"/>
    </row>
    <row r="34" spans="1:7" s="248" customFormat="1" ht="13.5" customHeight="1">
      <c r="A34" s="729" t="s">
        <v>349</v>
      </c>
      <c r="B34" s="205" t="s">
        <v>32</v>
      </c>
      <c r="C34" s="210">
        <f>IF(F34=100%,'数据-取费表'!M16-SUMIF('数据-取费表'!C:C,"公共配套",'数据-取费表'!M:M),'数据-取费表'!O16-SUMIF('数据-取费表'!C:C,"公共配套",'数据-取费表'!O:O))</f>
        <v>15232</v>
      </c>
      <c r="D34" s="207"/>
      <c r="E34" s="210"/>
      <c r="F34" s="247">
        <f>IF('数据-取费表'!B24=0,1,'数据-取费表'!N16)</f>
        <v>0.76300000000000001</v>
      </c>
      <c r="G34" s="209" t="s">
        <v>89</v>
      </c>
    </row>
    <row r="35" spans="1:7" ht="13.5" customHeight="1">
      <c r="A35" s="729" t="s">
        <v>351</v>
      </c>
      <c r="B35" s="205" t="s">
        <v>33</v>
      </c>
      <c r="C35" s="210">
        <f>ROUND(C34*F35,0)</f>
        <v>457</v>
      </c>
      <c r="D35" s="210"/>
      <c r="E35" s="210"/>
      <c r="F35" s="249">
        <f>'数据-取费表'!B33</f>
        <v>0.03</v>
      </c>
      <c r="G35" s="209" t="s">
        <v>90</v>
      </c>
    </row>
    <row r="36" spans="1:7" ht="24">
      <c r="A36" s="729"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329</v>
      </c>
      <c r="D36" s="210"/>
      <c r="E36" s="210"/>
      <c r="F36" s="249">
        <f>'数据-取费表'!B34</f>
        <v>0.03</v>
      </c>
      <c r="G36" s="250" t="s">
        <v>35</v>
      </c>
    </row>
    <row r="37" spans="1:7" s="248" customFormat="1" ht="13.5" customHeight="1">
      <c r="A37" s="729" t="s">
        <v>353</v>
      </c>
      <c r="B37" s="205" t="s">
        <v>91</v>
      </c>
      <c r="C37" s="239">
        <f>ROUND(E37*D37*F34/10000,0)</f>
        <v>547</v>
      </c>
      <c r="D37" s="207">
        <f>'数据-汇总表'!E3</f>
        <v>35822.61</v>
      </c>
      <c r="E37" s="239">
        <f>'数据-取费表'!B35</f>
        <v>200</v>
      </c>
      <c r="F37" s="249"/>
      <c r="G37" s="251" t="s">
        <v>92</v>
      </c>
    </row>
    <row r="38" spans="1:7" ht="13.5" customHeight="1">
      <c r="A38" s="729" t="s">
        <v>354</v>
      </c>
      <c r="B38" s="205" t="s">
        <v>36</v>
      </c>
      <c r="C38" s="210">
        <f>ROUND(C34*F38,0)</f>
        <v>228</v>
      </c>
      <c r="D38" s="210"/>
      <c r="E38" s="210"/>
      <c r="F38" s="249">
        <f>'数据-取费表'!B36</f>
        <v>1.4999999999999999E-2</v>
      </c>
      <c r="G38" s="209" t="s">
        <v>90</v>
      </c>
    </row>
    <row r="39" spans="1:7" s="204" customFormat="1" ht="13.5" customHeight="1">
      <c r="A39" s="726" t="s">
        <v>338</v>
      </c>
      <c r="B39" s="200" t="s">
        <v>77</v>
      </c>
      <c r="C39" s="222">
        <f>ROUND(C33*F20,0)</f>
        <v>504</v>
      </c>
      <c r="D39" s="222"/>
      <c r="E39" s="222"/>
      <c r="F39" s="223"/>
      <c r="G39" s="999" t="s">
        <v>433</v>
      </c>
    </row>
    <row r="40" spans="1:7" s="204" customFormat="1" ht="13.5" customHeight="1">
      <c r="A40" s="726" t="s">
        <v>339</v>
      </c>
      <c r="B40" s="200" t="s">
        <v>78</v>
      </c>
      <c r="C40" s="252">
        <f>F21</f>
        <v>0.03</v>
      </c>
      <c r="D40" s="226" t="s">
        <v>102</v>
      </c>
      <c r="E40" s="222"/>
      <c r="F40" s="223"/>
      <c r="G40" s="224" t="s">
        <v>93</v>
      </c>
    </row>
    <row r="41" spans="1:7" s="204" customFormat="1" ht="13.5" customHeight="1">
      <c r="A41" s="726" t="s">
        <v>340</v>
      </c>
      <c r="B41" s="200" t="s">
        <v>80</v>
      </c>
      <c r="C41" s="222">
        <f ca="1">ROUND(SUM(C42:C43),0)</f>
        <v>681</v>
      </c>
      <c r="D41" s="225">
        <f ca="1">C44</f>
        <v>1.1999999999999999E-3</v>
      </c>
      <c r="E41" s="226" t="s">
        <v>102</v>
      </c>
      <c r="F41" s="227"/>
      <c r="G41" s="999" t="str">
        <f>IF('数据-取费表'!B22&lt;=1,"单利计息","复利计息")</f>
        <v>复利计息</v>
      </c>
    </row>
    <row r="42" spans="1:7" ht="13.5" customHeight="1">
      <c r="A42" s="729" t="s">
        <v>349</v>
      </c>
      <c r="B42" s="205" t="s">
        <v>423</v>
      </c>
      <c r="C42" s="228">
        <f ca="1">ROUND(IF('数据-取费表'!B22&lt;=1,C33*F22*'数据-取费表'!B21/2,C33*(POWER((1+F22),'数据-取费表'!B21/2)-1)),0)</f>
        <v>661</v>
      </c>
      <c r="D42" s="228"/>
      <c r="E42" s="228"/>
      <c r="F42" s="229"/>
      <c r="G42" s="3403" t="s">
        <v>94</v>
      </c>
    </row>
    <row r="43" spans="1:7" ht="13.5" customHeight="1">
      <c r="A43" s="729" t="s">
        <v>347</v>
      </c>
      <c r="B43" s="205" t="s">
        <v>426</v>
      </c>
      <c r="C43" s="228">
        <f ca="1">ROUND(IF('数据-取费表'!B22&lt;=1,C39*F22*'数据-取费表'!B21/2,C39*(POWER((1+F22),'数据-取费表'!B21/2)-1)),0)</f>
        <v>20</v>
      </c>
      <c r="D43" s="228"/>
      <c r="E43" s="228"/>
      <c r="F43" s="229"/>
      <c r="G43" s="3404"/>
    </row>
    <row r="44" spans="1:7" ht="13.5" customHeight="1">
      <c r="A44" s="729" t="s">
        <v>348</v>
      </c>
      <c r="B44" s="205" t="s">
        <v>428</v>
      </c>
      <c r="C44" s="228">
        <f ca="1">ROUND(IF('数据-取费表'!B22&lt;=1,C40*F22*'数据-取费表'!B21/2,C40*(POWER((1+F22),'数据-取费表'!B21/2)-1)),4)</f>
        <v>1.1999999999999999E-3</v>
      </c>
      <c r="D44" s="228"/>
      <c r="E44" s="228"/>
      <c r="F44" s="229"/>
      <c r="G44" s="3405"/>
    </row>
    <row r="45" spans="1:7" s="204" customFormat="1" ht="13.5" customHeight="1">
      <c r="A45" s="726" t="s">
        <v>341</v>
      </c>
      <c r="B45" s="234" t="s">
        <v>85</v>
      </c>
      <c r="C45" s="235">
        <f>C46</f>
        <v>2422</v>
      </c>
      <c r="D45" s="225">
        <f>C47</f>
        <v>4.1999999999999997E-3</v>
      </c>
      <c r="E45" s="226" t="s">
        <v>102</v>
      </c>
      <c r="F45" s="236"/>
      <c r="G45" s="237" t="s">
        <v>434</v>
      </c>
    </row>
    <row r="46" spans="1:7" s="204" customFormat="1" ht="13.5" customHeight="1">
      <c r="A46" s="729" t="s">
        <v>349</v>
      </c>
      <c r="B46" s="238" t="s">
        <v>427</v>
      </c>
      <c r="C46" s="239">
        <f>ROUND((C33+C39)*F27,0)</f>
        <v>2422</v>
      </c>
      <c r="D46" s="253"/>
      <c r="E46" s="226"/>
      <c r="F46" s="236"/>
      <c r="G46" s="237"/>
    </row>
    <row r="47" spans="1:7" s="204" customFormat="1" ht="13.5" customHeight="1">
      <c r="A47" s="729" t="s">
        <v>347</v>
      </c>
      <c r="B47" s="238" t="s">
        <v>429</v>
      </c>
      <c r="C47" s="228">
        <f>ROUND(C40*F27,4)</f>
        <v>4.1999999999999997E-3</v>
      </c>
      <c r="D47" s="253"/>
      <c r="E47" s="226"/>
      <c r="F47" s="236"/>
      <c r="G47" s="237"/>
    </row>
    <row r="48" spans="1:7" s="204" customFormat="1" ht="13.5" customHeight="1">
      <c r="A48" s="726" t="s">
        <v>342</v>
      </c>
      <c r="B48" s="200" t="s">
        <v>95</v>
      </c>
      <c r="C48" s="252">
        <f>F30</f>
        <v>5.6000000000000001E-2</v>
      </c>
      <c r="D48" s="226" t="s">
        <v>103</v>
      </c>
      <c r="E48" s="222"/>
      <c r="F48" s="227"/>
      <c r="G48" s="224" t="s">
        <v>96</v>
      </c>
    </row>
    <row r="49" spans="1:7" ht="16.5" customHeight="1">
      <c r="A49" s="726" t="s">
        <v>343</v>
      </c>
      <c r="B49" s="200" t="s">
        <v>104</v>
      </c>
      <c r="C49" s="222">
        <f ca="1">ROUND((C33+C39+C41+C45)/(1-C40-D41-D45-C48/(1+'数据-取费表'!B42)),0)</f>
        <v>22386</v>
      </c>
      <c r="D49" s="222"/>
      <c r="E49" s="222"/>
      <c r="F49" s="254"/>
      <c r="G49" s="224" t="s">
        <v>435</v>
      </c>
    </row>
    <row r="50" spans="1:7" s="248" customFormat="1" ht="24">
      <c r="A50" s="726" t="s">
        <v>344</v>
      </c>
      <c r="B50" s="200" t="s">
        <v>97</v>
      </c>
      <c r="C50" s="222"/>
      <c r="D50" s="222"/>
      <c r="E50" s="222"/>
      <c r="F50" s="254">
        <f>IF('数据-取费表'!B24=0,'数据-取费表'!N16,1)</f>
        <v>1</v>
      </c>
      <c r="G50" s="237" t="s">
        <v>98</v>
      </c>
    </row>
    <row r="51" spans="1:7" ht="16.5" customHeight="1">
      <c r="A51" s="726" t="s">
        <v>345</v>
      </c>
      <c r="B51" s="200" t="s">
        <v>105</v>
      </c>
      <c r="C51" s="222">
        <f ca="1">ROUND(C49*F50,0)</f>
        <v>22386</v>
      </c>
      <c r="D51" s="222"/>
      <c r="E51" s="222"/>
      <c r="F51" s="254"/>
      <c r="G51" s="224" t="s">
        <v>37</v>
      </c>
    </row>
    <row r="52" spans="1:7" s="198" customFormat="1" ht="16.8" thickBot="1">
      <c r="A52" s="255" t="s">
        <v>38</v>
      </c>
      <c r="B52" s="256"/>
      <c r="C52" s="257">
        <f ca="1">C31+C51</f>
        <v>50931</v>
      </c>
      <c r="D52" s="256"/>
      <c r="E52" s="256"/>
      <c r="F52" s="256"/>
      <c r="G52" s="258"/>
    </row>
    <row r="55" spans="1:7" ht="15">
      <c r="B55" s="260" t="s">
        <v>39</v>
      </c>
      <c r="C55" s="261"/>
    </row>
    <row r="56" spans="1:7">
      <c r="B56" s="263" t="s">
        <v>40</v>
      </c>
      <c r="C56" s="264">
        <f ca="1">ROUND(C51/C52,3)</f>
        <v>0.44</v>
      </c>
    </row>
    <row r="57" spans="1:7">
      <c r="B57" s="263" t="s">
        <v>41</v>
      </c>
      <c r="C57" s="265">
        <f ca="1">1-C56</f>
        <v>0.56000000000000005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44" t="s">
        <v>2841</v>
      </c>
      <c r="B1" s="3544"/>
      <c r="C1" s="3544"/>
      <c r="D1" s="3544"/>
      <c r="E1" s="3544"/>
      <c r="F1" s="3544"/>
      <c r="G1" s="3545"/>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1.4"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42" t="s">
        <v>2868</v>
      </c>
      <c r="B3" s="2938"/>
      <c r="C3" s="2939" t="s">
        <v>2807</v>
      </c>
      <c r="D3" s="2939" t="s">
        <v>2869</v>
      </c>
      <c r="E3" s="2939" t="s">
        <v>2809</v>
      </c>
      <c r="F3" s="2939" t="s">
        <v>2870</v>
      </c>
      <c r="G3" s="2939" t="s">
        <v>2627</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1.4" thickBot="1">
      <c r="A4" s="3543"/>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1.4"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4" customFormat="1" ht="14.25" customHeight="1">
      <c r="A65" s="2941" t="s">
        <v>110</v>
      </c>
      <c r="B65" s="2941" t="s">
        <v>203</v>
      </c>
      <c r="C65" s="2941">
        <v>19290</v>
      </c>
      <c r="D65" s="2941">
        <v>17020</v>
      </c>
      <c r="E65" s="2941">
        <v>19880</v>
      </c>
      <c r="F65" s="2941">
        <v>4070</v>
      </c>
      <c r="G65" s="2941">
        <v>11550</v>
      </c>
    </row>
    <row r="66" spans="1:7" s="2774" customFormat="1" ht="14.25" customHeight="1">
      <c r="A66" s="2941" t="s">
        <v>110</v>
      </c>
      <c r="B66" s="2941" t="s">
        <v>210</v>
      </c>
      <c r="C66" s="2941">
        <v>17090</v>
      </c>
      <c r="D66" s="2941">
        <v>18340</v>
      </c>
      <c r="E66" s="2941">
        <v>21830</v>
      </c>
      <c r="F66" s="2941">
        <v>4690</v>
      </c>
      <c r="G66" s="2941">
        <v>12450</v>
      </c>
    </row>
    <row r="67" spans="1:7" s="2774" customFormat="1" ht="14.25" customHeight="1">
      <c r="A67" s="2941" t="s">
        <v>110</v>
      </c>
      <c r="B67" s="2941" t="s">
        <v>216</v>
      </c>
      <c r="C67" s="2941">
        <v>18420</v>
      </c>
      <c r="D67" s="2941">
        <v>16360</v>
      </c>
      <c r="E67" s="2941">
        <v>20020</v>
      </c>
      <c r="F67" s="2941">
        <v>5150</v>
      </c>
      <c r="G67" s="2941">
        <v>11110</v>
      </c>
    </row>
    <row r="68" spans="1:7" s="2774" customFormat="1" ht="14.25" customHeight="1">
      <c r="A68" s="2941" t="s">
        <v>110</v>
      </c>
      <c r="B68" s="2941" t="s">
        <v>224</v>
      </c>
      <c r="C68" s="2941">
        <v>16450</v>
      </c>
      <c r="D68" s="2941">
        <v>18430</v>
      </c>
      <c r="E68" s="2941">
        <v>21010</v>
      </c>
      <c r="F68" s="2941">
        <v>4720</v>
      </c>
      <c r="G68" s="2941">
        <v>12510</v>
      </c>
    </row>
    <row r="69" spans="1:7" s="2774" customFormat="1" ht="14.25" customHeight="1">
      <c r="A69" s="2941" t="s">
        <v>110</v>
      </c>
      <c r="B69" s="2941" t="s">
        <v>232</v>
      </c>
      <c r="C69" s="2941">
        <v>18510</v>
      </c>
      <c r="D69" s="2941">
        <v>16300</v>
      </c>
      <c r="E69" s="2941">
        <v>18830</v>
      </c>
      <c r="F69" s="2941">
        <v>5400</v>
      </c>
      <c r="G69" s="2941">
        <v>11070</v>
      </c>
    </row>
    <row r="70" spans="1:7" s="2774" customFormat="1" ht="14.25" customHeight="1">
      <c r="A70" s="2941" t="s">
        <v>110</v>
      </c>
      <c r="B70" s="2941" t="s">
        <v>237</v>
      </c>
      <c r="C70" s="2941">
        <v>16370</v>
      </c>
      <c r="D70" s="2941">
        <v>18620</v>
      </c>
      <c r="E70" s="2941">
        <v>21100</v>
      </c>
      <c r="F70" s="2941">
        <v>5700</v>
      </c>
      <c r="G70" s="2941">
        <v>12640</v>
      </c>
    </row>
    <row r="71" spans="1:7" s="2774" customFormat="1" ht="14.25" customHeight="1">
      <c r="A71" s="2941" t="s">
        <v>110</v>
      </c>
      <c r="B71" s="2941" t="s">
        <v>246</v>
      </c>
      <c r="C71" s="2941">
        <v>18700</v>
      </c>
      <c r="D71" s="2941">
        <v>16290</v>
      </c>
      <c r="E71" s="2941">
        <v>18760</v>
      </c>
      <c r="F71" s="2941">
        <v>4780</v>
      </c>
      <c r="G71" s="2941">
        <v>11050</v>
      </c>
    </row>
    <row r="72" spans="1:7" s="2774" customFormat="1" ht="14.25" customHeight="1">
      <c r="A72" s="2941" t="s">
        <v>110</v>
      </c>
      <c r="B72" s="2941" t="s">
        <v>253</v>
      </c>
      <c r="C72" s="2941">
        <v>16340</v>
      </c>
      <c r="D72" s="2941">
        <v>17520</v>
      </c>
      <c r="E72" s="2941">
        <v>21170</v>
      </c>
      <c r="F72" s="2941"/>
      <c r="G72" s="2941">
        <v>11900</v>
      </c>
    </row>
    <row r="73" spans="1:7" s="2774" customFormat="1" ht="14.25" customHeight="1">
      <c r="A73" s="2941" t="s">
        <v>110</v>
      </c>
      <c r="B73" s="2941" t="s">
        <v>261</v>
      </c>
      <c r="C73" s="2941">
        <v>17610</v>
      </c>
      <c r="D73" s="2941">
        <v>18520</v>
      </c>
      <c r="E73" s="2941">
        <v>18720</v>
      </c>
      <c r="F73" s="2941"/>
      <c r="G73" s="2941">
        <v>12570</v>
      </c>
    </row>
    <row r="74" spans="1:7" s="2774" customFormat="1" ht="14.25" customHeight="1">
      <c r="A74" s="2941" t="s">
        <v>110</v>
      </c>
      <c r="B74" s="2941" t="s">
        <v>268</v>
      </c>
      <c r="C74" s="2941">
        <v>18600</v>
      </c>
      <c r="D74" s="2941">
        <v>16480</v>
      </c>
      <c r="E74" s="2941">
        <v>20100</v>
      </c>
      <c r="F74" s="2941"/>
      <c r="G74" s="2941">
        <v>11190</v>
      </c>
    </row>
    <row r="75" spans="1:7" s="2774" customFormat="1" ht="14.25" customHeight="1">
      <c r="A75" s="2941" t="s">
        <v>110</v>
      </c>
      <c r="B75" s="2941" t="s">
        <v>272</v>
      </c>
      <c r="C75" s="2941">
        <v>16570</v>
      </c>
      <c r="D75" s="2941">
        <v>17530</v>
      </c>
      <c r="E75" s="2941">
        <v>21030</v>
      </c>
      <c r="F75" s="2941"/>
      <c r="G75" s="2941">
        <v>11900</v>
      </c>
    </row>
    <row r="76" spans="1:7" s="2774" customFormat="1" ht="14.25" customHeight="1">
      <c r="A76" s="2941" t="s">
        <v>110</v>
      </c>
      <c r="B76" s="2941" t="s">
        <v>278</v>
      </c>
      <c r="C76" s="2941">
        <v>17610</v>
      </c>
      <c r="D76" s="2941">
        <v>20800</v>
      </c>
      <c r="E76" s="2941">
        <v>18920</v>
      </c>
      <c r="F76" s="2941"/>
      <c r="G76" s="2941">
        <v>14120</v>
      </c>
    </row>
    <row r="77" spans="1:7" s="2774" customFormat="1" ht="14.25" customHeight="1">
      <c r="A77" s="2941" t="s">
        <v>110</v>
      </c>
      <c r="B77" s="2941" t="s">
        <v>281</v>
      </c>
      <c r="C77" s="2941">
        <v>20890</v>
      </c>
      <c r="D77" s="2941">
        <v>19740</v>
      </c>
      <c r="E77" s="2941">
        <v>20110</v>
      </c>
      <c r="F77" s="2941"/>
      <c r="G77" s="2941">
        <v>13400</v>
      </c>
    </row>
    <row r="78" spans="1:7" s="2774" customFormat="1" ht="14.25" customHeight="1">
      <c r="A78" s="2941" t="s">
        <v>110</v>
      </c>
      <c r="B78" s="2941" t="s">
        <v>2940</v>
      </c>
      <c r="C78" s="2941">
        <v>19820</v>
      </c>
      <c r="D78" s="2941">
        <v>19780</v>
      </c>
      <c r="E78" s="2941">
        <v>18560</v>
      </c>
      <c r="F78" s="2941"/>
      <c r="G78" s="2941">
        <v>13430</v>
      </c>
    </row>
    <row r="79" spans="1:7" s="2774" customFormat="1" ht="14.25" customHeight="1">
      <c r="A79" s="2941" t="s">
        <v>110</v>
      </c>
      <c r="B79" s="2941" t="s">
        <v>2943</v>
      </c>
      <c r="C79" s="2941">
        <v>21660</v>
      </c>
      <c r="D79" s="2941">
        <v>18000</v>
      </c>
      <c r="E79" s="2941">
        <v>22570</v>
      </c>
      <c r="F79" s="2941"/>
      <c r="G79" s="2941">
        <v>12220</v>
      </c>
    </row>
    <row r="80" spans="1:7" s="2774" customFormat="1" ht="14.25" customHeight="1">
      <c r="A80" s="2941" t="s">
        <v>110</v>
      </c>
      <c r="B80" s="2941" t="s">
        <v>2947</v>
      </c>
      <c r="C80" s="2941">
        <v>19850</v>
      </c>
      <c r="D80" s="2941"/>
      <c r="E80" s="2941">
        <v>21700</v>
      </c>
      <c r="F80" s="2941"/>
      <c r="G80" s="2941"/>
    </row>
    <row r="81" spans="1:7" s="2774" customFormat="1" ht="14.25" customHeight="1">
      <c r="A81" s="2941" t="s">
        <v>110</v>
      </c>
      <c r="B81" s="2941" t="s">
        <v>2952</v>
      </c>
      <c r="C81" s="2941">
        <v>18080</v>
      </c>
      <c r="D81" s="2941"/>
      <c r="E81" s="2941">
        <v>20900</v>
      </c>
      <c r="F81" s="2941"/>
      <c r="G81" s="2941"/>
    </row>
    <row r="82" spans="1:7" s="2774" customFormat="1" ht="14.25" customHeight="1">
      <c r="A82" s="2941" t="s">
        <v>110</v>
      </c>
      <c r="B82" s="2941" t="s">
        <v>2959</v>
      </c>
      <c r="C82" s="2941"/>
      <c r="D82" s="2941"/>
      <c r="E82" s="2941">
        <v>20840</v>
      </c>
      <c r="F82" s="2941"/>
      <c r="G82" s="2941"/>
    </row>
    <row r="83" spans="1:7" s="2774" customFormat="1" ht="14.25" customHeight="1">
      <c r="A83" s="2941" t="s">
        <v>110</v>
      </c>
      <c r="B83" s="2941" t="s">
        <v>3070</v>
      </c>
      <c r="C83" s="2941"/>
      <c r="D83" s="2941"/>
      <c r="E83" s="2941"/>
      <c r="F83" s="2941">
        <v>4770</v>
      </c>
      <c r="G83" s="2941"/>
    </row>
    <row r="84" spans="1:7" s="2774" customFormat="1" ht="14.25" customHeight="1">
      <c r="A84" s="2941" t="s">
        <v>110</v>
      </c>
      <c r="B84" s="2941" t="s">
        <v>3071</v>
      </c>
      <c r="C84" s="2941"/>
      <c r="D84" s="2941"/>
      <c r="E84" s="2941"/>
      <c r="F84" s="2941">
        <v>4600</v>
      </c>
      <c r="G84" s="2941"/>
    </row>
    <row r="85" spans="1:7" s="2774" customFormat="1" ht="14.25" customHeight="1">
      <c r="A85" s="2941" t="s">
        <v>110</v>
      </c>
      <c r="B85" s="2941" t="s">
        <v>3072</v>
      </c>
      <c r="C85" s="2941"/>
      <c r="D85" s="2941"/>
      <c r="E85" s="2941"/>
      <c r="F85" s="2941">
        <v>4680</v>
      </c>
      <c r="G85" s="2941"/>
    </row>
    <row r="86" spans="1:7" s="2774" customFormat="1" ht="14.25" customHeight="1" thickBot="1">
      <c r="A86" s="2949" t="s">
        <v>110</v>
      </c>
      <c r="B86" s="2951" t="s">
        <v>3073</v>
      </c>
      <c r="C86" s="2952">
        <v>16610</v>
      </c>
      <c r="D86" s="2952">
        <v>16540</v>
      </c>
      <c r="E86" s="2952">
        <v>18850</v>
      </c>
      <c r="F86" s="2952"/>
      <c r="G86" s="2952">
        <v>11220</v>
      </c>
    </row>
    <row r="87" spans="1:7" s="2774" customFormat="1" ht="14.25" customHeight="1">
      <c r="A87" s="2946" t="s">
        <v>303</v>
      </c>
      <c r="B87" s="2937" t="s">
        <v>3074</v>
      </c>
      <c r="C87" s="2937">
        <v>15240</v>
      </c>
      <c r="D87" s="2937">
        <v>15170</v>
      </c>
      <c r="E87" s="2937">
        <v>18260</v>
      </c>
      <c r="F87" s="2937">
        <v>3830</v>
      </c>
      <c r="G87" s="2953">
        <v>10020</v>
      </c>
    </row>
    <row r="88" spans="1:7" s="2774" customFormat="1" ht="14.25" customHeight="1">
      <c r="A88" s="2941" t="s">
        <v>303</v>
      </c>
      <c r="B88" s="2941" t="s">
        <v>131</v>
      </c>
      <c r="C88" s="2941">
        <v>17310</v>
      </c>
      <c r="D88" s="2941">
        <v>17220</v>
      </c>
      <c r="E88" s="2941">
        <v>18610</v>
      </c>
      <c r="F88" s="2941">
        <v>3990</v>
      </c>
      <c r="G88" s="2954">
        <v>11380</v>
      </c>
    </row>
    <row r="89" spans="1:7" s="2774" customFormat="1" ht="14.25" customHeight="1">
      <c r="A89" s="2941" t="s">
        <v>303</v>
      </c>
      <c r="B89" s="2941" t="s">
        <v>140</v>
      </c>
      <c r="C89" s="2941">
        <v>15600</v>
      </c>
      <c r="D89" s="2941">
        <v>15550</v>
      </c>
      <c r="E89" s="2941">
        <v>19200</v>
      </c>
      <c r="F89" s="2941">
        <v>4110</v>
      </c>
      <c r="G89" s="2954">
        <v>10270</v>
      </c>
    </row>
    <row r="90" spans="1:7" s="2774" customFormat="1" ht="14.25" customHeight="1">
      <c r="A90" s="2941" t="s">
        <v>303</v>
      </c>
      <c r="B90" s="2941" t="s">
        <v>149</v>
      </c>
      <c r="C90" s="2941">
        <v>17330</v>
      </c>
      <c r="D90" s="2941">
        <v>17240</v>
      </c>
      <c r="E90" s="2941">
        <v>18570</v>
      </c>
      <c r="F90" s="2941">
        <v>4070</v>
      </c>
      <c r="G90" s="2954">
        <v>11390</v>
      </c>
    </row>
    <row r="91" spans="1:7" s="2774" customFormat="1" ht="14.25" customHeight="1">
      <c r="A91" s="2941" t="s">
        <v>303</v>
      </c>
      <c r="B91" s="2941" t="s">
        <v>158</v>
      </c>
      <c r="C91" s="2941">
        <v>16330</v>
      </c>
      <c r="D91" s="2941">
        <v>16260</v>
      </c>
      <c r="E91" s="2941">
        <v>16800</v>
      </c>
      <c r="F91" s="2941">
        <v>3410</v>
      </c>
      <c r="G91" s="2954">
        <v>10740</v>
      </c>
    </row>
    <row r="92" spans="1:7" s="2774" customFormat="1" ht="14.25" customHeight="1">
      <c r="A92" s="2941" t="s">
        <v>303</v>
      </c>
      <c r="B92" s="2941" t="s">
        <v>165</v>
      </c>
      <c r="C92" s="2941">
        <v>15570</v>
      </c>
      <c r="D92" s="2941">
        <v>15500</v>
      </c>
      <c r="E92" s="2941">
        <v>17360</v>
      </c>
      <c r="F92" s="2941">
        <v>3510</v>
      </c>
      <c r="G92" s="2954">
        <v>10240</v>
      </c>
    </row>
    <row r="93" spans="1:7" s="2774" customFormat="1" ht="14.25" customHeight="1">
      <c r="A93" s="2941" t="s">
        <v>303</v>
      </c>
      <c r="B93" s="2941" t="s">
        <v>171</v>
      </c>
      <c r="C93" s="2941">
        <v>14000</v>
      </c>
      <c r="D93" s="2941">
        <v>13930</v>
      </c>
      <c r="E93" s="2941">
        <v>18200</v>
      </c>
      <c r="F93" s="2941">
        <v>3640</v>
      </c>
      <c r="G93" s="2954">
        <v>9210</v>
      </c>
    </row>
    <row r="94" spans="1:7" s="2774" customFormat="1" ht="14.25" customHeight="1">
      <c r="A94" s="2941" t="s">
        <v>303</v>
      </c>
      <c r="B94" s="2941" t="s">
        <v>178</v>
      </c>
      <c r="C94" s="2941">
        <v>14530</v>
      </c>
      <c r="D94" s="2941">
        <v>14470</v>
      </c>
      <c r="E94" s="2941">
        <v>18240</v>
      </c>
      <c r="F94" s="2941">
        <v>3180</v>
      </c>
      <c r="G94" s="2954">
        <v>9560</v>
      </c>
    </row>
    <row r="95" spans="1:7" s="2774" customFormat="1" ht="14.25" customHeight="1">
      <c r="A95" s="2941" t="s">
        <v>303</v>
      </c>
      <c r="B95" s="2941" t="s">
        <v>188</v>
      </c>
      <c r="C95" s="2941">
        <v>17330</v>
      </c>
      <c r="D95" s="2941">
        <v>17260</v>
      </c>
      <c r="E95" s="2941">
        <v>18420</v>
      </c>
      <c r="F95" s="2941">
        <v>3060</v>
      </c>
      <c r="G95" s="2954">
        <v>11410</v>
      </c>
    </row>
    <row r="96" spans="1:7" s="2774" customFormat="1" ht="14.25" customHeight="1">
      <c r="A96" s="2941" t="s">
        <v>303</v>
      </c>
      <c r="B96" s="2941" t="s">
        <v>197</v>
      </c>
      <c r="C96" s="2941">
        <v>15030</v>
      </c>
      <c r="D96" s="2941">
        <v>14970</v>
      </c>
      <c r="E96" s="2941">
        <v>17580</v>
      </c>
      <c r="F96" s="2941">
        <v>2970</v>
      </c>
      <c r="G96" s="2954">
        <v>9890</v>
      </c>
    </row>
    <row r="97" spans="1:7" s="2774" customFormat="1" ht="14.25" customHeight="1">
      <c r="A97" s="2941" t="s">
        <v>303</v>
      </c>
      <c r="B97" s="2941" t="s">
        <v>204</v>
      </c>
      <c r="C97" s="2941">
        <v>17400</v>
      </c>
      <c r="D97" s="2941">
        <v>17330</v>
      </c>
      <c r="E97" s="2941">
        <v>16430</v>
      </c>
      <c r="F97" s="2941">
        <v>2950</v>
      </c>
      <c r="G97" s="2954">
        <v>11450</v>
      </c>
    </row>
    <row r="98" spans="1:7" s="2774" customFormat="1" ht="14.25" customHeight="1">
      <c r="A98" s="2941" t="s">
        <v>303</v>
      </c>
      <c r="B98" s="2941" t="s">
        <v>211</v>
      </c>
      <c r="C98" s="2941">
        <v>15200</v>
      </c>
      <c r="D98" s="2941">
        <v>15120</v>
      </c>
      <c r="E98" s="2941">
        <v>17550</v>
      </c>
      <c r="F98" s="2941">
        <v>3080</v>
      </c>
      <c r="G98" s="2954">
        <v>9990</v>
      </c>
    </row>
    <row r="99" spans="1:7" s="2774" customFormat="1" ht="14.25" customHeight="1">
      <c r="A99" s="2941" t="s">
        <v>303</v>
      </c>
      <c r="B99" s="2941" t="s">
        <v>217</v>
      </c>
      <c r="C99" s="2941">
        <v>17520</v>
      </c>
      <c r="D99" s="2941">
        <v>17430</v>
      </c>
      <c r="E99" s="2941">
        <v>16350</v>
      </c>
      <c r="F99" s="2941">
        <v>3260</v>
      </c>
      <c r="G99" s="2954">
        <v>11510</v>
      </c>
    </row>
    <row r="100" spans="1:7" s="2774" customFormat="1" ht="14.25" customHeight="1">
      <c r="A100" s="2941" t="s">
        <v>303</v>
      </c>
      <c r="B100" s="2941" t="s">
        <v>225</v>
      </c>
      <c r="C100" s="2941">
        <v>15340</v>
      </c>
      <c r="D100" s="2941">
        <v>15260</v>
      </c>
      <c r="E100" s="2941">
        <v>15930</v>
      </c>
      <c r="F100" s="2941">
        <v>2740</v>
      </c>
      <c r="G100" s="2954">
        <v>10080</v>
      </c>
    </row>
    <row r="101" spans="1:7" s="2774" customFormat="1" ht="14.25" customHeight="1">
      <c r="A101" s="2941" t="s">
        <v>303</v>
      </c>
      <c r="B101" s="2941" t="s">
        <v>233</v>
      </c>
      <c r="C101" s="2941">
        <v>14620</v>
      </c>
      <c r="D101" s="2941">
        <v>14560</v>
      </c>
      <c r="E101" s="2941">
        <v>15570</v>
      </c>
      <c r="F101" s="2941">
        <v>3500</v>
      </c>
      <c r="G101" s="2954">
        <v>9630</v>
      </c>
    </row>
    <row r="102" spans="1:7" s="2774" customFormat="1" ht="14.25" customHeight="1">
      <c r="A102" s="2941" t="s">
        <v>303</v>
      </c>
      <c r="B102" s="2941" t="s">
        <v>238</v>
      </c>
      <c r="C102" s="2941">
        <v>13680</v>
      </c>
      <c r="D102" s="2941">
        <v>13610</v>
      </c>
      <c r="E102" s="2941">
        <v>15690</v>
      </c>
      <c r="F102" s="2941">
        <v>2870</v>
      </c>
      <c r="G102" s="2954">
        <v>8990</v>
      </c>
    </row>
    <row r="103" spans="1:7" s="2774" customFormat="1" ht="14.25" customHeight="1">
      <c r="A103" s="2941" t="s">
        <v>303</v>
      </c>
      <c r="B103" s="2941" t="s">
        <v>247</v>
      </c>
      <c r="C103" s="2941">
        <v>14620</v>
      </c>
      <c r="D103" s="2941">
        <v>14540</v>
      </c>
      <c r="E103" s="2941">
        <v>15240</v>
      </c>
      <c r="F103" s="2941">
        <v>2840</v>
      </c>
      <c r="G103" s="2954">
        <v>9610</v>
      </c>
    </row>
    <row r="104" spans="1:7" s="2774" customFormat="1" ht="14.25" customHeight="1">
      <c r="A104" s="2941" t="s">
        <v>303</v>
      </c>
      <c r="B104" s="2941" t="s">
        <v>254</v>
      </c>
      <c r="C104" s="2941">
        <v>13610</v>
      </c>
      <c r="D104" s="2941">
        <v>13540</v>
      </c>
      <c r="E104" s="2941">
        <v>15750</v>
      </c>
      <c r="F104" s="2941">
        <v>2770</v>
      </c>
      <c r="G104" s="2954">
        <v>8940</v>
      </c>
    </row>
    <row r="105" spans="1:7" s="2774" customFormat="1" ht="14.25" customHeight="1">
      <c r="A105" s="2941" t="s">
        <v>303</v>
      </c>
      <c r="B105" s="2941" t="s">
        <v>262</v>
      </c>
      <c r="C105" s="2941">
        <v>13310</v>
      </c>
      <c r="D105" s="2941">
        <v>13240</v>
      </c>
      <c r="E105" s="2941">
        <v>16280</v>
      </c>
      <c r="F105" s="2941">
        <v>3210</v>
      </c>
      <c r="G105" s="2954">
        <v>8750</v>
      </c>
    </row>
    <row r="106" spans="1:7" s="2774" customFormat="1" ht="14.25" customHeight="1">
      <c r="A106" s="2941" t="s">
        <v>303</v>
      </c>
      <c r="B106" s="2941" t="s">
        <v>269</v>
      </c>
      <c r="C106" s="2941">
        <v>13010</v>
      </c>
      <c r="D106" s="2941">
        <v>12930</v>
      </c>
      <c r="E106" s="2941">
        <v>14960</v>
      </c>
      <c r="F106" s="2941">
        <v>3530</v>
      </c>
      <c r="G106" s="2954">
        <v>8550</v>
      </c>
    </row>
    <row r="107" spans="1:7" s="2774" customFormat="1" ht="14.25" customHeight="1">
      <c r="A107" s="2941" t="s">
        <v>303</v>
      </c>
      <c r="B107" s="2941" t="s">
        <v>273</v>
      </c>
      <c r="C107" s="2941">
        <v>13070</v>
      </c>
      <c r="D107" s="2941">
        <v>13000</v>
      </c>
      <c r="E107" s="2941">
        <v>15910</v>
      </c>
      <c r="F107" s="2941">
        <v>3990</v>
      </c>
      <c r="G107" s="2954">
        <v>8580</v>
      </c>
    </row>
    <row r="108" spans="1:7" s="2774" customFormat="1" ht="14.25" customHeight="1">
      <c r="A108" s="2941" t="s">
        <v>303</v>
      </c>
      <c r="B108" s="2941" t="s">
        <v>279</v>
      </c>
      <c r="C108" s="2941">
        <v>12640</v>
      </c>
      <c r="D108" s="2941">
        <v>12580</v>
      </c>
      <c r="E108" s="2941">
        <v>15730</v>
      </c>
      <c r="F108" s="2941"/>
      <c r="G108" s="2954">
        <v>8310</v>
      </c>
    </row>
    <row r="109" spans="1:7" s="2774" customFormat="1" ht="14.25" customHeight="1">
      <c r="A109" s="2941" t="s">
        <v>303</v>
      </c>
      <c r="B109" s="2941" t="s">
        <v>282</v>
      </c>
      <c r="C109" s="2941">
        <v>13130</v>
      </c>
      <c r="D109" s="2941">
        <v>13070</v>
      </c>
      <c r="E109" s="2941">
        <v>15000</v>
      </c>
      <c r="F109" s="2941"/>
      <c r="G109" s="2954">
        <v>8630</v>
      </c>
    </row>
    <row r="110" spans="1:7" s="2774" customFormat="1" ht="14.25" customHeight="1">
      <c r="A110" s="2941" t="s">
        <v>303</v>
      </c>
      <c r="B110" s="2941" t="s">
        <v>284</v>
      </c>
      <c r="C110" s="2941">
        <v>13560</v>
      </c>
      <c r="D110" s="2941">
        <v>13490</v>
      </c>
      <c r="E110" s="2941">
        <v>16300</v>
      </c>
      <c r="F110" s="2941"/>
      <c r="G110" s="2954">
        <v>8920</v>
      </c>
    </row>
    <row r="111" spans="1:7" s="2774" customFormat="1" ht="14.25" customHeight="1">
      <c r="A111" s="2941" t="s">
        <v>303</v>
      </c>
      <c r="B111" s="2941" t="s">
        <v>287</v>
      </c>
      <c r="C111" s="2941">
        <v>12440</v>
      </c>
      <c r="D111" s="2941">
        <v>12380</v>
      </c>
      <c r="E111" s="2941">
        <v>17850</v>
      </c>
      <c r="F111" s="2941"/>
      <c r="G111" s="2954">
        <v>8180</v>
      </c>
    </row>
    <row r="112" spans="1:7" s="2774" customFormat="1" ht="14.25" customHeight="1">
      <c r="A112" s="2941" t="s">
        <v>303</v>
      </c>
      <c r="B112" s="2941" t="s">
        <v>291</v>
      </c>
      <c r="C112" s="2941">
        <v>13260</v>
      </c>
      <c r="D112" s="2941">
        <v>13180</v>
      </c>
      <c r="E112" s="2941">
        <v>19740</v>
      </c>
      <c r="F112" s="2941"/>
      <c r="G112" s="2954">
        <v>8710</v>
      </c>
    </row>
    <row r="113" spans="1:7" s="2774" customFormat="1" ht="14.25" customHeight="1">
      <c r="A113" s="2941" t="s">
        <v>303</v>
      </c>
      <c r="B113" s="2941" t="s">
        <v>2953</v>
      </c>
      <c r="C113" s="2941">
        <v>15520</v>
      </c>
      <c r="D113" s="2941">
        <v>15450</v>
      </c>
      <c r="E113" s="2941"/>
      <c r="F113" s="2941"/>
      <c r="G113" s="2954">
        <v>10210</v>
      </c>
    </row>
    <row r="114" spans="1:7" s="2774" customFormat="1" ht="14.25" customHeight="1">
      <c r="A114" s="2941" t="s">
        <v>303</v>
      </c>
      <c r="B114" s="2941" t="s">
        <v>2960</v>
      </c>
      <c r="C114" s="2941">
        <v>13110</v>
      </c>
      <c r="D114" s="2941">
        <v>13050</v>
      </c>
      <c r="E114" s="2941"/>
      <c r="F114" s="2941"/>
      <c r="G114" s="2954">
        <v>8620</v>
      </c>
    </row>
    <row r="115" spans="1:7" s="2774" customFormat="1" ht="14.25" customHeight="1">
      <c r="A115" s="2941" t="s">
        <v>303</v>
      </c>
      <c r="B115" s="2941" t="s">
        <v>2966</v>
      </c>
      <c r="C115" s="2941">
        <v>12460</v>
      </c>
      <c r="D115" s="2941">
        <v>12390</v>
      </c>
      <c r="E115" s="2941"/>
      <c r="F115" s="2941"/>
      <c r="G115" s="2954">
        <v>8190</v>
      </c>
    </row>
    <row r="116" spans="1:7" s="2774" customFormat="1" ht="14.25" customHeight="1">
      <c r="A116" s="2941" t="s">
        <v>303</v>
      </c>
      <c r="B116" s="2941" t="s">
        <v>2973</v>
      </c>
      <c r="C116" s="2941">
        <v>13580</v>
      </c>
      <c r="D116" s="2941">
        <v>13520</v>
      </c>
      <c r="E116" s="2941"/>
      <c r="F116" s="2941"/>
      <c r="G116" s="2954">
        <v>8930</v>
      </c>
    </row>
    <row r="117" spans="1:7" s="2774" customFormat="1" ht="14.25" customHeight="1">
      <c r="A117" s="2941" t="s">
        <v>303</v>
      </c>
      <c r="B117" s="2941" t="s">
        <v>2980</v>
      </c>
      <c r="C117" s="2941">
        <v>17120</v>
      </c>
      <c r="D117" s="2941">
        <v>17040</v>
      </c>
      <c r="E117" s="2941"/>
      <c r="F117" s="2941"/>
      <c r="G117" s="2954">
        <v>11260</v>
      </c>
    </row>
    <row r="118" spans="1:7" s="2774" customFormat="1" ht="14.25" customHeight="1">
      <c r="A118" s="2941" t="s">
        <v>303</v>
      </c>
      <c r="B118" s="2941" t="s">
        <v>2985</v>
      </c>
      <c r="C118" s="2941">
        <v>14860</v>
      </c>
      <c r="D118" s="2941">
        <v>14790</v>
      </c>
      <c r="E118" s="2941"/>
      <c r="F118" s="2941"/>
      <c r="G118" s="2954">
        <v>9780</v>
      </c>
    </row>
    <row r="119" spans="1:7" s="2774" customFormat="1" ht="14.25" customHeight="1">
      <c r="A119" s="2941" t="s">
        <v>303</v>
      </c>
      <c r="B119" s="2941" t="s">
        <v>2989</v>
      </c>
      <c r="C119" s="2941">
        <v>16470</v>
      </c>
      <c r="D119" s="2941">
        <v>16400</v>
      </c>
      <c r="E119" s="2941"/>
      <c r="F119" s="2941"/>
      <c r="G119" s="2954">
        <v>10840</v>
      </c>
    </row>
    <row r="120" spans="1:7" s="2774" customFormat="1" ht="14.25" customHeight="1">
      <c r="A120" s="2941" t="s">
        <v>303</v>
      </c>
      <c r="B120" s="2941" t="s">
        <v>3075</v>
      </c>
      <c r="C120" s="2941"/>
      <c r="D120" s="2941"/>
      <c r="E120" s="2941"/>
      <c r="F120" s="2941">
        <v>4160</v>
      </c>
      <c r="G120" s="2954"/>
    </row>
    <row r="121" spans="1:7" s="2774" customFormat="1" ht="14.25" customHeight="1">
      <c r="A121" s="2941" t="s">
        <v>303</v>
      </c>
      <c r="B121" s="2941" t="s">
        <v>3076</v>
      </c>
      <c r="C121" s="2941"/>
      <c r="D121" s="2941"/>
      <c r="E121" s="2941"/>
      <c r="F121" s="2941">
        <v>3880</v>
      </c>
      <c r="G121" s="2954"/>
    </row>
    <row r="122" spans="1:7" s="2774" customFormat="1" ht="14.25" customHeight="1">
      <c r="A122" s="2941" t="s">
        <v>303</v>
      </c>
      <c r="B122" s="2941" t="s">
        <v>3077</v>
      </c>
      <c r="C122" s="2941">
        <v>13750</v>
      </c>
      <c r="D122" s="2941">
        <v>13680</v>
      </c>
      <c r="E122" s="2941">
        <v>16460</v>
      </c>
      <c r="F122" s="2941">
        <v>2880</v>
      </c>
      <c r="G122" s="2954">
        <v>9040</v>
      </c>
    </row>
    <row r="123" spans="1:7" s="2774" customFormat="1" ht="14.25" customHeight="1">
      <c r="A123" s="2941" t="s">
        <v>303</v>
      </c>
      <c r="B123" s="2941" t="s">
        <v>3008</v>
      </c>
      <c r="C123" s="2941">
        <v>13590</v>
      </c>
      <c r="D123" s="2941">
        <v>13520</v>
      </c>
      <c r="E123" s="2941">
        <v>16290</v>
      </c>
      <c r="F123" s="2941">
        <v>2790</v>
      </c>
      <c r="G123" s="2954">
        <v>8930</v>
      </c>
    </row>
    <row r="124" spans="1:7" s="2774" customFormat="1" ht="14.25" customHeight="1">
      <c r="A124" s="2941" t="s">
        <v>303</v>
      </c>
      <c r="B124" s="2941" t="s">
        <v>3013</v>
      </c>
      <c r="C124" s="2941">
        <v>13400</v>
      </c>
      <c r="D124" s="2941">
        <v>13320</v>
      </c>
      <c r="E124" s="2941">
        <v>16100</v>
      </c>
      <c r="F124" s="2941">
        <v>2320</v>
      </c>
      <c r="G124" s="2954">
        <v>8800</v>
      </c>
    </row>
    <row r="125" spans="1:7" s="2774" customFormat="1" ht="14.25" customHeight="1">
      <c r="A125" s="2941" t="s">
        <v>303</v>
      </c>
      <c r="B125" s="2941" t="s">
        <v>3018</v>
      </c>
      <c r="C125" s="2941">
        <v>12860</v>
      </c>
      <c r="D125" s="2941">
        <v>12790</v>
      </c>
      <c r="E125" s="2941">
        <v>15370</v>
      </c>
      <c r="F125" s="2941">
        <v>2280</v>
      </c>
      <c r="G125" s="2954">
        <v>8450</v>
      </c>
    </row>
    <row r="126" spans="1:7" s="2774" customFormat="1" ht="14.25" customHeight="1" thickBot="1">
      <c r="A126" s="2955" t="s">
        <v>303</v>
      </c>
      <c r="B126" s="2948" t="s">
        <v>3023</v>
      </c>
      <c r="C126" s="2948">
        <v>12960</v>
      </c>
      <c r="D126" s="2948">
        <v>12890</v>
      </c>
      <c r="E126" s="2948">
        <v>15530</v>
      </c>
      <c r="F126" s="2948">
        <v>2910</v>
      </c>
      <c r="G126" s="2956">
        <v>8520</v>
      </c>
    </row>
    <row r="127" spans="1:7" s="2774" customFormat="1" ht="14.25" customHeight="1">
      <c r="A127" s="2946" t="s">
        <v>29</v>
      </c>
      <c r="B127" s="2937" t="s">
        <v>3078</v>
      </c>
      <c r="C127" s="2941">
        <v>12280</v>
      </c>
      <c r="D127" s="2941">
        <v>12250</v>
      </c>
      <c r="E127" s="2941">
        <v>15130</v>
      </c>
      <c r="F127" s="2941">
        <v>2710</v>
      </c>
      <c r="G127" s="2941">
        <v>7870</v>
      </c>
    </row>
    <row r="128" spans="1:7" s="2774" customFormat="1" ht="14.25" customHeight="1">
      <c r="A128" s="2941" t="s">
        <v>29</v>
      </c>
      <c r="B128" s="2941" t="s">
        <v>132</v>
      </c>
      <c r="C128" s="2941">
        <v>13180</v>
      </c>
      <c r="D128" s="2941">
        <v>13150</v>
      </c>
      <c r="E128" s="2941">
        <v>16190</v>
      </c>
      <c r="F128" s="2941">
        <v>2820</v>
      </c>
      <c r="G128" s="2941">
        <v>8460</v>
      </c>
    </row>
    <row r="129" spans="1:7" s="2774" customFormat="1" ht="14.25" customHeight="1">
      <c r="A129" s="2941" t="s">
        <v>29</v>
      </c>
      <c r="B129" s="2941" t="s">
        <v>141</v>
      </c>
      <c r="C129" s="2941">
        <v>10950</v>
      </c>
      <c r="D129" s="2941">
        <v>10920</v>
      </c>
      <c r="E129" s="2941">
        <v>13820</v>
      </c>
      <c r="F129" s="2941">
        <v>2500</v>
      </c>
      <c r="G129" s="2941">
        <v>7020</v>
      </c>
    </row>
    <row r="130" spans="1:7" s="2774" customFormat="1" ht="14.25" customHeight="1">
      <c r="A130" s="2941" t="s">
        <v>29</v>
      </c>
      <c r="B130" s="2941" t="s">
        <v>150</v>
      </c>
      <c r="C130" s="2941">
        <v>10910</v>
      </c>
      <c r="D130" s="2941">
        <v>10860</v>
      </c>
      <c r="E130" s="2941">
        <v>13730</v>
      </c>
      <c r="F130" s="2941">
        <v>2760</v>
      </c>
      <c r="G130" s="2941">
        <v>6990</v>
      </c>
    </row>
    <row r="131" spans="1:7" s="2774" customFormat="1" ht="14.25" customHeight="1">
      <c r="A131" s="2941" t="s">
        <v>29</v>
      </c>
      <c r="B131" s="2941" t="s">
        <v>159</v>
      </c>
      <c r="C131" s="2941">
        <v>12910</v>
      </c>
      <c r="D131" s="2941">
        <v>12870</v>
      </c>
      <c r="E131" s="2941">
        <v>15720</v>
      </c>
      <c r="F131" s="2941">
        <v>2750</v>
      </c>
      <c r="G131" s="2941">
        <v>8280</v>
      </c>
    </row>
    <row r="132" spans="1:7" s="2774" customFormat="1" ht="14.25" customHeight="1">
      <c r="A132" s="2941" t="s">
        <v>29</v>
      </c>
      <c r="B132" s="2941" t="s">
        <v>166</v>
      </c>
      <c r="C132" s="2941">
        <v>11910</v>
      </c>
      <c r="D132" s="2941">
        <v>11860</v>
      </c>
      <c r="E132" s="2941">
        <v>14730</v>
      </c>
      <c r="F132" s="2941">
        <v>2360</v>
      </c>
      <c r="G132" s="2941">
        <v>7630</v>
      </c>
    </row>
    <row r="133" spans="1:7" s="2774" customFormat="1" ht="14.25" customHeight="1">
      <c r="A133" s="2941" t="s">
        <v>29</v>
      </c>
      <c r="B133" s="2941" t="s">
        <v>172</v>
      </c>
      <c r="C133" s="2941">
        <v>12270</v>
      </c>
      <c r="D133" s="2941">
        <v>12210</v>
      </c>
      <c r="E133" s="2941">
        <v>15010</v>
      </c>
      <c r="F133" s="2941">
        <v>2580</v>
      </c>
      <c r="G133" s="2941">
        <v>7860</v>
      </c>
    </row>
    <row r="134" spans="1:7" s="2774" customFormat="1" ht="14.25" customHeight="1">
      <c r="A134" s="2941" t="s">
        <v>29</v>
      </c>
      <c r="B134" s="2941" t="s">
        <v>179</v>
      </c>
      <c r="C134" s="2941">
        <v>10800</v>
      </c>
      <c r="D134" s="2941">
        <v>10780</v>
      </c>
      <c r="E134" s="2941">
        <v>13640</v>
      </c>
      <c r="F134" s="2941">
        <v>2110</v>
      </c>
      <c r="G134" s="2941">
        <v>6930</v>
      </c>
    </row>
    <row r="135" spans="1:7" s="2774" customFormat="1" ht="14.25" customHeight="1">
      <c r="A135" s="2941" t="s">
        <v>29</v>
      </c>
      <c r="B135" s="2941" t="s">
        <v>189</v>
      </c>
      <c r="C135" s="2941">
        <v>10430</v>
      </c>
      <c r="D135" s="2941">
        <v>10390</v>
      </c>
      <c r="E135" s="2941">
        <v>13140</v>
      </c>
      <c r="F135" s="2941">
        <v>2240</v>
      </c>
      <c r="G135" s="2941">
        <v>6680</v>
      </c>
    </row>
    <row r="136" spans="1:7" s="2774" customFormat="1" ht="14.25" customHeight="1">
      <c r="A136" s="2941" t="s">
        <v>29</v>
      </c>
      <c r="B136" s="2941" t="s">
        <v>198</v>
      </c>
      <c r="C136" s="2941">
        <v>11930</v>
      </c>
      <c r="D136" s="2941">
        <v>11880</v>
      </c>
      <c r="E136" s="2941">
        <v>14770</v>
      </c>
      <c r="F136" s="2941">
        <v>1970</v>
      </c>
      <c r="G136" s="2941">
        <v>7640</v>
      </c>
    </row>
    <row r="137" spans="1:7" s="2774" customFormat="1" ht="14.25" customHeight="1">
      <c r="A137" s="2941" t="s">
        <v>29</v>
      </c>
      <c r="B137" s="2941" t="s">
        <v>205</v>
      </c>
      <c r="C137" s="2941">
        <v>10470</v>
      </c>
      <c r="D137" s="2941">
        <v>10430</v>
      </c>
      <c r="E137" s="2941">
        <v>13190</v>
      </c>
      <c r="F137" s="2941">
        <v>1990</v>
      </c>
      <c r="G137" s="2941">
        <v>6710</v>
      </c>
    </row>
    <row r="138" spans="1:7" s="2774" customFormat="1" ht="14.25" customHeight="1">
      <c r="A138" s="2941" t="s">
        <v>29</v>
      </c>
      <c r="B138" s="2941" t="s">
        <v>212</v>
      </c>
      <c r="C138" s="2941">
        <v>10410</v>
      </c>
      <c r="D138" s="2941">
        <v>10380</v>
      </c>
      <c r="E138" s="2941">
        <v>13130</v>
      </c>
      <c r="F138" s="2941">
        <v>2030</v>
      </c>
      <c r="G138" s="2941">
        <v>6680</v>
      </c>
    </row>
    <row r="139" spans="1:7" s="2774" customFormat="1" ht="14.25" customHeight="1">
      <c r="A139" s="2941" t="s">
        <v>29</v>
      </c>
      <c r="B139" s="2941" t="s">
        <v>218</v>
      </c>
      <c r="C139" s="2941">
        <v>9460</v>
      </c>
      <c r="D139" s="2941">
        <v>9410</v>
      </c>
      <c r="E139" s="2941">
        <v>12050</v>
      </c>
      <c r="F139" s="2941">
        <v>2140</v>
      </c>
      <c r="G139" s="2941">
        <v>6050</v>
      </c>
    </row>
    <row r="140" spans="1:7" s="2774" customFormat="1" ht="14.25" customHeight="1">
      <c r="A140" s="2941" t="s">
        <v>29</v>
      </c>
      <c r="B140" s="2941" t="s">
        <v>226</v>
      </c>
      <c r="C140" s="2941">
        <v>11030</v>
      </c>
      <c r="D140" s="2941">
        <v>10980</v>
      </c>
      <c r="E140" s="2941">
        <v>13880</v>
      </c>
      <c r="F140" s="2941">
        <v>2210</v>
      </c>
      <c r="G140" s="2941">
        <v>7060</v>
      </c>
    </row>
    <row r="141" spans="1:7" s="2774" customFormat="1" ht="14.25" customHeight="1">
      <c r="A141" s="2941" t="s">
        <v>29</v>
      </c>
      <c r="B141" s="2941" t="s">
        <v>234</v>
      </c>
      <c r="C141" s="2941">
        <v>11200</v>
      </c>
      <c r="D141" s="2941">
        <v>11150</v>
      </c>
      <c r="E141" s="2941">
        <v>14100</v>
      </c>
      <c r="F141" s="2941">
        <v>2470</v>
      </c>
      <c r="G141" s="2941">
        <v>7170</v>
      </c>
    </row>
    <row r="142" spans="1:7" s="2774" customFormat="1" ht="14.25" customHeight="1">
      <c r="A142" s="2941" t="s">
        <v>29</v>
      </c>
      <c r="B142" s="2941" t="s">
        <v>239</v>
      </c>
      <c r="C142" s="2941">
        <v>10780</v>
      </c>
      <c r="D142" s="2941">
        <v>10730</v>
      </c>
      <c r="E142" s="2941">
        <v>13540</v>
      </c>
      <c r="F142" s="2941">
        <v>2280</v>
      </c>
      <c r="G142" s="2941">
        <v>6900</v>
      </c>
    </row>
    <row r="143" spans="1:7" s="2774" customFormat="1" ht="14.25" customHeight="1">
      <c r="A143" s="2941" t="s">
        <v>29</v>
      </c>
      <c r="B143" s="2941" t="s">
        <v>248</v>
      </c>
      <c r="C143" s="2941">
        <v>11550</v>
      </c>
      <c r="D143" s="2941">
        <v>11490</v>
      </c>
      <c r="E143" s="2941">
        <v>14480</v>
      </c>
      <c r="F143" s="2941">
        <v>2070</v>
      </c>
      <c r="G143" s="2941">
        <v>7390</v>
      </c>
    </row>
    <row r="144" spans="1:7" s="2774" customFormat="1" ht="14.25" customHeight="1">
      <c r="A144" s="2941" t="s">
        <v>29</v>
      </c>
      <c r="B144" s="2941" t="s">
        <v>255</v>
      </c>
      <c r="C144" s="2941">
        <v>10720</v>
      </c>
      <c r="D144" s="2941">
        <v>10680</v>
      </c>
      <c r="E144" s="2941">
        <v>13480</v>
      </c>
      <c r="F144" s="2941">
        <v>2440</v>
      </c>
      <c r="G144" s="2941">
        <v>6870</v>
      </c>
    </row>
    <row r="145" spans="1:7" s="2774" customFormat="1" ht="14.25" customHeight="1">
      <c r="A145" s="2941" t="s">
        <v>29</v>
      </c>
      <c r="B145" s="2941" t="s">
        <v>263</v>
      </c>
      <c r="C145" s="2941">
        <v>10340</v>
      </c>
      <c r="D145" s="2941">
        <v>10290</v>
      </c>
      <c r="E145" s="2941">
        <v>12880</v>
      </c>
      <c r="F145" s="2941">
        <v>2650</v>
      </c>
      <c r="G145" s="2941">
        <v>6620</v>
      </c>
    </row>
    <row r="146" spans="1:7" s="2774" customFormat="1" ht="14.25" customHeight="1">
      <c r="A146" s="2941" t="s">
        <v>29</v>
      </c>
      <c r="B146" s="2941" t="s">
        <v>270</v>
      </c>
      <c r="C146" s="2941">
        <v>11890</v>
      </c>
      <c r="D146" s="2941">
        <v>11830</v>
      </c>
      <c r="E146" s="2941">
        <v>14670</v>
      </c>
      <c r="F146" s="2941"/>
      <c r="G146" s="2941">
        <v>7610</v>
      </c>
    </row>
    <row r="147" spans="1:7" s="2774" customFormat="1" ht="14.25" customHeight="1">
      <c r="A147" s="2941" t="s">
        <v>29</v>
      </c>
      <c r="B147" s="2941" t="s">
        <v>274</v>
      </c>
      <c r="C147" s="2941">
        <v>12650</v>
      </c>
      <c r="D147" s="2941">
        <v>12600</v>
      </c>
      <c r="E147" s="2941">
        <v>15440</v>
      </c>
      <c r="F147" s="2941"/>
      <c r="G147" s="2941">
        <v>8110</v>
      </c>
    </row>
    <row r="148" spans="1:7" s="2774" customFormat="1" ht="14.25" customHeight="1">
      <c r="A148" s="2941" t="s">
        <v>29</v>
      </c>
      <c r="B148" s="2941" t="s">
        <v>3079</v>
      </c>
      <c r="C148" s="2941">
        <v>10370</v>
      </c>
      <c r="D148" s="2941">
        <v>10310</v>
      </c>
      <c r="E148" s="2941">
        <v>12970</v>
      </c>
      <c r="F148" s="2941"/>
      <c r="G148" s="2941">
        <v>6630</v>
      </c>
    </row>
    <row r="149" spans="1:7" s="2774" customFormat="1" ht="14.25" customHeight="1">
      <c r="A149" s="2941" t="s">
        <v>29</v>
      </c>
      <c r="B149" s="2941" t="s">
        <v>3080</v>
      </c>
      <c r="C149" s="2941">
        <v>11600</v>
      </c>
      <c r="D149" s="2941">
        <v>11560</v>
      </c>
      <c r="E149" s="2941">
        <v>14540</v>
      </c>
      <c r="F149" s="2941">
        <v>2390</v>
      </c>
      <c r="G149" s="2941">
        <v>7430</v>
      </c>
    </row>
    <row r="150" spans="1:7" s="2774" customFormat="1" ht="14.25" customHeight="1">
      <c r="A150" s="2941" t="s">
        <v>29</v>
      </c>
      <c r="B150" s="2941" t="s">
        <v>292</v>
      </c>
      <c r="C150" s="2941">
        <v>9950</v>
      </c>
      <c r="D150" s="2941">
        <v>9890</v>
      </c>
      <c r="E150" s="2941">
        <v>12590</v>
      </c>
      <c r="F150" s="2941">
        <v>1970</v>
      </c>
      <c r="G150" s="2941">
        <v>6360</v>
      </c>
    </row>
    <row r="151" spans="1:7" s="2774" customFormat="1" ht="14.25" customHeight="1">
      <c r="A151" s="2941" t="s">
        <v>29</v>
      </c>
      <c r="B151" s="2941" t="s">
        <v>294</v>
      </c>
      <c r="C151" s="2941">
        <v>10700</v>
      </c>
      <c r="D151" s="2941">
        <v>10650</v>
      </c>
      <c r="E151" s="2941">
        <v>13420</v>
      </c>
      <c r="F151" s="2941">
        <v>2020</v>
      </c>
      <c r="G151" s="2941">
        <v>6850</v>
      </c>
    </row>
    <row r="152" spans="1:7" s="2774" customFormat="1" ht="14.25" customHeight="1">
      <c r="A152" s="2941" t="s">
        <v>29</v>
      </c>
      <c r="B152" s="2941" t="s">
        <v>297</v>
      </c>
      <c r="C152" s="2941">
        <v>10310</v>
      </c>
      <c r="D152" s="2941">
        <v>10260</v>
      </c>
      <c r="E152" s="2941">
        <v>12820</v>
      </c>
      <c r="F152" s="2941">
        <v>1980</v>
      </c>
      <c r="G152" s="2941">
        <v>6600</v>
      </c>
    </row>
    <row r="153" spans="1:7" s="2774" customFormat="1" ht="14.25" customHeight="1">
      <c r="A153" s="2941" t="s">
        <v>29</v>
      </c>
      <c r="B153" s="2941" t="s">
        <v>2954</v>
      </c>
      <c r="C153" s="2941">
        <v>10880</v>
      </c>
      <c r="D153" s="2941">
        <v>10820</v>
      </c>
      <c r="E153" s="2941">
        <v>13660</v>
      </c>
      <c r="F153" s="2941">
        <v>2260</v>
      </c>
      <c r="G153" s="2941">
        <v>6970</v>
      </c>
    </row>
    <row r="154" spans="1:7" s="2774" customFormat="1" ht="14.25" customHeight="1">
      <c r="A154" s="2941" t="s">
        <v>29</v>
      </c>
      <c r="B154" s="2941" t="s">
        <v>3081</v>
      </c>
      <c r="C154" s="2941">
        <v>11220</v>
      </c>
      <c r="D154" s="2941">
        <v>11160</v>
      </c>
      <c r="E154" s="2941">
        <v>14130</v>
      </c>
      <c r="F154" s="2941">
        <v>2230</v>
      </c>
      <c r="G154" s="2941">
        <v>7180</v>
      </c>
    </row>
    <row r="155" spans="1:7" s="2774" customFormat="1" ht="14.25" customHeight="1">
      <c r="A155" s="2941" t="s">
        <v>29</v>
      </c>
      <c r="B155" s="2941" t="s">
        <v>2967</v>
      </c>
      <c r="C155" s="2941">
        <v>10430</v>
      </c>
      <c r="D155" s="2941">
        <v>10380</v>
      </c>
      <c r="E155" s="2941">
        <v>13140</v>
      </c>
      <c r="F155" s="2941">
        <v>2080</v>
      </c>
      <c r="G155" s="2941">
        <v>6650</v>
      </c>
    </row>
    <row r="156" spans="1:7" s="2774" customFormat="1" ht="14.25" customHeight="1">
      <c r="A156" s="2941" t="s">
        <v>29</v>
      </c>
      <c r="B156" s="2941" t="s">
        <v>3082</v>
      </c>
      <c r="C156" s="2941">
        <v>10440</v>
      </c>
      <c r="D156" s="2941">
        <v>10400</v>
      </c>
      <c r="E156" s="2941">
        <v>13150</v>
      </c>
      <c r="F156" s="2941">
        <v>2490</v>
      </c>
      <c r="G156" s="2941">
        <v>6690</v>
      </c>
    </row>
    <row r="157" spans="1:7" s="2774" customFormat="1" ht="14.25" customHeight="1">
      <c r="A157" s="2941" t="s">
        <v>29</v>
      </c>
      <c r="B157" s="2941" t="s">
        <v>300</v>
      </c>
      <c r="C157" s="2941">
        <v>10970</v>
      </c>
      <c r="D157" s="2941">
        <v>10920</v>
      </c>
      <c r="E157" s="2941">
        <v>13840</v>
      </c>
      <c r="F157" s="2941">
        <v>2420</v>
      </c>
      <c r="G157" s="2941">
        <v>7020</v>
      </c>
    </row>
    <row r="158" spans="1:7" s="2774" customFormat="1" ht="14.25" customHeight="1">
      <c r="A158" s="2941" t="s">
        <v>29</v>
      </c>
      <c r="B158" s="2941" t="s">
        <v>301</v>
      </c>
      <c r="C158" s="2941">
        <v>9590</v>
      </c>
      <c r="D158" s="2941">
        <v>9540</v>
      </c>
      <c r="E158" s="2941">
        <v>12210</v>
      </c>
      <c r="F158" s="2941">
        <v>2100</v>
      </c>
      <c r="G158" s="2941">
        <v>6130</v>
      </c>
    </row>
    <row r="159" spans="1:7" s="2774" customFormat="1" ht="14.25" customHeight="1">
      <c r="A159" s="2941" t="s">
        <v>29</v>
      </c>
      <c r="B159" s="2941" t="s">
        <v>302</v>
      </c>
      <c r="C159" s="2941">
        <v>11190</v>
      </c>
      <c r="D159" s="2941">
        <v>11140</v>
      </c>
      <c r="E159" s="2941">
        <v>14090</v>
      </c>
      <c r="F159" s="2941">
        <v>2470</v>
      </c>
      <c r="G159" s="2941">
        <v>7170</v>
      </c>
    </row>
    <row r="160" spans="1:7" s="2774" customFormat="1" ht="14.25" customHeight="1">
      <c r="A160" s="2941" t="s">
        <v>29</v>
      </c>
      <c r="B160" s="2941" t="s">
        <v>3083</v>
      </c>
      <c r="C160" s="2941">
        <v>11180</v>
      </c>
      <c r="D160" s="2941">
        <v>11140</v>
      </c>
      <c r="E160" s="2941">
        <v>14050</v>
      </c>
      <c r="F160" s="2941">
        <v>2270</v>
      </c>
      <c r="G160" s="2941">
        <v>7170</v>
      </c>
    </row>
    <row r="161" spans="1:7" s="2774" customFormat="1" ht="14.25" customHeight="1">
      <c r="A161" s="2941" t="s">
        <v>29</v>
      </c>
      <c r="B161" s="2941" t="s">
        <v>2999</v>
      </c>
      <c r="C161" s="2941">
        <v>11160</v>
      </c>
      <c r="D161" s="2941">
        <v>11120</v>
      </c>
      <c r="E161" s="2941">
        <v>14020</v>
      </c>
      <c r="F161" s="2941">
        <v>2150</v>
      </c>
      <c r="G161" s="2941">
        <v>7160</v>
      </c>
    </row>
    <row r="162" spans="1:7" s="2774" customFormat="1" ht="14.25" customHeight="1">
      <c r="A162" s="2941" t="s">
        <v>29</v>
      </c>
      <c r="B162" s="2941" t="s">
        <v>3004</v>
      </c>
      <c r="C162" s="2941">
        <v>9620</v>
      </c>
      <c r="D162" s="2941">
        <v>9570</v>
      </c>
      <c r="E162" s="2941">
        <v>12320</v>
      </c>
      <c r="F162" s="2941">
        <v>2010</v>
      </c>
      <c r="G162" s="2941">
        <v>6160</v>
      </c>
    </row>
    <row r="163" spans="1:7" s="2774" customFormat="1" ht="14.25" customHeight="1">
      <c r="A163" s="2941" t="s">
        <v>29</v>
      </c>
      <c r="B163" s="2941" t="s">
        <v>3009</v>
      </c>
      <c r="C163" s="2941">
        <v>9320</v>
      </c>
      <c r="D163" s="2941">
        <v>9270</v>
      </c>
      <c r="E163" s="2941">
        <v>11790</v>
      </c>
      <c r="F163" s="2941">
        <v>1920</v>
      </c>
      <c r="G163" s="2941">
        <v>5960</v>
      </c>
    </row>
    <row r="164" spans="1:7" s="2774" customFormat="1" ht="14.25" customHeight="1">
      <c r="A164" s="2941" t="s">
        <v>29</v>
      </c>
      <c r="B164" s="2941" t="s">
        <v>3014</v>
      </c>
      <c r="C164" s="2941"/>
      <c r="D164" s="2941"/>
      <c r="E164" s="2941"/>
      <c r="F164" s="2941">
        <v>1980</v>
      </c>
      <c r="G164" s="2941"/>
    </row>
    <row r="165" spans="1:7" s="2774" customFormat="1" ht="14.25" customHeight="1">
      <c r="A165" s="2941" t="s">
        <v>29</v>
      </c>
      <c r="B165" s="2941" t="s">
        <v>3084</v>
      </c>
      <c r="C165" s="2941">
        <v>11060</v>
      </c>
      <c r="D165" s="2941">
        <v>11030</v>
      </c>
      <c r="E165" s="2941">
        <v>13850</v>
      </c>
      <c r="F165" s="2941">
        <v>2170</v>
      </c>
      <c r="G165" s="2941">
        <v>7090</v>
      </c>
    </row>
    <row r="166" spans="1:7" s="2774" customFormat="1" ht="14.25" customHeight="1">
      <c r="A166" s="2941" t="s">
        <v>29</v>
      </c>
      <c r="B166" s="2941" t="s">
        <v>3024</v>
      </c>
      <c r="C166" s="2941">
        <v>11050</v>
      </c>
      <c r="D166" s="2941">
        <v>11010</v>
      </c>
      <c r="E166" s="2941">
        <v>13920</v>
      </c>
      <c r="F166" s="2941">
        <v>2140</v>
      </c>
      <c r="G166" s="2941">
        <v>7080</v>
      </c>
    </row>
    <row r="167" spans="1:7" s="2774" customFormat="1" ht="14.25" customHeight="1">
      <c r="A167" s="2941" t="s">
        <v>29</v>
      </c>
      <c r="B167" s="2941" t="s">
        <v>3028</v>
      </c>
      <c r="C167" s="2941">
        <v>10930</v>
      </c>
      <c r="D167" s="2941">
        <v>10890</v>
      </c>
      <c r="E167" s="2941">
        <v>13790</v>
      </c>
      <c r="F167" s="2941">
        <v>2010</v>
      </c>
      <c r="G167" s="2941">
        <v>7000</v>
      </c>
    </row>
    <row r="168" spans="1:7" s="2774" customFormat="1" ht="14.25" customHeight="1">
      <c r="A168" s="2941" t="s">
        <v>29</v>
      </c>
      <c r="B168" s="2941" t="s">
        <v>3033</v>
      </c>
      <c r="C168" s="2941">
        <v>9420</v>
      </c>
      <c r="D168" s="2941">
        <v>9380</v>
      </c>
      <c r="E168" s="2941">
        <v>11970</v>
      </c>
      <c r="F168" s="2941"/>
      <c r="G168" s="2941">
        <v>6040</v>
      </c>
    </row>
    <row r="169" spans="1:7" s="2774" customFormat="1" ht="14.25" customHeight="1">
      <c r="A169" s="2941" t="s">
        <v>29</v>
      </c>
      <c r="B169" s="2941" t="s">
        <v>3085</v>
      </c>
      <c r="C169" s="2941"/>
      <c r="D169" s="2941"/>
      <c r="E169" s="2941"/>
      <c r="F169" s="2941">
        <v>2880</v>
      </c>
      <c r="G169" s="2941"/>
    </row>
    <row r="170" spans="1:7" s="2774" customFormat="1" ht="14.25" customHeight="1">
      <c r="A170" s="2941" t="s">
        <v>29</v>
      </c>
      <c r="B170" s="2941" t="s">
        <v>3041</v>
      </c>
      <c r="C170" s="2941"/>
      <c r="D170" s="2941"/>
      <c r="E170" s="2941"/>
      <c r="F170" s="2941">
        <v>2880</v>
      </c>
      <c r="G170" s="2941"/>
    </row>
    <row r="171" spans="1:7" s="2774" customFormat="1" ht="14.25" customHeight="1">
      <c r="A171" s="2941" t="s">
        <v>29</v>
      </c>
      <c r="B171" s="2941" t="s">
        <v>3044</v>
      </c>
      <c r="C171" s="2941"/>
      <c r="D171" s="2941"/>
      <c r="E171" s="2941"/>
      <c r="F171" s="2941">
        <v>2880</v>
      </c>
      <c r="G171" s="2941"/>
    </row>
    <row r="172" spans="1:7" s="2774" customFormat="1" ht="14.25" customHeight="1">
      <c r="A172" s="2941" t="s">
        <v>29</v>
      </c>
      <c r="B172" s="2941" t="s">
        <v>3046</v>
      </c>
      <c r="C172" s="2941"/>
      <c r="D172" s="2941"/>
      <c r="E172" s="2941"/>
      <c r="F172" s="2941">
        <v>2880</v>
      </c>
      <c r="G172" s="2941"/>
    </row>
    <row r="173" spans="1:7" s="2774" customFormat="1" ht="14.25" customHeight="1">
      <c r="A173" s="2941" t="s">
        <v>29</v>
      </c>
      <c r="B173" s="2941" t="s">
        <v>3048</v>
      </c>
      <c r="C173" s="2941"/>
      <c r="D173" s="2941"/>
      <c r="E173" s="2941"/>
      <c r="F173" s="2941">
        <v>2150</v>
      </c>
      <c r="G173" s="2941"/>
    </row>
    <row r="174" spans="1:7" s="2774" customFormat="1" ht="14.25" customHeight="1">
      <c r="A174" s="2941" t="s">
        <v>29</v>
      </c>
      <c r="B174" s="2941" t="s">
        <v>3050</v>
      </c>
      <c r="C174" s="2941"/>
      <c r="D174" s="2941"/>
      <c r="E174" s="2941"/>
      <c r="F174" s="2941">
        <v>2030</v>
      </c>
      <c r="G174" s="2941"/>
    </row>
    <row r="175" spans="1:7" s="2774" customFormat="1" ht="14.25" customHeight="1">
      <c r="A175" s="2941" t="s">
        <v>29</v>
      </c>
      <c r="B175" s="2941" t="s">
        <v>3052</v>
      </c>
      <c r="C175" s="2941"/>
      <c r="D175" s="2941"/>
      <c r="E175" s="2941"/>
      <c r="F175" s="2941">
        <v>2780</v>
      </c>
      <c r="G175" s="2941"/>
    </row>
    <row r="176" spans="1:7" s="2774" customFormat="1" ht="14.25" customHeight="1">
      <c r="A176" s="2941" t="s">
        <v>29</v>
      </c>
      <c r="B176" s="2941" t="s">
        <v>3054</v>
      </c>
      <c r="C176" s="2941"/>
      <c r="D176" s="2941"/>
      <c r="E176" s="2941"/>
      <c r="F176" s="2941">
        <v>2780</v>
      </c>
      <c r="G176" s="2941"/>
    </row>
    <row r="177" spans="1:7" s="2774" customFormat="1" ht="14.25" customHeight="1">
      <c r="A177" s="2941" t="s">
        <v>29</v>
      </c>
      <c r="B177" s="2941" t="s">
        <v>3086</v>
      </c>
      <c r="C177" s="2941"/>
      <c r="D177" s="2941"/>
      <c r="E177" s="2941"/>
      <c r="F177" s="2941">
        <v>2780</v>
      </c>
      <c r="G177" s="2941"/>
    </row>
    <row r="178" spans="1:7" s="2774" customFormat="1" ht="14.25" customHeight="1">
      <c r="A178" s="2941" t="s">
        <v>29</v>
      </c>
      <c r="B178" s="2941" t="s">
        <v>3087</v>
      </c>
      <c r="C178" s="2941"/>
      <c r="D178" s="2941"/>
      <c r="E178" s="2941"/>
      <c r="F178" s="2941">
        <v>2060</v>
      </c>
      <c r="G178" s="2941"/>
    </row>
    <row r="179" spans="1:7" s="2774" customFormat="1" ht="14.25" customHeight="1">
      <c r="A179" s="2941" t="s">
        <v>29</v>
      </c>
      <c r="B179" s="2941" t="s">
        <v>3088</v>
      </c>
      <c r="C179" s="2941"/>
      <c r="D179" s="2941"/>
      <c r="E179" s="2941"/>
      <c r="F179" s="2941">
        <v>2120</v>
      </c>
      <c r="G179" s="2941"/>
    </row>
    <row r="180" spans="1:7" s="2774" customFormat="1" ht="14.25" customHeight="1">
      <c r="A180" s="2941" t="s">
        <v>29</v>
      </c>
      <c r="B180" s="2941" t="s">
        <v>3060</v>
      </c>
      <c r="C180" s="2941"/>
      <c r="D180" s="2941"/>
      <c r="E180" s="2941"/>
      <c r="F180" s="2941">
        <v>2340</v>
      </c>
      <c r="G180" s="2941"/>
    </row>
    <row r="181" spans="1:7" s="2774" customFormat="1" ht="14.25" customHeight="1">
      <c r="A181" s="2941" t="s">
        <v>29</v>
      </c>
      <c r="B181" s="2941" t="s">
        <v>3061</v>
      </c>
      <c r="C181" s="2941"/>
      <c r="D181" s="2941"/>
      <c r="E181" s="2941"/>
      <c r="F181" s="2941">
        <v>2340</v>
      </c>
      <c r="G181" s="2941"/>
    </row>
    <row r="182" spans="1:7" s="2774" customFormat="1" ht="14.25" customHeight="1">
      <c r="A182" s="2941" t="s">
        <v>29</v>
      </c>
      <c r="B182" s="2941" t="s">
        <v>3062</v>
      </c>
      <c r="C182" s="2941"/>
      <c r="D182" s="2941"/>
      <c r="E182" s="2941"/>
      <c r="F182" s="2941">
        <v>2340</v>
      </c>
      <c r="G182" s="2941"/>
    </row>
    <row r="183" spans="1:7" s="2774" customFormat="1" ht="14.25" customHeight="1">
      <c r="A183" s="2941" t="s">
        <v>29</v>
      </c>
      <c r="B183" s="2941" t="s">
        <v>3063</v>
      </c>
      <c r="C183" s="2941"/>
      <c r="D183" s="2941"/>
      <c r="E183" s="2941"/>
      <c r="F183" s="2941">
        <v>2340</v>
      </c>
      <c r="G183" s="2941"/>
    </row>
    <row r="184" spans="1:7" s="2774" customFormat="1" ht="14.25" customHeight="1">
      <c r="A184" s="2941" t="s">
        <v>29</v>
      </c>
      <c r="B184" s="2941" t="s">
        <v>3064</v>
      </c>
      <c r="C184" s="2941"/>
      <c r="D184" s="2941"/>
      <c r="E184" s="2941"/>
      <c r="F184" s="2941">
        <v>2340</v>
      </c>
      <c r="G184" s="2941"/>
    </row>
    <row r="185" spans="1:7" s="2774" customFormat="1" ht="14.25" customHeight="1">
      <c r="A185" s="2941" t="s">
        <v>29</v>
      </c>
      <c r="B185" s="2941" t="s">
        <v>3065</v>
      </c>
      <c r="C185" s="2941"/>
      <c r="D185" s="2941"/>
      <c r="E185" s="2941"/>
      <c r="F185" s="2941">
        <v>2530</v>
      </c>
      <c r="G185" s="2941"/>
    </row>
    <row r="186" spans="1:7" s="2774" customFormat="1" ht="14.25" customHeight="1">
      <c r="A186" s="2941" t="s">
        <v>29</v>
      </c>
      <c r="B186" s="2941" t="s">
        <v>3066</v>
      </c>
      <c r="C186" s="2941"/>
      <c r="D186" s="2941"/>
      <c r="E186" s="2941"/>
      <c r="F186" s="2941">
        <v>2550</v>
      </c>
      <c r="G186" s="2941"/>
    </row>
    <row r="187" spans="1:7" s="2774" customFormat="1" ht="14.25" customHeight="1">
      <c r="A187" s="2941" t="s">
        <v>29</v>
      </c>
      <c r="B187" s="2941" t="s">
        <v>3067</v>
      </c>
      <c r="C187" s="2941"/>
      <c r="D187" s="2941"/>
      <c r="E187" s="2941"/>
      <c r="F187" s="2941">
        <v>2070</v>
      </c>
      <c r="G187" s="2941"/>
    </row>
    <row r="188" spans="1:7" s="2774" customFormat="1" ht="14.25" customHeight="1">
      <c r="A188" s="2941" t="s">
        <v>29</v>
      </c>
      <c r="B188" s="2941" t="s">
        <v>3068</v>
      </c>
      <c r="C188" s="2941"/>
      <c r="D188" s="2941"/>
      <c r="E188" s="2941"/>
      <c r="F188" s="2941">
        <v>2340</v>
      </c>
      <c r="G188" s="2941"/>
    </row>
    <row r="189" spans="1:7" s="2774" customFormat="1" ht="14.25" customHeight="1" thickBot="1">
      <c r="A189" s="2949" t="s">
        <v>29</v>
      </c>
      <c r="B189" s="2952" t="s">
        <v>3069</v>
      </c>
      <c r="C189" s="2952"/>
      <c r="D189" s="2952"/>
      <c r="E189" s="2952"/>
      <c r="F189" s="2952">
        <v>2050</v>
      </c>
      <c r="G189" s="2952"/>
    </row>
    <row r="190" spans="1:7" s="2774" customFormat="1" ht="14.25" customHeight="1">
      <c r="A190" s="2946" t="s">
        <v>304</v>
      </c>
      <c r="B190" s="2937" t="s">
        <v>3089</v>
      </c>
      <c r="C190" s="2937">
        <v>8830</v>
      </c>
      <c r="D190" s="2937">
        <v>8790</v>
      </c>
      <c r="E190" s="2937">
        <v>11630</v>
      </c>
      <c r="F190" s="2937">
        <v>1790</v>
      </c>
      <c r="G190" s="2953">
        <v>5550</v>
      </c>
    </row>
    <row r="191" spans="1:7" s="2774" customFormat="1" ht="14.25" customHeight="1">
      <c r="A191" s="2941" t="s">
        <v>304</v>
      </c>
      <c r="B191" s="2941" t="s">
        <v>133</v>
      </c>
      <c r="C191" s="2941">
        <v>9780</v>
      </c>
      <c r="D191" s="2941">
        <v>9710</v>
      </c>
      <c r="E191" s="2941">
        <v>12550</v>
      </c>
      <c r="F191" s="2941">
        <v>1980</v>
      </c>
      <c r="G191" s="2954">
        <v>6130</v>
      </c>
    </row>
    <row r="192" spans="1:7" s="2774" customFormat="1" ht="14.25" customHeight="1">
      <c r="A192" s="2941" t="s">
        <v>304</v>
      </c>
      <c r="B192" s="2941" t="s">
        <v>142</v>
      </c>
      <c r="C192" s="2941">
        <v>8180</v>
      </c>
      <c r="D192" s="2941">
        <v>8140</v>
      </c>
      <c r="E192" s="2941">
        <v>10870</v>
      </c>
      <c r="F192" s="2941">
        <v>1690</v>
      </c>
      <c r="G192" s="2954">
        <v>5140</v>
      </c>
    </row>
    <row r="193" spans="1:7" s="2774" customFormat="1" ht="14.25" customHeight="1">
      <c r="A193" s="2941" t="s">
        <v>304</v>
      </c>
      <c r="B193" s="2941" t="s">
        <v>151</v>
      </c>
      <c r="C193" s="2941">
        <v>8440</v>
      </c>
      <c r="D193" s="2941">
        <v>8390</v>
      </c>
      <c r="E193" s="2941">
        <v>11210</v>
      </c>
      <c r="F193" s="2941">
        <v>1600</v>
      </c>
      <c r="G193" s="2954">
        <v>5300</v>
      </c>
    </row>
    <row r="194" spans="1:7" s="2774" customFormat="1" ht="14.25" customHeight="1">
      <c r="A194" s="2941" t="s">
        <v>304</v>
      </c>
      <c r="B194" s="2941" t="s">
        <v>160</v>
      </c>
      <c r="C194" s="2941">
        <v>8780</v>
      </c>
      <c r="D194" s="2941">
        <v>8730</v>
      </c>
      <c r="E194" s="2941">
        <v>11550</v>
      </c>
      <c r="F194" s="2941">
        <v>1660</v>
      </c>
      <c r="G194" s="2954">
        <v>5520</v>
      </c>
    </row>
    <row r="195" spans="1:7" s="2774" customFormat="1" ht="14.25" customHeight="1">
      <c r="A195" s="2941" t="s">
        <v>304</v>
      </c>
      <c r="B195" s="2941" t="s">
        <v>167</v>
      </c>
      <c r="C195" s="2941">
        <v>8720</v>
      </c>
      <c r="D195" s="2941">
        <v>8670</v>
      </c>
      <c r="E195" s="2941">
        <v>11450</v>
      </c>
      <c r="F195" s="2941">
        <v>1720</v>
      </c>
      <c r="G195" s="2954">
        <v>5480</v>
      </c>
    </row>
    <row r="196" spans="1:7" s="2774" customFormat="1" ht="14.25" customHeight="1">
      <c r="A196" s="2941" t="s">
        <v>304</v>
      </c>
      <c r="B196" s="2941" t="s">
        <v>173</v>
      </c>
      <c r="C196" s="2941">
        <v>8460</v>
      </c>
      <c r="D196" s="2941">
        <v>8410</v>
      </c>
      <c r="E196" s="2941">
        <v>11230</v>
      </c>
      <c r="F196" s="2941">
        <v>1730</v>
      </c>
      <c r="G196" s="2954">
        <v>5310</v>
      </c>
    </row>
    <row r="197" spans="1:7" s="2774" customFormat="1" ht="14.25" customHeight="1">
      <c r="A197" s="2941" t="s">
        <v>304</v>
      </c>
      <c r="B197" s="2941" t="s">
        <v>180</v>
      </c>
      <c r="C197" s="2941">
        <v>8790</v>
      </c>
      <c r="D197" s="2941">
        <v>8730</v>
      </c>
      <c r="E197" s="2941">
        <v>11560</v>
      </c>
      <c r="F197" s="2941">
        <v>1750</v>
      </c>
      <c r="G197" s="2954">
        <v>5520</v>
      </c>
    </row>
    <row r="198" spans="1:7" s="2774" customFormat="1" ht="14.25" customHeight="1">
      <c r="A198" s="2941" t="s">
        <v>304</v>
      </c>
      <c r="B198" s="2941" t="s">
        <v>190</v>
      </c>
      <c r="C198" s="2941">
        <v>8720</v>
      </c>
      <c r="D198" s="2941">
        <v>8680</v>
      </c>
      <c r="E198" s="2941">
        <v>11470</v>
      </c>
      <c r="F198" s="2941"/>
      <c r="G198" s="2954">
        <v>5480</v>
      </c>
    </row>
    <row r="199" spans="1:7" s="2774" customFormat="1" ht="14.25" customHeight="1">
      <c r="A199" s="2941" t="s">
        <v>304</v>
      </c>
      <c r="B199" s="2941" t="s">
        <v>3090</v>
      </c>
      <c r="C199" s="2941">
        <v>8690</v>
      </c>
      <c r="D199" s="2941">
        <v>8630</v>
      </c>
      <c r="E199" s="2941">
        <v>11350</v>
      </c>
      <c r="F199" s="2941">
        <v>1600</v>
      </c>
      <c r="G199" s="2954">
        <v>5450</v>
      </c>
    </row>
    <row r="200" spans="1:7" s="2774" customFormat="1" ht="14.25" customHeight="1">
      <c r="A200" s="2941" t="s">
        <v>304</v>
      </c>
      <c r="B200" s="2941" t="s">
        <v>2901</v>
      </c>
      <c r="C200" s="2941"/>
      <c r="D200" s="2941"/>
      <c r="E200" s="2941"/>
      <c r="F200" s="2941">
        <v>1510</v>
      </c>
      <c r="G200" s="2954"/>
    </row>
    <row r="201" spans="1:7" s="2774" customFormat="1" ht="14.25" customHeight="1">
      <c r="A201" s="2941" t="s">
        <v>304</v>
      </c>
      <c r="B201" s="2941" t="s">
        <v>3091</v>
      </c>
      <c r="C201" s="2941">
        <v>8440</v>
      </c>
      <c r="D201" s="2941">
        <v>8390</v>
      </c>
      <c r="E201" s="2941">
        <v>10930</v>
      </c>
      <c r="F201" s="2941">
        <v>1500</v>
      </c>
      <c r="G201" s="2954">
        <v>5300</v>
      </c>
    </row>
    <row r="202" spans="1:7" s="2774" customFormat="1" ht="14.25" customHeight="1">
      <c r="A202" s="2941" t="s">
        <v>304</v>
      </c>
      <c r="B202" s="2941" t="s">
        <v>240</v>
      </c>
      <c r="C202" s="2941">
        <v>8530</v>
      </c>
      <c r="D202" s="2941">
        <v>8490</v>
      </c>
      <c r="E202" s="2941">
        <v>11160</v>
      </c>
      <c r="F202" s="2941">
        <v>1580</v>
      </c>
      <c r="G202" s="2954">
        <v>5360</v>
      </c>
    </row>
    <row r="203" spans="1:7" s="2774" customFormat="1" ht="14.25" customHeight="1">
      <c r="A203" s="2941" t="s">
        <v>304</v>
      </c>
      <c r="B203" s="2941" t="s">
        <v>3092</v>
      </c>
      <c r="C203" s="2941">
        <v>8130</v>
      </c>
      <c r="D203" s="2941">
        <v>8070</v>
      </c>
      <c r="E203" s="2941">
        <v>10820</v>
      </c>
      <c r="F203" s="2941">
        <v>1690</v>
      </c>
      <c r="G203" s="2954">
        <v>5100</v>
      </c>
    </row>
    <row r="204" spans="1:7" s="2774" customFormat="1" ht="14.25" customHeight="1">
      <c r="A204" s="2941" t="s">
        <v>304</v>
      </c>
      <c r="B204" s="2941" t="s">
        <v>2912</v>
      </c>
      <c r="C204" s="2941">
        <v>8350</v>
      </c>
      <c r="D204" s="2941">
        <v>8290</v>
      </c>
      <c r="E204" s="2941">
        <v>11080</v>
      </c>
      <c r="F204" s="2941">
        <v>1450</v>
      </c>
      <c r="G204" s="2954">
        <v>5240</v>
      </c>
    </row>
    <row r="205" spans="1:7" s="2774" customFormat="1" ht="14.25" customHeight="1">
      <c r="A205" s="2941" t="s">
        <v>304</v>
      </c>
      <c r="B205" s="2941" t="s">
        <v>2914</v>
      </c>
      <c r="C205" s="2941">
        <v>7190</v>
      </c>
      <c r="D205" s="2941">
        <v>7130</v>
      </c>
      <c r="E205" s="2941">
        <v>9490</v>
      </c>
      <c r="F205" s="2941">
        <v>1470</v>
      </c>
      <c r="G205" s="2954">
        <v>4510</v>
      </c>
    </row>
    <row r="206" spans="1:7" s="2774" customFormat="1" ht="14.25" customHeight="1">
      <c r="A206" s="2941" t="s">
        <v>304</v>
      </c>
      <c r="B206" s="2941" t="s">
        <v>2917</v>
      </c>
      <c r="C206" s="2941">
        <v>7000</v>
      </c>
      <c r="D206" s="2941">
        <v>6950</v>
      </c>
      <c r="E206" s="2941">
        <v>9170</v>
      </c>
      <c r="F206" s="2941">
        <v>1400</v>
      </c>
      <c r="G206" s="2954">
        <v>4380</v>
      </c>
    </row>
    <row r="207" spans="1:7" s="2774" customFormat="1" ht="14.25" customHeight="1">
      <c r="A207" s="2941" t="s">
        <v>304</v>
      </c>
      <c r="B207" s="2941" t="s">
        <v>2919</v>
      </c>
      <c r="C207" s="2941">
        <v>6950</v>
      </c>
      <c r="D207" s="2941">
        <v>6900</v>
      </c>
      <c r="E207" s="2941">
        <v>9110</v>
      </c>
      <c r="F207" s="2941">
        <v>1790</v>
      </c>
      <c r="G207" s="2954">
        <v>4360</v>
      </c>
    </row>
    <row r="208" spans="1:7" s="2774" customFormat="1" ht="14.25" customHeight="1">
      <c r="A208" s="2941" t="s">
        <v>304</v>
      </c>
      <c r="B208" s="2941" t="s">
        <v>3093</v>
      </c>
      <c r="C208" s="2941">
        <v>9470</v>
      </c>
      <c r="D208" s="2941">
        <v>9410</v>
      </c>
      <c r="E208" s="2941">
        <v>12330</v>
      </c>
      <c r="F208" s="2941">
        <v>1770</v>
      </c>
      <c r="G208" s="2954">
        <v>5940</v>
      </c>
    </row>
    <row r="209" spans="1:7" s="2774" customFormat="1" ht="14.25" customHeight="1">
      <c r="A209" s="2941" t="s">
        <v>304</v>
      </c>
      <c r="B209" s="2941" t="s">
        <v>264</v>
      </c>
      <c r="C209" s="2941">
        <v>8740</v>
      </c>
      <c r="D209" s="2941">
        <v>8700</v>
      </c>
      <c r="E209" s="2941">
        <v>11500</v>
      </c>
      <c r="F209" s="2941">
        <v>1730</v>
      </c>
      <c r="G209" s="2954">
        <v>5490</v>
      </c>
    </row>
    <row r="210" spans="1:7" s="2774" customFormat="1" ht="14.25" customHeight="1">
      <c r="A210" s="2941" t="s">
        <v>304</v>
      </c>
      <c r="B210" s="2941" t="s">
        <v>2929</v>
      </c>
      <c r="C210" s="2941">
        <v>8710</v>
      </c>
      <c r="D210" s="2941">
        <v>8660</v>
      </c>
      <c r="E210" s="2941">
        <v>11440</v>
      </c>
      <c r="F210" s="2941">
        <v>1740</v>
      </c>
      <c r="G210" s="2954">
        <v>5470</v>
      </c>
    </row>
    <row r="211" spans="1:7" s="2774" customFormat="1" ht="14.25" customHeight="1">
      <c r="A211" s="2941" t="s">
        <v>304</v>
      </c>
      <c r="B211" s="2941" t="s">
        <v>3094</v>
      </c>
      <c r="C211" s="2941">
        <v>9480</v>
      </c>
      <c r="D211" s="2941">
        <v>9430</v>
      </c>
      <c r="E211" s="2941">
        <v>12360</v>
      </c>
      <c r="F211" s="2941">
        <v>1820</v>
      </c>
      <c r="G211" s="2954">
        <v>5950</v>
      </c>
    </row>
    <row r="212" spans="1:7" s="2774" customFormat="1" ht="14.25" customHeight="1">
      <c r="A212" s="2941" t="s">
        <v>304</v>
      </c>
      <c r="B212" s="2941" t="s">
        <v>285</v>
      </c>
      <c r="C212" s="2941">
        <v>9070</v>
      </c>
      <c r="D212" s="2941">
        <v>9020</v>
      </c>
      <c r="E212" s="2941">
        <v>11720</v>
      </c>
      <c r="F212" s="2941">
        <v>1850</v>
      </c>
      <c r="G212" s="2954">
        <v>5700</v>
      </c>
    </row>
    <row r="213" spans="1:7" s="2774" customFormat="1" ht="14.25" customHeight="1">
      <c r="A213" s="2941" t="s">
        <v>304</v>
      </c>
      <c r="B213" s="2941" t="s">
        <v>288</v>
      </c>
      <c r="C213" s="2941">
        <v>9030</v>
      </c>
      <c r="D213" s="2941">
        <v>8980</v>
      </c>
      <c r="E213" s="2941">
        <v>11670</v>
      </c>
      <c r="F213" s="2941">
        <v>1690</v>
      </c>
      <c r="G213" s="2954">
        <v>5670</v>
      </c>
    </row>
    <row r="214" spans="1:7" s="2774" customFormat="1" ht="14.25" customHeight="1">
      <c r="A214" s="2941" t="s">
        <v>304</v>
      </c>
      <c r="B214" s="2941" t="s">
        <v>3095</v>
      </c>
      <c r="C214" s="2941">
        <v>8090</v>
      </c>
      <c r="D214" s="2941">
        <v>8030</v>
      </c>
      <c r="E214" s="2941">
        <v>10780</v>
      </c>
      <c r="F214" s="2941">
        <v>1570</v>
      </c>
      <c r="G214" s="2954">
        <v>5070</v>
      </c>
    </row>
    <row r="215" spans="1:7" s="2774" customFormat="1" ht="14.25" customHeight="1">
      <c r="A215" s="2941" t="s">
        <v>304</v>
      </c>
      <c r="B215" s="2941" t="s">
        <v>3096</v>
      </c>
      <c r="C215" s="2941">
        <v>7950</v>
      </c>
      <c r="D215" s="2941">
        <v>7900</v>
      </c>
      <c r="E215" s="2941">
        <v>10560</v>
      </c>
      <c r="F215" s="2941">
        <v>1630</v>
      </c>
      <c r="G215" s="2954">
        <v>4990</v>
      </c>
    </row>
    <row r="216" spans="1:7" s="2774" customFormat="1" ht="14.25" customHeight="1">
      <c r="A216" s="2941" t="s">
        <v>304</v>
      </c>
      <c r="B216" s="2941" t="s">
        <v>3097</v>
      </c>
      <c r="C216" s="2941">
        <v>8490</v>
      </c>
      <c r="D216" s="2941">
        <v>8440</v>
      </c>
      <c r="E216" s="2941">
        <v>11260</v>
      </c>
      <c r="F216" s="2941">
        <v>1690</v>
      </c>
      <c r="G216" s="2954">
        <v>5330</v>
      </c>
    </row>
    <row r="217" spans="1:7" s="2774" customFormat="1" ht="14.25" customHeight="1">
      <c r="A217" s="2941" t="s">
        <v>304</v>
      </c>
      <c r="B217" s="2941" t="s">
        <v>2962</v>
      </c>
      <c r="C217" s="2941">
        <v>8200</v>
      </c>
      <c r="D217" s="2941">
        <v>8150</v>
      </c>
      <c r="E217" s="2941">
        <v>10910</v>
      </c>
      <c r="F217" s="2941">
        <v>1670</v>
      </c>
      <c r="G217" s="2954">
        <v>5150</v>
      </c>
    </row>
    <row r="218" spans="1:7" s="2774" customFormat="1" ht="14.25" customHeight="1">
      <c r="A218" s="2941" t="s">
        <v>304</v>
      </c>
      <c r="B218" s="2941" t="s">
        <v>3098</v>
      </c>
      <c r="C218" s="2941"/>
      <c r="D218" s="2941"/>
      <c r="E218" s="2941"/>
      <c r="F218" s="2941">
        <v>2040</v>
      </c>
      <c r="G218" s="2954"/>
    </row>
    <row r="219" spans="1:7" s="2774" customFormat="1" ht="14.25" customHeight="1">
      <c r="A219" s="2941" t="s">
        <v>304</v>
      </c>
      <c r="B219" s="2941" t="s">
        <v>3099</v>
      </c>
      <c r="C219" s="2941"/>
      <c r="D219" s="2941"/>
      <c r="E219" s="2941"/>
      <c r="F219" s="2941">
        <v>2040</v>
      </c>
      <c r="G219" s="2954"/>
    </row>
    <row r="220" spans="1:7" s="2774" customFormat="1" ht="14.25" customHeight="1">
      <c r="A220" s="2941" t="s">
        <v>304</v>
      </c>
      <c r="B220" s="2941" t="s">
        <v>3100</v>
      </c>
      <c r="C220" s="2941"/>
      <c r="D220" s="2941"/>
      <c r="E220" s="2941"/>
      <c r="F220" s="2941">
        <v>2040</v>
      </c>
      <c r="G220" s="2954"/>
    </row>
    <row r="221" spans="1:7" s="2774" customFormat="1" ht="14.25" customHeight="1">
      <c r="A221" s="2941" t="s">
        <v>304</v>
      </c>
      <c r="B221" s="2941" t="s">
        <v>3101</v>
      </c>
      <c r="C221" s="2941"/>
      <c r="D221" s="2941"/>
      <c r="E221" s="2941"/>
      <c r="F221" s="2941">
        <v>2040</v>
      </c>
      <c r="G221" s="2954"/>
    </row>
    <row r="222" spans="1:7" s="2774" customFormat="1" ht="14.25" customHeight="1">
      <c r="A222" s="2941" t="s">
        <v>304</v>
      </c>
      <c r="B222" s="2941" t="s">
        <v>3102</v>
      </c>
      <c r="C222" s="2941"/>
      <c r="D222" s="2941"/>
      <c r="E222" s="2941"/>
      <c r="F222" s="2941">
        <v>2040</v>
      </c>
      <c r="G222" s="2954"/>
    </row>
    <row r="223" spans="1:7" s="2774" customFormat="1" ht="14.25" customHeight="1">
      <c r="A223" s="2941" t="s">
        <v>304</v>
      </c>
      <c r="B223" s="2941" t="s">
        <v>3103</v>
      </c>
      <c r="C223" s="2941"/>
      <c r="D223" s="2941"/>
      <c r="E223" s="2941"/>
      <c r="F223" s="2941">
        <v>1930</v>
      </c>
      <c r="G223" s="2954"/>
    </row>
    <row r="224" spans="1:7" s="2774" customFormat="1" ht="14.25" customHeight="1">
      <c r="A224" s="2941" t="s">
        <v>304</v>
      </c>
      <c r="B224" s="2941" t="s">
        <v>3104</v>
      </c>
      <c r="C224" s="2941"/>
      <c r="D224" s="2941"/>
      <c r="E224" s="2941"/>
      <c r="F224" s="2941">
        <v>1930</v>
      </c>
      <c r="G224" s="2954"/>
    </row>
    <row r="225" spans="1:7" s="2774" customFormat="1" ht="14.25" customHeight="1">
      <c r="A225" s="2941" t="s">
        <v>304</v>
      </c>
      <c r="B225" s="2941" t="s">
        <v>3105</v>
      </c>
      <c r="C225" s="2941"/>
      <c r="D225" s="2941"/>
      <c r="E225" s="2941"/>
      <c r="F225" s="2941">
        <v>1930</v>
      </c>
      <c r="G225" s="2954"/>
    </row>
    <row r="226" spans="1:7" s="2774" customFormat="1" ht="14.25" customHeight="1">
      <c r="A226" s="2941" t="s">
        <v>304</v>
      </c>
      <c r="B226" s="2941" t="s">
        <v>3106</v>
      </c>
      <c r="C226" s="2941"/>
      <c r="D226" s="2941"/>
      <c r="E226" s="2941"/>
      <c r="F226" s="2941">
        <v>1700</v>
      </c>
      <c r="G226" s="2954"/>
    </row>
    <row r="227" spans="1:7" s="2774" customFormat="1" ht="14.25" customHeight="1">
      <c r="A227" s="2941" t="s">
        <v>304</v>
      </c>
      <c r="B227" s="2941" t="s">
        <v>3107</v>
      </c>
      <c r="C227" s="2941"/>
      <c r="D227" s="2941"/>
      <c r="E227" s="2941"/>
      <c r="F227" s="2941">
        <v>1520</v>
      </c>
      <c r="G227" s="2954"/>
    </row>
    <row r="228" spans="1:7" s="2774" customFormat="1" ht="14.25" customHeight="1">
      <c r="A228" s="2941" t="s">
        <v>304</v>
      </c>
      <c r="B228" s="2941" t="s">
        <v>3108</v>
      </c>
      <c r="C228" s="2941"/>
      <c r="D228" s="2941"/>
      <c r="E228" s="2941"/>
      <c r="F228" s="2941">
        <v>1520</v>
      </c>
      <c r="G228" s="2954"/>
    </row>
    <row r="229" spans="1:7" s="2774" customFormat="1" ht="14.25" customHeight="1">
      <c r="A229" s="2941" t="s">
        <v>304</v>
      </c>
      <c r="B229" s="2941" t="s">
        <v>3025</v>
      </c>
      <c r="C229" s="2941"/>
      <c r="D229" s="2941"/>
      <c r="E229" s="2941"/>
      <c r="F229" s="2941">
        <v>1520</v>
      </c>
      <c r="G229" s="2954"/>
    </row>
    <row r="230" spans="1:7" s="2774" customFormat="1" ht="14.25" customHeight="1">
      <c r="A230" s="2941" t="s">
        <v>304</v>
      </c>
      <c r="B230" s="2941" t="s">
        <v>3109</v>
      </c>
      <c r="C230" s="2941"/>
      <c r="D230" s="2941"/>
      <c r="E230" s="2941"/>
      <c r="F230" s="2941">
        <v>1820</v>
      </c>
      <c r="G230" s="2954"/>
    </row>
    <row r="231" spans="1:7" s="2774" customFormat="1" ht="14.25" customHeight="1">
      <c r="A231" s="2941" t="s">
        <v>304</v>
      </c>
      <c r="B231" s="2941" t="s">
        <v>3110</v>
      </c>
      <c r="C231" s="2941"/>
      <c r="D231" s="2941"/>
      <c r="E231" s="2941"/>
      <c r="F231" s="2941">
        <v>1760</v>
      </c>
      <c r="G231" s="2954"/>
    </row>
    <row r="232" spans="1:7" s="2774" customFormat="1" ht="14.25" customHeight="1">
      <c r="A232" s="2941" t="s">
        <v>304</v>
      </c>
      <c r="B232" s="2941" t="s">
        <v>3111</v>
      </c>
      <c r="C232" s="2941"/>
      <c r="D232" s="2941"/>
      <c r="E232" s="2941"/>
      <c r="F232" s="2941">
        <v>1840</v>
      </c>
      <c r="G232" s="2954"/>
    </row>
    <row r="233" spans="1:7" s="2774" customFormat="1" ht="14.25" customHeight="1" thickBot="1">
      <c r="A233" s="2955" t="s">
        <v>304</v>
      </c>
      <c r="B233" s="2948" t="s">
        <v>3042</v>
      </c>
      <c r="C233" s="2948"/>
      <c r="D233" s="2948"/>
      <c r="E233" s="2948"/>
      <c r="F233" s="2948">
        <v>1770</v>
      </c>
      <c r="G233" s="2956"/>
    </row>
    <row r="234" spans="1:7" s="2774" customFormat="1" ht="14.25" customHeight="1">
      <c r="A234" s="2946" t="s">
        <v>305</v>
      </c>
      <c r="B234" s="2937" t="s">
        <v>3112</v>
      </c>
      <c r="C234" s="2941">
        <v>6980</v>
      </c>
      <c r="D234" s="2941">
        <v>6970</v>
      </c>
      <c r="E234" s="2941">
        <v>8720</v>
      </c>
      <c r="F234" s="2941">
        <v>1350</v>
      </c>
      <c r="G234" s="2941">
        <v>4280</v>
      </c>
    </row>
    <row r="235" spans="1:7" s="2774" customFormat="1" ht="14.25" customHeight="1">
      <c r="A235" s="2941" t="s">
        <v>305</v>
      </c>
      <c r="B235" s="2941" t="s">
        <v>134</v>
      </c>
      <c r="C235" s="2941">
        <v>7620</v>
      </c>
      <c r="D235" s="2941">
        <v>7580</v>
      </c>
      <c r="E235" s="2941">
        <v>9360</v>
      </c>
      <c r="F235" s="2941">
        <v>1490</v>
      </c>
      <c r="G235" s="2941">
        <v>4650</v>
      </c>
    </row>
    <row r="236" spans="1:7" s="2774" customFormat="1" ht="14.25" customHeight="1">
      <c r="A236" s="2941" t="s">
        <v>305</v>
      </c>
      <c r="B236" s="2941" t="s">
        <v>143</v>
      </c>
      <c r="C236" s="2941">
        <v>6650</v>
      </c>
      <c r="D236" s="2941">
        <v>6630</v>
      </c>
      <c r="E236" s="2941">
        <v>8330</v>
      </c>
      <c r="F236" s="2941">
        <v>1250</v>
      </c>
      <c r="G236" s="2941">
        <v>4070</v>
      </c>
    </row>
    <row r="237" spans="1:7" s="2774" customFormat="1" ht="14.25" customHeight="1">
      <c r="A237" s="2941" t="s">
        <v>305</v>
      </c>
      <c r="B237" s="2941" t="s">
        <v>152</v>
      </c>
      <c r="C237" s="2941">
        <v>5850</v>
      </c>
      <c r="D237" s="2941">
        <v>5820</v>
      </c>
      <c r="E237" s="2941">
        <v>7260</v>
      </c>
      <c r="F237" s="2941">
        <v>1140</v>
      </c>
      <c r="G237" s="2941">
        <v>3570</v>
      </c>
    </row>
    <row r="238" spans="1:7" s="2774" customFormat="1" ht="14.25" customHeight="1">
      <c r="A238" s="2941" t="s">
        <v>305</v>
      </c>
      <c r="B238" s="2941" t="s">
        <v>2883</v>
      </c>
      <c r="C238" s="2941">
        <v>6920</v>
      </c>
      <c r="D238" s="2941">
        <v>6890</v>
      </c>
      <c r="E238" s="2941">
        <v>8640</v>
      </c>
      <c r="F238" s="2941">
        <v>1310</v>
      </c>
      <c r="G238" s="2941">
        <v>4230</v>
      </c>
    </row>
    <row r="239" spans="1:7" s="2774" customFormat="1" ht="14.25" customHeight="1">
      <c r="A239" s="2941" t="s">
        <v>305</v>
      </c>
      <c r="B239" s="2941" t="s">
        <v>3113</v>
      </c>
      <c r="C239" s="2941">
        <v>6780</v>
      </c>
      <c r="D239" s="2941">
        <v>6750</v>
      </c>
      <c r="E239" s="2941">
        <v>8440</v>
      </c>
      <c r="F239" s="2941">
        <v>1160</v>
      </c>
      <c r="G239" s="2941">
        <v>4140</v>
      </c>
    </row>
    <row r="240" spans="1:7" s="2774" customFormat="1" ht="14.25" customHeight="1">
      <c r="A240" s="2941" t="s">
        <v>305</v>
      </c>
      <c r="B240" s="2941" t="s">
        <v>3114</v>
      </c>
      <c r="C240" s="2941">
        <v>5420</v>
      </c>
      <c r="D240" s="2941">
        <v>5380</v>
      </c>
      <c r="E240" s="2941">
        <v>6640</v>
      </c>
      <c r="F240" s="2941">
        <v>1020</v>
      </c>
      <c r="G240" s="2941">
        <v>3300</v>
      </c>
    </row>
    <row r="241" spans="1:7" s="2774" customFormat="1" ht="14.25" customHeight="1">
      <c r="A241" s="2941" t="s">
        <v>305</v>
      </c>
      <c r="B241" s="2941" t="s">
        <v>3115</v>
      </c>
      <c r="C241" s="2941">
        <v>6660</v>
      </c>
      <c r="D241" s="2941">
        <v>6640</v>
      </c>
      <c r="E241" s="2941">
        <v>8340</v>
      </c>
      <c r="F241" s="2941">
        <v>1130</v>
      </c>
      <c r="G241" s="2941">
        <v>4080</v>
      </c>
    </row>
    <row r="242" spans="1:7" s="2774" customFormat="1" ht="14.25" customHeight="1">
      <c r="A242" s="2941" t="s">
        <v>305</v>
      </c>
      <c r="B242" s="2941" t="s">
        <v>181</v>
      </c>
      <c r="C242" s="2941">
        <v>6580</v>
      </c>
      <c r="D242" s="2941">
        <v>6550</v>
      </c>
      <c r="E242" s="2941">
        <v>8090</v>
      </c>
      <c r="F242" s="2941">
        <v>1240</v>
      </c>
      <c r="G242" s="2941">
        <v>4020</v>
      </c>
    </row>
    <row r="243" spans="1:7" s="2774" customFormat="1" ht="14.25" customHeight="1">
      <c r="A243" s="2941" t="s">
        <v>305</v>
      </c>
      <c r="B243" s="2941" t="s">
        <v>191</v>
      </c>
      <c r="C243" s="2941">
        <v>6000</v>
      </c>
      <c r="D243" s="2941">
        <v>5970</v>
      </c>
      <c r="E243" s="2941">
        <v>7370</v>
      </c>
      <c r="F243" s="2941">
        <v>1070</v>
      </c>
      <c r="G243" s="2941">
        <v>3670</v>
      </c>
    </row>
    <row r="244" spans="1:7" s="2774" customFormat="1" ht="14.25" customHeight="1">
      <c r="A244" s="2941" t="s">
        <v>305</v>
      </c>
      <c r="B244" s="2941" t="s">
        <v>3116</v>
      </c>
      <c r="C244" s="2941">
        <v>5840</v>
      </c>
      <c r="D244" s="2941">
        <v>5810</v>
      </c>
      <c r="E244" s="2941">
        <v>7240</v>
      </c>
      <c r="F244" s="2941">
        <v>1100</v>
      </c>
      <c r="G244" s="2941">
        <v>3560</v>
      </c>
    </row>
    <row r="245" spans="1:7" s="2774" customFormat="1" ht="14.25" customHeight="1">
      <c r="A245" s="2941" t="s">
        <v>305</v>
      </c>
      <c r="B245" s="2941" t="s">
        <v>206</v>
      </c>
      <c r="C245" s="2941">
        <v>6040</v>
      </c>
      <c r="D245" s="2941">
        <v>6000</v>
      </c>
      <c r="E245" s="2941">
        <v>7420</v>
      </c>
      <c r="F245" s="2941">
        <v>1140</v>
      </c>
      <c r="G245" s="2941">
        <v>3690</v>
      </c>
    </row>
    <row r="246" spans="1:7" s="2774" customFormat="1" ht="14.25" customHeight="1">
      <c r="A246" s="2941" t="s">
        <v>305</v>
      </c>
      <c r="B246" s="2941" t="s">
        <v>213</v>
      </c>
      <c r="C246" s="2941">
        <v>5890</v>
      </c>
      <c r="D246" s="2941">
        <v>5860</v>
      </c>
      <c r="E246" s="2941">
        <v>7300</v>
      </c>
      <c r="F246" s="2941">
        <v>1110</v>
      </c>
      <c r="G246" s="2941">
        <v>3590</v>
      </c>
    </row>
    <row r="247" spans="1:7" s="2774" customFormat="1" ht="14.25" customHeight="1">
      <c r="A247" s="2941" t="s">
        <v>305</v>
      </c>
      <c r="B247" s="2941" t="s">
        <v>3117</v>
      </c>
      <c r="C247" s="2941">
        <v>6480</v>
      </c>
      <c r="D247" s="2941">
        <v>6450</v>
      </c>
      <c r="E247" s="2941">
        <v>8010</v>
      </c>
      <c r="F247" s="2941">
        <v>1170</v>
      </c>
      <c r="G247" s="2941">
        <v>3960</v>
      </c>
    </row>
    <row r="248" spans="1:7" s="2774" customFormat="1" ht="14.25" customHeight="1">
      <c r="A248" s="2941" t="s">
        <v>305</v>
      </c>
      <c r="B248" s="2941" t="s">
        <v>227</v>
      </c>
      <c r="C248" s="2941">
        <v>6860</v>
      </c>
      <c r="D248" s="2941">
        <v>6840</v>
      </c>
      <c r="E248" s="2941">
        <v>8520</v>
      </c>
      <c r="F248" s="2941">
        <v>1240</v>
      </c>
      <c r="G248" s="2941">
        <v>4200</v>
      </c>
    </row>
    <row r="249" spans="1:7" s="2774" customFormat="1" ht="14.25" customHeight="1">
      <c r="A249" s="2941" t="s">
        <v>305</v>
      </c>
      <c r="B249" s="2941" t="s">
        <v>3118</v>
      </c>
      <c r="C249" s="2941">
        <v>7180</v>
      </c>
      <c r="D249" s="2941">
        <v>7140</v>
      </c>
      <c r="E249" s="2941">
        <v>8900</v>
      </c>
      <c r="F249" s="2941">
        <v>1350</v>
      </c>
      <c r="G249" s="2941">
        <v>4380</v>
      </c>
    </row>
    <row r="250" spans="1:7" s="2774" customFormat="1" ht="14.25" customHeight="1">
      <c r="A250" s="2941" t="s">
        <v>305</v>
      </c>
      <c r="B250" s="2941" t="s">
        <v>241</v>
      </c>
      <c r="C250" s="2941">
        <v>6880</v>
      </c>
      <c r="D250" s="2941">
        <v>6860</v>
      </c>
      <c r="E250" s="2941">
        <v>8550</v>
      </c>
      <c r="F250" s="2941">
        <v>1220</v>
      </c>
      <c r="G250" s="2941">
        <v>4210</v>
      </c>
    </row>
    <row r="251" spans="1:7" s="2774" customFormat="1" ht="14.25" customHeight="1">
      <c r="A251" s="2941" t="s">
        <v>305</v>
      </c>
      <c r="B251" s="2941" t="s">
        <v>249</v>
      </c>
      <c r="C251" s="2941"/>
      <c r="D251" s="2941"/>
      <c r="E251" s="2941"/>
      <c r="F251" s="2941">
        <v>1100</v>
      </c>
      <c r="G251" s="2941"/>
    </row>
    <row r="252" spans="1:7" s="2774" customFormat="1" ht="14.25" customHeight="1">
      <c r="A252" s="2941" t="s">
        <v>305</v>
      </c>
      <c r="B252" s="2941" t="s">
        <v>3119</v>
      </c>
      <c r="C252" s="2941">
        <v>7240</v>
      </c>
      <c r="D252" s="2941">
        <v>7200</v>
      </c>
      <c r="E252" s="2941">
        <v>9040</v>
      </c>
      <c r="F252" s="2941">
        <v>1380</v>
      </c>
      <c r="G252" s="2941">
        <v>4420</v>
      </c>
    </row>
    <row r="253" spans="1:7" s="2774" customFormat="1" ht="14.25" customHeight="1">
      <c r="A253" s="2941" t="s">
        <v>305</v>
      </c>
      <c r="B253" s="2941" t="s">
        <v>283</v>
      </c>
      <c r="C253" s="2941">
        <v>6670</v>
      </c>
      <c r="D253" s="2941">
        <v>6650</v>
      </c>
      <c r="E253" s="2941">
        <v>8350</v>
      </c>
      <c r="F253" s="2941">
        <v>1260</v>
      </c>
      <c r="G253" s="2941">
        <v>4080</v>
      </c>
    </row>
    <row r="254" spans="1:7" s="2774" customFormat="1" ht="14.25" customHeight="1">
      <c r="A254" s="2941" t="s">
        <v>305</v>
      </c>
      <c r="B254" s="2941" t="s">
        <v>286</v>
      </c>
      <c r="C254" s="2941">
        <v>7630</v>
      </c>
      <c r="D254" s="2941">
        <v>7590</v>
      </c>
      <c r="E254" s="2941">
        <v>9380</v>
      </c>
      <c r="F254" s="2941">
        <v>1320</v>
      </c>
      <c r="G254" s="2941">
        <v>4660</v>
      </c>
    </row>
    <row r="255" spans="1:7" s="2774" customFormat="1" ht="14.25" customHeight="1">
      <c r="A255" s="2941" t="s">
        <v>305</v>
      </c>
      <c r="B255" s="2941" t="s">
        <v>289</v>
      </c>
      <c r="C255" s="2941">
        <v>6940</v>
      </c>
      <c r="D255" s="2941">
        <v>6890</v>
      </c>
      <c r="E255" s="2941">
        <v>8650</v>
      </c>
      <c r="F255" s="2941">
        <v>1210</v>
      </c>
      <c r="G255" s="2941">
        <v>4230</v>
      </c>
    </row>
    <row r="256" spans="1:7" s="2774" customFormat="1" ht="14.25" customHeight="1">
      <c r="A256" s="2941" t="s">
        <v>305</v>
      </c>
      <c r="B256" s="2941" t="s">
        <v>3120</v>
      </c>
      <c r="C256" s="2941">
        <v>7520</v>
      </c>
      <c r="D256" s="2941">
        <v>7490</v>
      </c>
      <c r="E256" s="2941">
        <v>9240</v>
      </c>
      <c r="F256" s="2941">
        <v>1270</v>
      </c>
      <c r="G256" s="2941">
        <v>4590</v>
      </c>
    </row>
    <row r="257" spans="1:7" s="2774" customFormat="1" ht="14.25" customHeight="1">
      <c r="A257" s="2941" t="s">
        <v>305</v>
      </c>
      <c r="B257" s="2941" t="s">
        <v>275</v>
      </c>
      <c r="C257" s="2941">
        <v>6280</v>
      </c>
      <c r="D257" s="2941">
        <v>6230</v>
      </c>
      <c r="E257" s="2941">
        <v>7740</v>
      </c>
      <c r="F257" s="2941">
        <v>1080</v>
      </c>
      <c r="G257" s="2941">
        <v>3830</v>
      </c>
    </row>
    <row r="258" spans="1:7" s="2774" customFormat="1" ht="14.25" customHeight="1">
      <c r="A258" s="2941" t="s">
        <v>305</v>
      </c>
      <c r="B258" s="2941" t="s">
        <v>2945</v>
      </c>
      <c r="C258" s="2941">
        <v>6190</v>
      </c>
      <c r="D258" s="2941">
        <v>6160</v>
      </c>
      <c r="E258" s="2941">
        <v>7680</v>
      </c>
      <c r="F258" s="2941">
        <v>1170</v>
      </c>
      <c r="G258" s="2941">
        <v>3780</v>
      </c>
    </row>
    <row r="259" spans="1:7" s="2774" customFormat="1" ht="14.25" customHeight="1">
      <c r="A259" s="2941" t="s">
        <v>305</v>
      </c>
      <c r="B259" s="2941" t="s">
        <v>3121</v>
      </c>
      <c r="C259" s="2941">
        <v>7610</v>
      </c>
      <c r="D259" s="2941">
        <v>7570</v>
      </c>
      <c r="E259" s="2941">
        <v>9350</v>
      </c>
      <c r="F259" s="2941">
        <v>1350</v>
      </c>
      <c r="G259" s="2941">
        <v>4650</v>
      </c>
    </row>
    <row r="260" spans="1:7" s="2774" customFormat="1" ht="14.25" customHeight="1">
      <c r="A260" s="2941" t="s">
        <v>305</v>
      </c>
      <c r="B260" s="2941" t="s">
        <v>3122</v>
      </c>
      <c r="C260" s="2941">
        <v>6920</v>
      </c>
      <c r="D260" s="2941">
        <v>6880</v>
      </c>
      <c r="E260" s="2941">
        <v>8380</v>
      </c>
      <c r="F260" s="2941">
        <v>1160</v>
      </c>
      <c r="G260" s="2941">
        <v>4220</v>
      </c>
    </row>
    <row r="261" spans="1:7" s="2774" customFormat="1" ht="14.25" customHeight="1">
      <c r="A261" s="2941" t="s">
        <v>305</v>
      </c>
      <c r="B261" s="2941" t="s">
        <v>3123</v>
      </c>
      <c r="C261" s="2941">
        <v>6850</v>
      </c>
      <c r="D261" s="2941">
        <v>6810</v>
      </c>
      <c r="E261" s="2941">
        <v>8290</v>
      </c>
      <c r="F261" s="2941">
        <v>1130</v>
      </c>
      <c r="G261" s="2941">
        <v>4180</v>
      </c>
    </row>
    <row r="262" spans="1:7" s="2774" customFormat="1" ht="14.25" customHeight="1">
      <c r="A262" s="2941" t="s">
        <v>305</v>
      </c>
      <c r="B262" s="2941" t="s">
        <v>3124</v>
      </c>
      <c r="C262" s="2941">
        <v>5860</v>
      </c>
      <c r="D262" s="2941">
        <v>5820</v>
      </c>
      <c r="E262" s="2941">
        <v>7640</v>
      </c>
      <c r="F262" s="2941">
        <v>1070</v>
      </c>
      <c r="G262" s="2941">
        <v>3570</v>
      </c>
    </row>
    <row r="263" spans="1:7" s="2774" customFormat="1" ht="14.25" customHeight="1">
      <c r="A263" s="2941" t="s">
        <v>305</v>
      </c>
      <c r="B263" s="2941" t="s">
        <v>3125</v>
      </c>
      <c r="C263" s="2941">
        <v>5870</v>
      </c>
      <c r="D263" s="2941">
        <v>5840</v>
      </c>
      <c r="E263" s="2941">
        <v>7270</v>
      </c>
      <c r="F263" s="2941">
        <v>1190</v>
      </c>
      <c r="G263" s="2941">
        <v>3580</v>
      </c>
    </row>
    <row r="264" spans="1:7" s="2774" customFormat="1" ht="14.25" customHeight="1">
      <c r="A264" s="2941" t="s">
        <v>305</v>
      </c>
      <c r="B264" s="2941" t="s">
        <v>299</v>
      </c>
      <c r="C264" s="2941">
        <v>6190</v>
      </c>
      <c r="D264" s="2941">
        <v>6150</v>
      </c>
      <c r="E264" s="2941">
        <v>7660</v>
      </c>
      <c r="F264" s="2941">
        <v>1160</v>
      </c>
      <c r="G264" s="2941">
        <v>3770</v>
      </c>
    </row>
    <row r="265" spans="1:7" s="2774" customFormat="1" ht="14.25" customHeight="1">
      <c r="A265" s="2941" t="s">
        <v>305</v>
      </c>
      <c r="B265" s="2941" t="s">
        <v>3126</v>
      </c>
      <c r="C265" s="2941"/>
      <c r="D265" s="2941"/>
      <c r="E265" s="2941"/>
      <c r="F265" s="2941">
        <v>1500</v>
      </c>
      <c r="G265" s="2941"/>
    </row>
    <row r="266" spans="1:7" s="2774" customFormat="1" ht="14.25" customHeight="1">
      <c r="A266" s="2941" t="s">
        <v>305</v>
      </c>
      <c r="B266" s="2941" t="s">
        <v>3127</v>
      </c>
      <c r="C266" s="2941"/>
      <c r="D266" s="2941"/>
      <c r="E266" s="2941"/>
      <c r="F266" s="2941">
        <v>1500</v>
      </c>
      <c r="G266" s="2941"/>
    </row>
    <row r="267" spans="1:7" s="2774" customFormat="1" ht="14.25" customHeight="1">
      <c r="A267" s="2941" t="s">
        <v>305</v>
      </c>
      <c r="B267" s="2941" t="s">
        <v>3128</v>
      </c>
      <c r="C267" s="2941"/>
      <c r="D267" s="2941"/>
      <c r="E267" s="2941"/>
      <c r="F267" s="2941">
        <v>1500</v>
      </c>
      <c r="G267" s="2941"/>
    </row>
    <row r="268" spans="1:7" s="2774" customFormat="1" ht="14.25" customHeight="1">
      <c r="A268" s="2941" t="s">
        <v>305</v>
      </c>
      <c r="B268" s="2941" t="s">
        <v>3129</v>
      </c>
      <c r="C268" s="2941"/>
      <c r="D268" s="2941"/>
      <c r="E268" s="2941"/>
      <c r="F268" s="2941">
        <v>1290</v>
      </c>
      <c r="G268" s="2941"/>
    </row>
    <row r="269" spans="1:7" s="2774" customFormat="1" ht="14.25" customHeight="1">
      <c r="A269" s="2941" t="s">
        <v>305</v>
      </c>
      <c r="B269" s="2941" t="s">
        <v>3130</v>
      </c>
      <c r="C269" s="2941"/>
      <c r="D269" s="2941"/>
      <c r="E269" s="2941"/>
      <c r="F269" s="2941">
        <v>1150</v>
      </c>
      <c r="G269" s="2941"/>
    </row>
    <row r="270" spans="1:7" s="2774" customFormat="1" ht="14.25" customHeight="1">
      <c r="A270" s="2941" t="s">
        <v>305</v>
      </c>
      <c r="B270" s="2941" t="s">
        <v>3131</v>
      </c>
      <c r="C270" s="2941"/>
      <c r="D270" s="2941"/>
      <c r="E270" s="2941"/>
      <c r="F270" s="2941">
        <v>1380</v>
      </c>
      <c r="G270" s="2941"/>
    </row>
    <row r="271" spans="1:7" s="2774" customFormat="1" ht="14.25" customHeight="1">
      <c r="A271" s="2941" t="s">
        <v>305</v>
      </c>
      <c r="B271" s="2941" t="s">
        <v>3132</v>
      </c>
      <c r="C271" s="2941"/>
      <c r="D271" s="2941"/>
      <c r="E271" s="2941"/>
      <c r="F271" s="2941">
        <v>1460</v>
      </c>
      <c r="G271" s="2941"/>
    </row>
    <row r="272" spans="1:7" s="2774" customFormat="1" ht="14.25" customHeight="1">
      <c r="A272" s="2941" t="s">
        <v>305</v>
      </c>
      <c r="B272" s="2941" t="s">
        <v>3133</v>
      </c>
      <c r="C272" s="2941"/>
      <c r="D272" s="2941"/>
      <c r="E272" s="2941"/>
      <c r="F272" s="2941">
        <v>1460</v>
      </c>
      <c r="G272" s="2941"/>
    </row>
    <row r="273" spans="1:7" s="2774" customFormat="1" ht="14.25" customHeight="1">
      <c r="A273" s="2941" t="s">
        <v>305</v>
      </c>
      <c r="B273" s="2941" t="s">
        <v>3026</v>
      </c>
      <c r="C273" s="2941"/>
      <c r="D273" s="2941"/>
      <c r="E273" s="2941"/>
      <c r="F273" s="2941">
        <v>1490</v>
      </c>
      <c r="G273" s="2941"/>
    </row>
    <row r="274" spans="1:7" s="2774" customFormat="1" ht="14.25" customHeight="1">
      <c r="A274" s="2941" t="s">
        <v>305</v>
      </c>
      <c r="B274" s="2941" t="s">
        <v>3134</v>
      </c>
      <c r="C274" s="2941"/>
      <c r="D274" s="2941"/>
      <c r="E274" s="2941"/>
      <c r="F274" s="2941">
        <v>1490</v>
      </c>
      <c r="G274" s="2941"/>
    </row>
    <row r="275" spans="1:7" s="2774" customFormat="1" ht="14.25" customHeight="1">
      <c r="A275" s="2941" t="s">
        <v>305</v>
      </c>
      <c r="B275" s="2941" t="s">
        <v>3135</v>
      </c>
      <c r="C275" s="2941"/>
      <c r="D275" s="2941"/>
      <c r="E275" s="2941"/>
      <c r="F275" s="2941">
        <v>1220</v>
      </c>
      <c r="G275" s="2941"/>
    </row>
    <row r="276" spans="1:7" s="2774" customFormat="1" ht="14.25" customHeight="1" thickBot="1">
      <c r="A276" s="2949" t="s">
        <v>305</v>
      </c>
      <c r="B276" s="2951" t="s">
        <v>3136</v>
      </c>
      <c r="C276" s="2952"/>
      <c r="D276" s="2952"/>
      <c r="E276" s="2952"/>
      <c r="F276" s="2952">
        <v>1380</v>
      </c>
      <c r="G276" s="2952"/>
    </row>
    <row r="277" spans="1:7" s="2774" customFormat="1" ht="14.25" customHeight="1">
      <c r="A277" s="2946" t="s">
        <v>306</v>
      </c>
      <c r="B277" s="2937" t="s">
        <v>3137</v>
      </c>
      <c r="C277" s="2937">
        <v>5790</v>
      </c>
      <c r="D277" s="2937">
        <v>5740</v>
      </c>
      <c r="E277" s="2937">
        <v>6730</v>
      </c>
      <c r="F277" s="2937">
        <v>1110</v>
      </c>
      <c r="G277" s="2953">
        <v>3460</v>
      </c>
    </row>
    <row r="278" spans="1:7" s="2774" customFormat="1" ht="14.25" customHeight="1">
      <c r="A278" s="2941" t="s">
        <v>306</v>
      </c>
      <c r="B278" s="2941" t="s">
        <v>135</v>
      </c>
      <c r="C278" s="2941">
        <v>5740</v>
      </c>
      <c r="D278" s="2941">
        <v>5670</v>
      </c>
      <c r="E278" s="2941">
        <v>6680</v>
      </c>
      <c r="F278" s="2941">
        <v>1070</v>
      </c>
      <c r="G278" s="2954">
        <v>3420</v>
      </c>
    </row>
    <row r="279" spans="1:7" s="2774" customFormat="1" ht="14.25" customHeight="1">
      <c r="A279" s="2941" t="s">
        <v>306</v>
      </c>
      <c r="B279" s="2941" t="s">
        <v>3138</v>
      </c>
      <c r="C279" s="2941">
        <v>4760</v>
      </c>
      <c r="D279" s="2941">
        <v>4720</v>
      </c>
      <c r="E279" s="2941">
        <v>5540</v>
      </c>
      <c r="F279" s="2941">
        <v>810</v>
      </c>
      <c r="G279" s="2954">
        <v>2850</v>
      </c>
    </row>
    <row r="280" spans="1:7" s="2774" customFormat="1" ht="14.25" customHeight="1">
      <c r="A280" s="2941" t="s">
        <v>306</v>
      </c>
      <c r="B280" s="2941" t="s">
        <v>3139</v>
      </c>
      <c r="C280" s="2941">
        <v>4010</v>
      </c>
      <c r="D280" s="2941">
        <v>3950</v>
      </c>
      <c r="E280" s="2941">
        <v>4710</v>
      </c>
      <c r="F280" s="2941">
        <v>800</v>
      </c>
      <c r="G280" s="2954">
        <v>2390</v>
      </c>
    </row>
    <row r="281" spans="1:7" s="2774" customFormat="1" ht="14.25" customHeight="1">
      <c r="A281" s="2941" t="s">
        <v>306</v>
      </c>
      <c r="B281" s="2941" t="s">
        <v>3140</v>
      </c>
      <c r="C281" s="2941">
        <v>4480</v>
      </c>
      <c r="D281" s="2941">
        <v>4420</v>
      </c>
      <c r="E281" s="2941">
        <v>5230</v>
      </c>
      <c r="F281" s="2941">
        <v>870</v>
      </c>
      <c r="G281" s="2954">
        <v>2660</v>
      </c>
    </row>
    <row r="282" spans="1:7" s="2774" customFormat="1" ht="14.25" customHeight="1">
      <c r="A282" s="2941" t="s">
        <v>306</v>
      </c>
      <c r="B282" s="2941" t="s">
        <v>3141</v>
      </c>
      <c r="C282" s="2941">
        <v>5360</v>
      </c>
      <c r="D282" s="2941">
        <v>5300</v>
      </c>
      <c r="E282" s="2941">
        <v>6190</v>
      </c>
      <c r="F282" s="2941">
        <v>950</v>
      </c>
      <c r="G282" s="2954">
        <v>3190</v>
      </c>
    </row>
    <row r="283" spans="1:7" s="2774" customFormat="1" ht="14.25" customHeight="1">
      <c r="A283" s="2941" t="s">
        <v>306</v>
      </c>
      <c r="B283" s="2941" t="s">
        <v>174</v>
      </c>
      <c r="C283" s="2941">
        <v>4950</v>
      </c>
      <c r="D283" s="2941">
        <v>4900</v>
      </c>
      <c r="E283" s="2941">
        <v>5720</v>
      </c>
      <c r="F283" s="2941">
        <v>920</v>
      </c>
      <c r="G283" s="2954">
        <v>2950</v>
      </c>
    </row>
    <row r="284" spans="1:7" s="2774" customFormat="1" ht="14.25" customHeight="1">
      <c r="A284" s="2941" t="s">
        <v>306</v>
      </c>
      <c r="B284" s="2941" t="s">
        <v>182</v>
      </c>
      <c r="C284" s="2941">
        <v>5610</v>
      </c>
      <c r="D284" s="2941">
        <v>5560</v>
      </c>
      <c r="E284" s="2941">
        <v>6520</v>
      </c>
      <c r="F284" s="2941">
        <v>1030</v>
      </c>
      <c r="G284" s="2954">
        <v>3360</v>
      </c>
    </row>
    <row r="285" spans="1:7" s="2774" customFormat="1" ht="14.25" customHeight="1">
      <c r="A285" s="2941" t="s">
        <v>306</v>
      </c>
      <c r="B285" s="2941" t="s">
        <v>192</v>
      </c>
      <c r="C285" s="2941">
        <v>5340</v>
      </c>
      <c r="D285" s="2941">
        <v>5290</v>
      </c>
      <c r="E285" s="2941">
        <v>6170</v>
      </c>
      <c r="F285" s="2941">
        <v>1080</v>
      </c>
      <c r="G285" s="2954">
        <v>3180</v>
      </c>
    </row>
    <row r="286" spans="1:7" s="2774" customFormat="1" ht="14.25" customHeight="1">
      <c r="A286" s="2941" t="s">
        <v>306</v>
      </c>
      <c r="B286" s="2941" t="s">
        <v>199</v>
      </c>
      <c r="C286" s="2941">
        <v>4890</v>
      </c>
      <c r="D286" s="2941">
        <v>4840</v>
      </c>
      <c r="E286" s="2941">
        <v>5640</v>
      </c>
      <c r="F286" s="2941">
        <v>960</v>
      </c>
      <c r="G286" s="2954">
        <v>2910</v>
      </c>
    </row>
    <row r="287" spans="1:7" s="2774" customFormat="1" ht="14.25" customHeight="1">
      <c r="A287" s="2941" t="s">
        <v>306</v>
      </c>
      <c r="B287" s="2941" t="s">
        <v>3142</v>
      </c>
      <c r="C287" s="2941">
        <v>4960</v>
      </c>
      <c r="D287" s="2941">
        <v>4920</v>
      </c>
      <c r="E287" s="2941">
        <v>5730</v>
      </c>
      <c r="F287" s="2941">
        <v>930</v>
      </c>
      <c r="G287" s="2954">
        <v>2960</v>
      </c>
    </row>
    <row r="288" spans="1:7" s="2774" customFormat="1" ht="14.25" customHeight="1">
      <c r="A288" s="2941" t="s">
        <v>306</v>
      </c>
      <c r="B288" s="2941" t="s">
        <v>219</v>
      </c>
      <c r="C288" s="2941">
        <v>4350</v>
      </c>
      <c r="D288" s="2941">
        <v>4300</v>
      </c>
      <c r="E288" s="2941">
        <v>4900</v>
      </c>
      <c r="F288" s="2941">
        <v>820</v>
      </c>
      <c r="G288" s="2954">
        <v>2590</v>
      </c>
    </row>
    <row r="289" spans="1:7" s="2774" customFormat="1" ht="14.25" customHeight="1">
      <c r="A289" s="2941" t="s">
        <v>306</v>
      </c>
      <c r="B289" s="2941" t="s">
        <v>3143</v>
      </c>
      <c r="C289" s="2941">
        <v>5230</v>
      </c>
      <c r="D289" s="2941">
        <v>5170</v>
      </c>
      <c r="E289" s="2941">
        <v>6060</v>
      </c>
      <c r="F289" s="2941">
        <v>900</v>
      </c>
      <c r="G289" s="2954">
        <v>3120</v>
      </c>
    </row>
    <row r="290" spans="1:7" s="2774" customFormat="1" ht="14.25" customHeight="1">
      <c r="A290" s="2941" t="s">
        <v>306</v>
      </c>
      <c r="B290" s="2941" t="s">
        <v>242</v>
      </c>
      <c r="C290" s="2941">
        <v>5550</v>
      </c>
      <c r="D290" s="2941">
        <v>5500</v>
      </c>
      <c r="E290" s="2941">
        <v>6440</v>
      </c>
      <c r="F290" s="2941">
        <v>960</v>
      </c>
      <c r="G290" s="2954">
        <v>3320</v>
      </c>
    </row>
    <row r="291" spans="1:7" s="2774" customFormat="1" ht="14.25" customHeight="1">
      <c r="A291" s="2941" t="s">
        <v>306</v>
      </c>
      <c r="B291" s="2941" t="s">
        <v>250</v>
      </c>
      <c r="C291" s="2941">
        <v>5440</v>
      </c>
      <c r="D291" s="2941">
        <v>5400</v>
      </c>
      <c r="E291" s="2941">
        <v>6320</v>
      </c>
      <c r="F291" s="2941">
        <v>930</v>
      </c>
      <c r="G291" s="2954">
        <v>3250</v>
      </c>
    </row>
    <row r="292" spans="1:7" s="2774" customFormat="1" ht="14.25" customHeight="1">
      <c r="A292" s="2941" t="s">
        <v>306</v>
      </c>
      <c r="B292" s="2941" t="s">
        <v>256</v>
      </c>
      <c r="C292" s="2941">
        <v>5400</v>
      </c>
      <c r="D292" s="2941">
        <v>5360</v>
      </c>
      <c r="E292" s="2941">
        <v>6270</v>
      </c>
      <c r="F292" s="2941">
        <v>1040</v>
      </c>
      <c r="G292" s="2954">
        <v>3230</v>
      </c>
    </row>
    <row r="293" spans="1:7" s="2774" customFormat="1" ht="14.25" customHeight="1">
      <c r="A293" s="2941" t="s">
        <v>306</v>
      </c>
      <c r="B293" s="2941" t="s">
        <v>2918</v>
      </c>
      <c r="C293" s="2941">
        <v>5320</v>
      </c>
      <c r="D293" s="2941">
        <v>5270</v>
      </c>
      <c r="E293" s="2941">
        <v>6160</v>
      </c>
      <c r="F293" s="2941">
        <v>990</v>
      </c>
      <c r="G293" s="2954">
        <v>3170</v>
      </c>
    </row>
    <row r="294" spans="1:7" s="2774" customFormat="1" ht="14.25" customHeight="1">
      <c r="A294" s="2941" t="s">
        <v>306</v>
      </c>
      <c r="B294" s="2941" t="s">
        <v>3144</v>
      </c>
      <c r="C294" s="2941">
        <v>5260</v>
      </c>
      <c r="D294" s="2941">
        <v>5210</v>
      </c>
      <c r="E294" s="2941">
        <v>6100</v>
      </c>
      <c r="F294" s="2941">
        <v>950</v>
      </c>
      <c r="G294" s="2954">
        <v>3150</v>
      </c>
    </row>
    <row r="295" spans="1:7" s="2774" customFormat="1" ht="14.25" customHeight="1">
      <c r="A295" s="2941" t="s">
        <v>306</v>
      </c>
      <c r="B295" s="2941" t="s">
        <v>290</v>
      </c>
      <c r="C295" s="2941">
        <v>5610</v>
      </c>
      <c r="D295" s="2941">
        <v>5570</v>
      </c>
      <c r="E295" s="2941">
        <v>6530</v>
      </c>
      <c r="F295" s="2941">
        <v>960</v>
      </c>
      <c r="G295" s="2954">
        <v>3360</v>
      </c>
    </row>
    <row r="296" spans="1:7" s="2774" customFormat="1" ht="14.25" customHeight="1">
      <c r="A296" s="2941" t="s">
        <v>306</v>
      </c>
      <c r="B296" s="2941" t="s">
        <v>293</v>
      </c>
      <c r="C296" s="2941">
        <v>5540</v>
      </c>
      <c r="D296" s="2941">
        <v>5490</v>
      </c>
      <c r="E296" s="2941">
        <v>6430</v>
      </c>
      <c r="F296" s="2941">
        <v>980</v>
      </c>
      <c r="G296" s="2954">
        <v>3310</v>
      </c>
    </row>
    <row r="297" spans="1:7" s="2774" customFormat="1" ht="14.25" customHeight="1">
      <c r="A297" s="2941" t="s">
        <v>306</v>
      </c>
      <c r="B297" s="2941" t="s">
        <v>295</v>
      </c>
      <c r="C297" s="2941">
        <v>5480</v>
      </c>
      <c r="D297" s="2941">
        <v>5420</v>
      </c>
      <c r="E297" s="2941">
        <v>6370</v>
      </c>
      <c r="F297" s="2941">
        <v>990</v>
      </c>
      <c r="G297" s="2954">
        <v>3270</v>
      </c>
    </row>
    <row r="298" spans="1:7" s="2774" customFormat="1" ht="14.25" customHeight="1">
      <c r="A298" s="2941" t="s">
        <v>306</v>
      </c>
      <c r="B298" s="2941" t="s">
        <v>298</v>
      </c>
      <c r="C298" s="2941">
        <v>5090</v>
      </c>
      <c r="D298" s="2941">
        <v>5050</v>
      </c>
      <c r="E298" s="2941">
        <v>5910</v>
      </c>
      <c r="F298" s="2941">
        <v>900</v>
      </c>
      <c r="G298" s="2954">
        <v>3040</v>
      </c>
    </row>
    <row r="299" spans="1:7" s="2774" customFormat="1" ht="14.25" customHeight="1">
      <c r="A299" s="2941" t="s">
        <v>306</v>
      </c>
      <c r="B299" s="2950" t="s">
        <v>2937</v>
      </c>
      <c r="C299" s="2941">
        <v>5430</v>
      </c>
      <c r="D299" s="2941">
        <v>5380</v>
      </c>
      <c r="E299" s="2941">
        <v>6280</v>
      </c>
      <c r="F299" s="2941">
        <v>1000</v>
      </c>
      <c r="G299" s="2954">
        <v>3240</v>
      </c>
    </row>
    <row r="300" spans="1:7" s="2774" customFormat="1" ht="14.25" customHeight="1">
      <c r="A300" s="2941" t="s">
        <v>306</v>
      </c>
      <c r="B300" s="2950" t="s">
        <v>271</v>
      </c>
      <c r="C300" s="2941">
        <v>4740</v>
      </c>
      <c r="D300" s="2941">
        <v>4680</v>
      </c>
      <c r="E300" s="2941">
        <v>5450</v>
      </c>
      <c r="F300" s="2941">
        <v>900</v>
      </c>
      <c r="G300" s="2954">
        <v>2830</v>
      </c>
    </row>
    <row r="301" spans="1:7" s="2774" customFormat="1" ht="14.25" customHeight="1">
      <c r="A301" s="2941" t="s">
        <v>306</v>
      </c>
      <c r="B301" s="2950" t="s">
        <v>276</v>
      </c>
      <c r="C301" s="2941">
        <v>4870</v>
      </c>
      <c r="D301" s="2941">
        <v>4810</v>
      </c>
      <c r="E301" s="2941">
        <v>5560</v>
      </c>
      <c r="F301" s="2941">
        <v>990</v>
      </c>
      <c r="G301" s="2954">
        <v>2910</v>
      </c>
    </row>
    <row r="302" spans="1:7" s="2774" customFormat="1" ht="14.25" customHeight="1">
      <c r="A302" s="2941" t="s">
        <v>306</v>
      </c>
      <c r="B302" s="2941" t="s">
        <v>3145</v>
      </c>
      <c r="C302" s="2941">
        <v>5520</v>
      </c>
      <c r="D302" s="2941">
        <v>5470</v>
      </c>
      <c r="E302" s="2941">
        <v>6410</v>
      </c>
      <c r="F302" s="2941">
        <v>950</v>
      </c>
      <c r="G302" s="2954">
        <v>3300</v>
      </c>
    </row>
    <row r="303" spans="1:7" s="2774" customFormat="1" ht="14.25" customHeight="1">
      <c r="A303" s="2941" t="s">
        <v>306</v>
      </c>
      <c r="B303" s="2941" t="s">
        <v>2957</v>
      </c>
      <c r="C303" s="2941">
        <v>5630</v>
      </c>
      <c r="D303" s="2941">
        <v>5590</v>
      </c>
      <c r="E303" s="2941">
        <v>6550</v>
      </c>
      <c r="F303" s="2941">
        <v>1010</v>
      </c>
      <c r="G303" s="2954">
        <v>3370</v>
      </c>
    </row>
    <row r="304" spans="1:7" s="2774" customFormat="1" ht="14.25" customHeight="1">
      <c r="A304" s="2941" t="s">
        <v>306</v>
      </c>
      <c r="B304" s="2941" t="s">
        <v>2964</v>
      </c>
      <c r="C304" s="2941">
        <v>5680</v>
      </c>
      <c r="D304" s="2941">
        <v>5620</v>
      </c>
      <c r="E304" s="2941">
        <v>6620</v>
      </c>
      <c r="F304" s="2941">
        <v>1050</v>
      </c>
      <c r="G304" s="2954">
        <v>3390</v>
      </c>
    </row>
    <row r="305" spans="1:7" s="2774" customFormat="1" ht="14.25" customHeight="1">
      <c r="A305" s="2941" t="s">
        <v>306</v>
      </c>
      <c r="B305" s="2941" t="s">
        <v>2970</v>
      </c>
      <c r="C305" s="2941">
        <v>5590</v>
      </c>
      <c r="D305" s="2941">
        <v>5530</v>
      </c>
      <c r="E305" s="2941">
        <v>6460</v>
      </c>
      <c r="F305" s="2941">
        <v>900</v>
      </c>
      <c r="G305" s="2954">
        <v>3340</v>
      </c>
    </row>
    <row r="306" spans="1:7" s="2774" customFormat="1" ht="14.25" customHeight="1">
      <c r="A306" s="2941" t="s">
        <v>306</v>
      </c>
      <c r="B306" s="2941" t="s">
        <v>3146</v>
      </c>
      <c r="C306" s="2941">
        <v>5560</v>
      </c>
      <c r="D306" s="2941">
        <v>5510</v>
      </c>
      <c r="E306" s="2941">
        <v>6440</v>
      </c>
      <c r="F306" s="2941">
        <v>900</v>
      </c>
      <c r="G306" s="2954">
        <v>3320</v>
      </c>
    </row>
    <row r="307" spans="1:7" s="2774" customFormat="1" ht="14.25" customHeight="1">
      <c r="A307" s="2941" t="s">
        <v>306</v>
      </c>
      <c r="B307" s="2941" t="s">
        <v>2982</v>
      </c>
      <c r="C307" s="2941">
        <v>5650</v>
      </c>
      <c r="D307" s="2941">
        <v>5600</v>
      </c>
      <c r="E307" s="2941">
        <v>6590</v>
      </c>
      <c r="F307" s="2941">
        <v>930</v>
      </c>
      <c r="G307" s="2954">
        <v>3380</v>
      </c>
    </row>
    <row r="308" spans="1:7" s="2774" customFormat="1" ht="14.25" customHeight="1">
      <c r="A308" s="2941" t="s">
        <v>306</v>
      </c>
      <c r="B308" s="2941" t="s">
        <v>3147</v>
      </c>
      <c r="C308" s="2941">
        <v>5620</v>
      </c>
      <c r="D308" s="2941">
        <v>5580</v>
      </c>
      <c r="E308" s="2941">
        <v>6540</v>
      </c>
      <c r="F308" s="2941">
        <v>910</v>
      </c>
      <c r="G308" s="2954">
        <v>3370</v>
      </c>
    </row>
    <row r="309" spans="1:7" s="2774" customFormat="1" ht="14.25" customHeight="1">
      <c r="A309" s="2941" t="s">
        <v>306</v>
      </c>
      <c r="B309" s="2941" t="s">
        <v>3148</v>
      </c>
      <c r="C309" s="2941">
        <v>5060</v>
      </c>
      <c r="D309" s="2941">
        <v>5020</v>
      </c>
      <c r="E309" s="2941">
        <v>6370</v>
      </c>
      <c r="F309" s="2941">
        <v>800</v>
      </c>
      <c r="G309" s="2954">
        <v>3020</v>
      </c>
    </row>
    <row r="310" spans="1:7" s="2774" customFormat="1" ht="14.25" customHeight="1">
      <c r="A310" s="2941" t="s">
        <v>306</v>
      </c>
      <c r="B310" s="2941" t="s">
        <v>2997</v>
      </c>
      <c r="C310" s="2941">
        <v>5150</v>
      </c>
      <c r="D310" s="2941">
        <v>5110</v>
      </c>
      <c r="E310" s="2941">
        <v>6500</v>
      </c>
      <c r="F310" s="2941">
        <v>880</v>
      </c>
      <c r="G310" s="2954">
        <v>3080</v>
      </c>
    </row>
    <row r="311" spans="1:7" s="2774" customFormat="1" ht="14.25" customHeight="1">
      <c r="A311" s="2941" t="s">
        <v>306</v>
      </c>
      <c r="B311" s="2941" t="s">
        <v>3149</v>
      </c>
      <c r="C311" s="2941">
        <v>4750</v>
      </c>
      <c r="D311" s="2941">
        <v>4710</v>
      </c>
      <c r="E311" s="2941">
        <v>5510</v>
      </c>
      <c r="F311" s="2941">
        <v>880</v>
      </c>
      <c r="G311" s="2954">
        <v>2840</v>
      </c>
    </row>
    <row r="312" spans="1:7" s="2774" customFormat="1" ht="14.25" customHeight="1">
      <c r="A312" s="2941" t="s">
        <v>306</v>
      </c>
      <c r="B312" s="2941" t="s">
        <v>3007</v>
      </c>
      <c r="C312" s="2941">
        <v>4690</v>
      </c>
      <c r="D312" s="2941">
        <v>4640</v>
      </c>
      <c r="E312" s="2941">
        <v>5420</v>
      </c>
      <c r="F312" s="2941">
        <v>800</v>
      </c>
      <c r="G312" s="2954">
        <v>2800</v>
      </c>
    </row>
    <row r="313" spans="1:7" s="2774" customFormat="1" ht="14.25" customHeight="1">
      <c r="A313" s="2941" t="s">
        <v>306</v>
      </c>
      <c r="B313" s="2941" t="s">
        <v>3012</v>
      </c>
      <c r="C313" s="2941">
        <v>4810</v>
      </c>
      <c r="D313" s="2941">
        <v>4760</v>
      </c>
      <c r="E313" s="2941">
        <v>5550</v>
      </c>
      <c r="F313" s="2941">
        <v>920</v>
      </c>
      <c r="G313" s="2954">
        <v>2870</v>
      </c>
    </row>
    <row r="314" spans="1:7" s="2774" customFormat="1" ht="14.25" customHeight="1">
      <c r="A314" s="2941" t="s">
        <v>306</v>
      </c>
      <c r="B314" s="2941" t="s">
        <v>3150</v>
      </c>
      <c r="C314" s="2941"/>
      <c r="D314" s="2941"/>
      <c r="E314" s="2941"/>
      <c r="F314" s="2941">
        <v>1020</v>
      </c>
      <c r="G314" s="2954"/>
    </row>
    <row r="315" spans="1:7" s="2774" customFormat="1" ht="14.25" customHeight="1">
      <c r="A315" s="2941" t="s">
        <v>306</v>
      </c>
      <c r="B315" s="2941" t="s">
        <v>3151</v>
      </c>
      <c r="C315" s="2941"/>
      <c r="D315" s="2941"/>
      <c r="E315" s="2941"/>
      <c r="F315" s="2941">
        <v>1050</v>
      </c>
      <c r="G315" s="2954"/>
    </row>
    <row r="316" spans="1:7" s="2774" customFormat="1" ht="14.25" customHeight="1">
      <c r="A316" s="2941" t="s">
        <v>306</v>
      </c>
      <c r="B316" s="2941" t="s">
        <v>3027</v>
      </c>
      <c r="C316" s="2941"/>
      <c r="D316" s="2941"/>
      <c r="E316" s="2941"/>
      <c r="F316" s="2941">
        <v>900</v>
      </c>
      <c r="G316" s="2954"/>
    </row>
    <row r="317" spans="1:7" s="2774" customFormat="1" ht="14.25" customHeight="1">
      <c r="A317" s="2941" t="s">
        <v>306</v>
      </c>
      <c r="B317" s="2941" t="s">
        <v>3152</v>
      </c>
      <c r="C317" s="2941"/>
      <c r="D317" s="2941"/>
      <c r="E317" s="2941"/>
      <c r="F317" s="2941">
        <v>920</v>
      </c>
      <c r="G317" s="2954"/>
    </row>
    <row r="318" spans="1:7" s="2774" customFormat="1" ht="14.25" customHeight="1">
      <c r="A318" s="2941" t="s">
        <v>306</v>
      </c>
      <c r="B318" s="2941" t="s">
        <v>3153</v>
      </c>
      <c r="C318" s="2941"/>
      <c r="D318" s="2941"/>
      <c r="E318" s="2941"/>
      <c r="F318" s="2941">
        <v>1080</v>
      </c>
      <c r="G318" s="2954"/>
    </row>
    <row r="319" spans="1:7" s="2774" customFormat="1" ht="14.25" customHeight="1">
      <c r="A319" s="2941" t="s">
        <v>306</v>
      </c>
      <c r="B319" s="2941" t="s">
        <v>3040</v>
      </c>
      <c r="C319" s="2941"/>
      <c r="D319" s="2941"/>
      <c r="E319" s="2941"/>
      <c r="F319" s="2941">
        <v>1020</v>
      </c>
      <c r="G319" s="2954"/>
    </row>
    <row r="320" spans="1:7" s="2774" customFormat="1" ht="14.25" customHeight="1">
      <c r="A320" s="2941" t="s">
        <v>306</v>
      </c>
      <c r="B320" s="2941" t="s">
        <v>3043</v>
      </c>
      <c r="C320" s="2941"/>
      <c r="D320" s="2941"/>
      <c r="E320" s="2941"/>
      <c r="F320" s="2941">
        <v>1050</v>
      </c>
      <c r="G320" s="2954"/>
    </row>
    <row r="321" spans="1:7" s="2774" customFormat="1" ht="14.25" customHeight="1">
      <c r="A321" s="2941" t="s">
        <v>306</v>
      </c>
      <c r="B321" s="2941" t="s">
        <v>3045</v>
      </c>
      <c r="C321" s="2941"/>
      <c r="D321" s="2941"/>
      <c r="E321" s="2941"/>
      <c r="F321" s="2941">
        <v>960</v>
      </c>
      <c r="G321" s="2954"/>
    </row>
    <row r="322" spans="1:7" s="2774" customFormat="1" ht="14.25" customHeight="1">
      <c r="A322" s="2941" t="s">
        <v>306</v>
      </c>
      <c r="B322" s="2941" t="s">
        <v>3047</v>
      </c>
      <c r="C322" s="2941"/>
      <c r="D322" s="2941"/>
      <c r="E322" s="2941"/>
      <c r="F322" s="2941">
        <v>960</v>
      </c>
      <c r="G322" s="2954"/>
    </row>
    <row r="323" spans="1:7" s="2774" customFormat="1" ht="14.25" customHeight="1">
      <c r="A323" s="2941" t="s">
        <v>306</v>
      </c>
      <c r="B323" s="2941" t="s">
        <v>3049</v>
      </c>
      <c r="C323" s="2941"/>
      <c r="D323" s="2941"/>
      <c r="E323" s="2941"/>
      <c r="F323" s="2941">
        <v>880</v>
      </c>
      <c r="G323" s="2954"/>
    </row>
    <row r="324" spans="1:7" s="2774" customFormat="1" ht="14.25" customHeight="1">
      <c r="A324" s="2941" t="s">
        <v>306</v>
      </c>
      <c r="B324" s="2941" t="s">
        <v>3051</v>
      </c>
      <c r="C324" s="2941"/>
      <c r="D324" s="2941"/>
      <c r="E324" s="2941"/>
      <c r="F324" s="2941">
        <v>930</v>
      </c>
      <c r="G324" s="2954"/>
    </row>
    <row r="325" spans="1:7" s="2774" customFormat="1" ht="14.25" customHeight="1">
      <c r="A325" s="2941" t="s">
        <v>306</v>
      </c>
      <c r="B325" s="2942" t="s">
        <v>3053</v>
      </c>
      <c r="C325" s="2941"/>
      <c r="D325" s="2941"/>
      <c r="E325" s="2941"/>
      <c r="F325" s="2941">
        <v>900</v>
      </c>
      <c r="G325" s="2954"/>
    </row>
    <row r="326" spans="1:7" s="2774" customFormat="1" ht="14.25" customHeight="1" thickBot="1">
      <c r="A326" s="2955" t="s">
        <v>306</v>
      </c>
      <c r="B326" s="2948" t="s">
        <v>3055</v>
      </c>
      <c r="C326" s="2948"/>
      <c r="D326" s="2948"/>
      <c r="E326" s="2948"/>
      <c r="F326" s="2948">
        <v>790</v>
      </c>
      <c r="G326" s="2956"/>
    </row>
    <row r="327" spans="1:7" s="2774" customFormat="1" ht="14.25" customHeight="1">
      <c r="A327" s="2946" t="s">
        <v>307</v>
      </c>
      <c r="B327" s="2937" t="s">
        <v>3154</v>
      </c>
      <c r="C327" s="2941">
        <v>3750</v>
      </c>
      <c r="D327" s="2941">
        <v>3710</v>
      </c>
      <c r="E327" s="2941">
        <v>4080</v>
      </c>
      <c r="F327" s="2941">
        <v>860</v>
      </c>
      <c r="G327" s="2941">
        <v>2210</v>
      </c>
    </row>
    <row r="328" spans="1:7" s="2774" customFormat="1" ht="14.25" customHeight="1">
      <c r="A328" s="2941" t="s">
        <v>307</v>
      </c>
      <c r="B328" s="2941" t="s">
        <v>136</v>
      </c>
      <c r="C328" s="2941">
        <v>3330</v>
      </c>
      <c r="D328" s="2941">
        <v>3290</v>
      </c>
      <c r="E328" s="2941">
        <v>3610</v>
      </c>
      <c r="F328" s="2941">
        <v>850</v>
      </c>
      <c r="G328" s="2941">
        <v>1960</v>
      </c>
    </row>
    <row r="329" spans="1:7" s="2774" customFormat="1" ht="14.25" customHeight="1">
      <c r="A329" s="2941" t="s">
        <v>307</v>
      </c>
      <c r="B329" s="2941" t="s">
        <v>3155</v>
      </c>
      <c r="C329" s="2941">
        <v>2730</v>
      </c>
      <c r="D329" s="2941">
        <v>2690</v>
      </c>
      <c r="E329" s="2941">
        <v>3100</v>
      </c>
      <c r="F329" s="2941">
        <v>660</v>
      </c>
      <c r="G329" s="2941">
        <v>1610</v>
      </c>
    </row>
    <row r="330" spans="1:7" s="2774" customFormat="1" ht="14.25" customHeight="1">
      <c r="A330" s="2941" t="s">
        <v>307</v>
      </c>
      <c r="B330" s="2941" t="s">
        <v>3156</v>
      </c>
      <c r="C330" s="2941">
        <v>3270</v>
      </c>
      <c r="D330" s="2941">
        <v>3240</v>
      </c>
      <c r="E330" s="2941">
        <v>3560</v>
      </c>
      <c r="F330" s="2941">
        <v>680</v>
      </c>
      <c r="G330" s="2941">
        <v>1940</v>
      </c>
    </row>
    <row r="331" spans="1:7" s="2774" customFormat="1" ht="14.25" customHeight="1">
      <c r="A331" s="2941" t="s">
        <v>307</v>
      </c>
      <c r="B331" s="2941" t="s">
        <v>161</v>
      </c>
      <c r="C331" s="2941">
        <v>3770</v>
      </c>
      <c r="D331" s="2941">
        <v>3740</v>
      </c>
      <c r="E331" s="2941">
        <v>4110</v>
      </c>
      <c r="F331" s="2941">
        <v>730</v>
      </c>
      <c r="G331" s="2941">
        <v>2230</v>
      </c>
    </row>
    <row r="332" spans="1:7" s="2774" customFormat="1" ht="14.25" customHeight="1">
      <c r="A332" s="2941" t="s">
        <v>307</v>
      </c>
      <c r="B332" s="2941" t="s">
        <v>2889</v>
      </c>
      <c r="C332" s="2941">
        <v>3520</v>
      </c>
      <c r="D332" s="2941">
        <v>3480</v>
      </c>
      <c r="E332" s="2941">
        <v>3830</v>
      </c>
      <c r="F332" s="2941">
        <v>720</v>
      </c>
      <c r="G332" s="2941">
        <v>2090</v>
      </c>
    </row>
    <row r="333" spans="1:7" s="2774" customFormat="1" ht="14.25" customHeight="1">
      <c r="A333" s="2941" t="s">
        <v>307</v>
      </c>
      <c r="B333" s="2941" t="s">
        <v>3157</v>
      </c>
      <c r="C333" s="2941">
        <v>3840</v>
      </c>
      <c r="D333" s="2941">
        <v>3800</v>
      </c>
      <c r="E333" s="2941">
        <v>4200</v>
      </c>
      <c r="F333" s="2941">
        <v>760</v>
      </c>
      <c r="G333" s="2941">
        <v>2270</v>
      </c>
    </row>
    <row r="334" spans="1:7" s="2774" customFormat="1" ht="14.25" customHeight="1">
      <c r="A334" s="2941" t="s">
        <v>307</v>
      </c>
      <c r="B334" s="2941" t="s">
        <v>183</v>
      </c>
      <c r="C334" s="2941">
        <v>3960</v>
      </c>
      <c r="D334" s="2941">
        <v>3910</v>
      </c>
      <c r="E334" s="2941">
        <v>4340</v>
      </c>
      <c r="F334" s="2941">
        <v>780</v>
      </c>
      <c r="G334" s="2941">
        <v>2340</v>
      </c>
    </row>
    <row r="335" spans="1:7" s="2774" customFormat="1" ht="14.25" customHeight="1">
      <c r="A335" s="2941" t="s">
        <v>307</v>
      </c>
      <c r="B335" s="2941" t="s">
        <v>193</v>
      </c>
      <c r="C335" s="2941">
        <v>3710</v>
      </c>
      <c r="D335" s="2941">
        <v>3670</v>
      </c>
      <c r="E335" s="2941">
        <v>4030</v>
      </c>
      <c r="F335" s="2941">
        <v>750</v>
      </c>
      <c r="G335" s="2941">
        <v>2200</v>
      </c>
    </row>
    <row r="336" spans="1:7" s="2774" customFormat="1" ht="14.25" customHeight="1">
      <c r="A336" s="2941" t="s">
        <v>307</v>
      </c>
      <c r="B336" s="2941" t="s">
        <v>2899</v>
      </c>
      <c r="C336" s="2941">
        <v>3570</v>
      </c>
      <c r="D336" s="2941">
        <v>3530</v>
      </c>
      <c r="E336" s="2941">
        <v>3880</v>
      </c>
      <c r="F336" s="2941">
        <v>770</v>
      </c>
      <c r="G336" s="2941">
        <v>2110</v>
      </c>
    </row>
    <row r="337" spans="1:10" s="2774" customFormat="1" ht="14.25" customHeight="1">
      <c r="A337" s="2941" t="s">
        <v>307</v>
      </c>
      <c r="B337" s="2941" t="s">
        <v>3158</v>
      </c>
      <c r="C337" s="2941">
        <v>3780</v>
      </c>
      <c r="D337" s="2941">
        <v>3750</v>
      </c>
      <c r="E337" s="2941">
        <v>4130</v>
      </c>
      <c r="F337" s="2941">
        <v>750</v>
      </c>
      <c r="G337" s="2941">
        <v>2240</v>
      </c>
    </row>
    <row r="338" spans="1:10" s="2774" customFormat="1" ht="14.25" customHeight="1">
      <c r="A338" s="2941" t="s">
        <v>307</v>
      </c>
      <c r="B338" s="2941" t="s">
        <v>220</v>
      </c>
      <c r="C338" s="2941">
        <v>3600</v>
      </c>
      <c r="D338" s="2941">
        <v>3570</v>
      </c>
      <c r="E338" s="2941">
        <v>3920</v>
      </c>
      <c r="F338" s="2941">
        <v>790</v>
      </c>
      <c r="G338" s="2941">
        <v>2140</v>
      </c>
    </row>
    <row r="339" spans="1:10" s="2774" customFormat="1" ht="14.25" customHeight="1">
      <c r="A339" s="2941" t="s">
        <v>307</v>
      </c>
      <c r="B339" s="2941" t="s">
        <v>228</v>
      </c>
      <c r="C339" s="2941">
        <v>3540</v>
      </c>
      <c r="D339" s="2941">
        <v>3500</v>
      </c>
      <c r="E339" s="2941">
        <v>3850</v>
      </c>
      <c r="F339" s="2941">
        <v>780</v>
      </c>
      <c r="G339" s="2941">
        <v>2100</v>
      </c>
    </row>
    <row r="340" spans="1:10" s="2774" customFormat="1" ht="14.25" customHeight="1">
      <c r="A340" s="2941" t="s">
        <v>307</v>
      </c>
      <c r="B340" s="2941" t="s">
        <v>3159</v>
      </c>
      <c r="C340" s="2941">
        <v>3850</v>
      </c>
      <c r="D340" s="2941">
        <v>3810</v>
      </c>
      <c r="E340" s="2941">
        <v>4210</v>
      </c>
      <c r="F340" s="2941">
        <v>750</v>
      </c>
      <c r="G340" s="2941">
        <v>2280</v>
      </c>
    </row>
    <row r="341" spans="1:10" s="2774" customFormat="1" ht="14.25" customHeight="1">
      <c r="A341" s="2941" t="s">
        <v>307</v>
      </c>
      <c r="B341" s="2941" t="s">
        <v>207</v>
      </c>
      <c r="C341" s="2941">
        <v>3780</v>
      </c>
      <c r="D341" s="2941">
        <v>3750</v>
      </c>
      <c r="E341" s="2941">
        <v>4140</v>
      </c>
      <c r="F341" s="2941">
        <v>720</v>
      </c>
      <c r="G341" s="2941">
        <v>2240</v>
      </c>
    </row>
    <row r="342" spans="1:10" s="2774" customFormat="1" ht="14.25" customHeight="1">
      <c r="A342" s="2941" t="s">
        <v>307</v>
      </c>
      <c r="B342" s="2941" t="s">
        <v>3160</v>
      </c>
      <c r="C342" s="2941">
        <v>3670</v>
      </c>
      <c r="D342" s="2941">
        <v>3620</v>
      </c>
      <c r="E342" s="2941">
        <v>3990</v>
      </c>
      <c r="F342" s="2941">
        <v>760</v>
      </c>
      <c r="G342" s="2941">
        <v>2170</v>
      </c>
    </row>
    <row r="343" spans="1:10" s="2774" customFormat="1" ht="14.25" customHeight="1">
      <c r="A343" s="2941" t="s">
        <v>307</v>
      </c>
      <c r="B343" s="2941" t="s">
        <v>257</v>
      </c>
      <c r="C343" s="2941">
        <v>3760</v>
      </c>
      <c r="D343" s="2941">
        <v>3720</v>
      </c>
      <c r="E343" s="2941">
        <v>4090</v>
      </c>
      <c r="F343" s="2941">
        <v>780</v>
      </c>
      <c r="G343" s="2941">
        <v>2220</v>
      </c>
    </row>
    <row r="344" spans="1:10" s="2774"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4"/>
    </row>
    <row r="346" spans="1:10">
      <c r="A346" s="2941" t="s">
        <v>307</v>
      </c>
      <c r="B346" s="2941" t="s">
        <v>3161</v>
      </c>
      <c r="C346" s="2941">
        <v>3630</v>
      </c>
      <c r="D346" s="2941">
        <v>3590</v>
      </c>
      <c r="E346" s="2941">
        <v>3940</v>
      </c>
      <c r="F346" s="2941">
        <v>730</v>
      </c>
      <c r="G346" s="2941">
        <v>2150</v>
      </c>
      <c r="J346" s="2774"/>
    </row>
    <row r="347" spans="1:10">
      <c r="A347" s="2941" t="s">
        <v>307</v>
      </c>
      <c r="B347" s="2941" t="s">
        <v>243</v>
      </c>
      <c r="C347" s="2941">
        <v>3860</v>
      </c>
      <c r="D347" s="2941">
        <v>3820</v>
      </c>
      <c r="E347" s="2941">
        <v>4220</v>
      </c>
      <c r="F347" s="2941">
        <v>750</v>
      </c>
      <c r="G347" s="2941">
        <v>2280</v>
      </c>
      <c r="J347" s="2774"/>
    </row>
    <row r="348" spans="1:10">
      <c r="A348" s="2941" t="s">
        <v>307</v>
      </c>
      <c r="B348" s="2941" t="s">
        <v>2933</v>
      </c>
      <c r="C348" s="2941">
        <v>4000</v>
      </c>
      <c r="D348" s="2941">
        <v>3950</v>
      </c>
      <c r="E348" s="2941">
        <v>4430</v>
      </c>
      <c r="F348" s="2941">
        <v>760</v>
      </c>
      <c r="G348" s="2941">
        <v>2360</v>
      </c>
      <c r="J348" s="2774"/>
    </row>
    <row r="349" spans="1:10">
      <c r="A349" s="2941" t="s">
        <v>307</v>
      </c>
      <c r="B349" s="2941" t="s">
        <v>2938</v>
      </c>
      <c r="C349" s="2941">
        <v>3820</v>
      </c>
      <c r="D349" s="2941">
        <v>3780</v>
      </c>
      <c r="E349" s="2941">
        <v>4170</v>
      </c>
      <c r="F349" s="2941">
        <v>710</v>
      </c>
      <c r="G349" s="2941">
        <v>2260</v>
      </c>
      <c r="J349" s="2774"/>
    </row>
    <row r="350" spans="1:10">
      <c r="A350" s="2941" t="s">
        <v>307</v>
      </c>
      <c r="B350" s="2941" t="s">
        <v>3162</v>
      </c>
      <c r="C350" s="2941">
        <v>3760</v>
      </c>
      <c r="D350" s="2941">
        <v>3730</v>
      </c>
      <c r="E350" s="2941">
        <v>4100</v>
      </c>
      <c r="F350" s="2941">
        <v>800</v>
      </c>
      <c r="G350" s="2941">
        <v>2230</v>
      </c>
      <c r="J350" s="2774"/>
    </row>
    <row r="351" spans="1:10">
      <c r="A351" s="2941" t="s">
        <v>307</v>
      </c>
      <c r="B351" s="2941" t="s">
        <v>2946</v>
      </c>
      <c r="C351" s="2941">
        <v>3610</v>
      </c>
      <c r="D351" s="2941">
        <v>3580</v>
      </c>
      <c r="E351" s="2941">
        <v>3930</v>
      </c>
      <c r="F351" s="2941">
        <v>700</v>
      </c>
      <c r="G351" s="2941">
        <v>2140</v>
      </c>
      <c r="J351" s="2774"/>
    </row>
    <row r="352" spans="1:10">
      <c r="A352" s="2941" t="s">
        <v>307</v>
      </c>
      <c r="B352" s="2941" t="s">
        <v>2951</v>
      </c>
      <c r="C352" s="2941">
        <v>3670</v>
      </c>
      <c r="D352" s="2941">
        <v>3630</v>
      </c>
      <c r="E352" s="2941">
        <v>4000</v>
      </c>
      <c r="F352" s="2941">
        <v>750</v>
      </c>
      <c r="G352" s="2941">
        <v>2180</v>
      </c>
    </row>
    <row r="353" spans="1:7" s="2775" customFormat="1">
      <c r="A353" s="2941" t="s">
        <v>307</v>
      </c>
      <c r="B353" s="2941" t="s">
        <v>3163</v>
      </c>
      <c r="C353" s="2941">
        <v>3190</v>
      </c>
      <c r="D353" s="2941">
        <v>3150</v>
      </c>
      <c r="E353" s="2941">
        <v>3640</v>
      </c>
      <c r="F353" s="2941">
        <v>630</v>
      </c>
      <c r="G353" s="2941">
        <v>1890</v>
      </c>
    </row>
    <row r="354" spans="1:7" s="2775" customFormat="1">
      <c r="A354" s="2941" t="s">
        <v>307</v>
      </c>
      <c r="B354" s="2941" t="s">
        <v>280</v>
      </c>
      <c r="C354" s="2941">
        <v>3450</v>
      </c>
      <c r="D354" s="2941">
        <v>3420</v>
      </c>
      <c r="E354" s="2941">
        <v>3960</v>
      </c>
      <c r="F354" s="2941">
        <v>660</v>
      </c>
      <c r="G354" s="2941">
        <v>2050</v>
      </c>
    </row>
    <row r="355" spans="1:7" s="2775" customFormat="1">
      <c r="A355" s="2941" t="s">
        <v>307</v>
      </c>
      <c r="B355" s="2941" t="s">
        <v>2971</v>
      </c>
      <c r="C355" s="2941">
        <v>3650</v>
      </c>
      <c r="D355" s="2941">
        <v>3610</v>
      </c>
      <c r="E355" s="2941">
        <v>4200</v>
      </c>
      <c r="F355" s="2941">
        <v>640</v>
      </c>
      <c r="G355" s="2941">
        <v>2160</v>
      </c>
    </row>
    <row r="356" spans="1:7" s="2775" customFormat="1">
      <c r="A356" s="2941" t="s">
        <v>307</v>
      </c>
      <c r="B356" s="2941" t="s">
        <v>2978</v>
      </c>
      <c r="C356" s="2941">
        <v>3260</v>
      </c>
      <c r="D356" s="2941">
        <v>3230</v>
      </c>
      <c r="E356" s="2941">
        <v>3740</v>
      </c>
      <c r="F356" s="2941">
        <v>600</v>
      </c>
      <c r="G356" s="2941">
        <v>1930</v>
      </c>
    </row>
    <row r="357" spans="1:7" s="2775" customFormat="1" ht="11.4" thickBot="1">
      <c r="A357" s="2949" t="s">
        <v>307</v>
      </c>
      <c r="B357" s="2952" t="s">
        <v>3164</v>
      </c>
      <c r="C357" s="2952">
        <v>3690</v>
      </c>
      <c r="D357" s="2952">
        <v>3650</v>
      </c>
      <c r="E357" s="2952">
        <v>4020</v>
      </c>
      <c r="F357" s="2952">
        <v>700</v>
      </c>
      <c r="G357" s="2952">
        <v>2190</v>
      </c>
    </row>
    <row r="358" spans="1:7" s="2775" customFormat="1">
      <c r="A358" s="2946" t="s">
        <v>3165</v>
      </c>
      <c r="B358" s="2937" t="s">
        <v>3166</v>
      </c>
      <c r="C358" s="2937">
        <v>2080</v>
      </c>
      <c r="D358" s="2937">
        <v>2040</v>
      </c>
      <c r="E358" s="2937">
        <v>2010</v>
      </c>
      <c r="F358" s="2937">
        <v>530</v>
      </c>
      <c r="G358" s="2953">
        <v>1230</v>
      </c>
    </row>
    <row r="359" spans="1:7" s="2775" customFormat="1">
      <c r="A359" s="2941" t="s">
        <v>3165</v>
      </c>
      <c r="B359" s="2941" t="s">
        <v>3167</v>
      </c>
      <c r="C359" s="2941">
        <v>1850</v>
      </c>
      <c r="D359" s="2941">
        <v>1820</v>
      </c>
      <c r="E359" s="2941">
        <v>1780</v>
      </c>
      <c r="F359" s="2941">
        <v>520</v>
      </c>
      <c r="G359" s="2954">
        <v>1100</v>
      </c>
    </row>
    <row r="360" spans="1:7" s="2775" customFormat="1">
      <c r="A360" s="2941" t="s">
        <v>3165</v>
      </c>
      <c r="B360" s="2941" t="s">
        <v>3168</v>
      </c>
      <c r="C360" s="2941">
        <v>2020</v>
      </c>
      <c r="D360" s="2941">
        <v>1990</v>
      </c>
      <c r="E360" s="2941">
        <v>1950</v>
      </c>
      <c r="F360" s="2941">
        <v>500</v>
      </c>
      <c r="G360" s="2954">
        <v>1200</v>
      </c>
    </row>
    <row r="361" spans="1:7" s="2775" customFormat="1">
      <c r="A361" s="2941" t="s">
        <v>3165</v>
      </c>
      <c r="B361" s="2941" t="s">
        <v>153</v>
      </c>
      <c r="C361" s="2941">
        <v>2260</v>
      </c>
      <c r="D361" s="2941">
        <v>2220</v>
      </c>
      <c r="E361" s="2941">
        <v>2180</v>
      </c>
      <c r="F361" s="2941">
        <v>580</v>
      </c>
      <c r="G361" s="2954">
        <v>1340</v>
      </c>
    </row>
    <row r="362" spans="1:7" s="2775" customFormat="1">
      <c r="A362" s="2941" t="s">
        <v>3165</v>
      </c>
      <c r="B362" s="2941" t="s">
        <v>3169</v>
      </c>
      <c r="C362" s="2941">
        <v>2650</v>
      </c>
      <c r="D362" s="2941">
        <v>2610</v>
      </c>
      <c r="E362" s="2941">
        <v>2570</v>
      </c>
      <c r="F362" s="2941">
        <v>630</v>
      </c>
      <c r="G362" s="2954">
        <v>1570</v>
      </c>
    </row>
    <row r="363" spans="1:7" s="2775" customFormat="1">
      <c r="A363" s="2941" t="s">
        <v>3165</v>
      </c>
      <c r="B363" s="2941" t="s">
        <v>2890</v>
      </c>
      <c r="C363" s="2941">
        <v>2390</v>
      </c>
      <c r="D363" s="2941">
        <v>2360</v>
      </c>
      <c r="E363" s="2941">
        <v>2320</v>
      </c>
      <c r="F363" s="2941">
        <v>600</v>
      </c>
      <c r="G363" s="2954">
        <v>1420</v>
      </c>
    </row>
    <row r="364" spans="1:7" s="2775" customFormat="1">
      <c r="A364" s="2941" t="s">
        <v>3165</v>
      </c>
      <c r="B364" s="2941" t="s">
        <v>3170</v>
      </c>
      <c r="C364" s="2941">
        <v>2050</v>
      </c>
      <c r="D364" s="2941">
        <v>2030</v>
      </c>
      <c r="E364" s="2941">
        <v>1990</v>
      </c>
      <c r="F364" s="2941">
        <v>550</v>
      </c>
      <c r="G364" s="2954">
        <v>1220</v>
      </c>
    </row>
    <row r="365" spans="1:7" s="2775" customFormat="1">
      <c r="A365" s="2941" t="s">
        <v>3165</v>
      </c>
      <c r="B365" s="2941" t="s">
        <v>200</v>
      </c>
      <c r="C365" s="2941">
        <v>2140</v>
      </c>
      <c r="D365" s="2941">
        <v>2100</v>
      </c>
      <c r="E365" s="2941">
        <v>2060</v>
      </c>
      <c r="F365" s="2941">
        <v>540</v>
      </c>
      <c r="G365" s="2954">
        <v>1270</v>
      </c>
    </row>
    <row r="366" spans="1:7" s="2775" customFormat="1">
      <c r="A366" s="2941" t="s">
        <v>3165</v>
      </c>
      <c r="B366" s="2941" t="s">
        <v>2897</v>
      </c>
      <c r="C366" s="2941">
        <v>2410</v>
      </c>
      <c r="D366" s="2941">
        <v>2370</v>
      </c>
      <c r="E366" s="2941">
        <v>2330</v>
      </c>
      <c r="F366" s="2941">
        <v>570</v>
      </c>
      <c r="G366" s="2954">
        <v>1440</v>
      </c>
    </row>
    <row r="367" spans="1:7" s="2775" customFormat="1">
      <c r="A367" s="2941" t="s">
        <v>3165</v>
      </c>
      <c r="B367" s="2941" t="s">
        <v>3171</v>
      </c>
      <c r="C367" s="2941">
        <v>2300</v>
      </c>
      <c r="D367" s="2941">
        <v>2260</v>
      </c>
      <c r="E367" s="2941">
        <v>2220</v>
      </c>
      <c r="F367" s="2941">
        <v>560</v>
      </c>
      <c r="G367" s="2954">
        <v>1370</v>
      </c>
    </row>
    <row r="368" spans="1:7" s="2775" customFormat="1">
      <c r="A368" s="2941" t="s">
        <v>3165</v>
      </c>
      <c r="B368" s="2941" t="s">
        <v>3172</v>
      </c>
      <c r="C368" s="2941">
        <v>2430</v>
      </c>
      <c r="D368" s="2941">
        <v>2390</v>
      </c>
      <c r="E368" s="2941">
        <v>2350</v>
      </c>
      <c r="F368" s="2941">
        <v>570</v>
      </c>
      <c r="G368" s="2954">
        <v>1450</v>
      </c>
    </row>
    <row r="369" spans="1:7" s="2775" customFormat="1">
      <c r="A369" s="2941" t="s">
        <v>3165</v>
      </c>
      <c r="B369" s="2941" t="s">
        <v>214</v>
      </c>
      <c r="C369" s="2941">
        <v>2320</v>
      </c>
      <c r="D369" s="2941">
        <v>2290</v>
      </c>
      <c r="E369" s="2941">
        <v>2250</v>
      </c>
      <c r="F369" s="2941">
        <v>550</v>
      </c>
      <c r="G369" s="2954">
        <v>1380</v>
      </c>
    </row>
    <row r="370" spans="1:7" s="2775" customFormat="1">
      <c r="A370" s="2941" t="s">
        <v>3165</v>
      </c>
      <c r="B370" s="2941" t="s">
        <v>221</v>
      </c>
      <c r="C370" s="2941">
        <v>2190</v>
      </c>
      <c r="D370" s="2941">
        <v>2170</v>
      </c>
      <c r="E370" s="2941">
        <v>2130</v>
      </c>
      <c r="F370" s="2941">
        <v>530</v>
      </c>
      <c r="G370" s="2954">
        <v>1310</v>
      </c>
    </row>
    <row r="371" spans="1:7" s="2775" customFormat="1">
      <c r="A371" s="2941" t="s">
        <v>3165</v>
      </c>
      <c r="B371" s="2941" t="s">
        <v>229</v>
      </c>
      <c r="C371" s="2941">
        <v>2460</v>
      </c>
      <c r="D371" s="2941">
        <v>2420</v>
      </c>
      <c r="E371" s="2941">
        <v>2370</v>
      </c>
      <c r="F371" s="2941">
        <v>560</v>
      </c>
      <c r="G371" s="2954">
        <v>1470</v>
      </c>
    </row>
    <row r="372" spans="1:7" s="2775" customFormat="1">
      <c r="A372" s="2941" t="s">
        <v>3165</v>
      </c>
      <c r="B372" s="2941" t="s">
        <v>3173</v>
      </c>
      <c r="C372" s="2941">
        <v>2250</v>
      </c>
      <c r="D372" s="2941">
        <v>2210</v>
      </c>
      <c r="E372" s="2941">
        <v>2180</v>
      </c>
      <c r="F372" s="2941">
        <v>550</v>
      </c>
      <c r="G372" s="2954">
        <v>1340</v>
      </c>
    </row>
    <row r="373" spans="1:7" s="2775" customFormat="1">
      <c r="A373" s="2941" t="s">
        <v>3165</v>
      </c>
      <c r="B373" s="2941" t="s">
        <v>258</v>
      </c>
      <c r="C373" s="2941">
        <v>2210</v>
      </c>
      <c r="D373" s="2941">
        <v>2190</v>
      </c>
      <c r="E373" s="2941">
        <v>2150</v>
      </c>
      <c r="F373" s="2941">
        <v>530</v>
      </c>
      <c r="G373" s="2954">
        <v>1320</v>
      </c>
    </row>
    <row r="374" spans="1:7" s="2775" customFormat="1">
      <c r="A374" s="2941" t="s">
        <v>3165</v>
      </c>
      <c r="B374" s="2941" t="s">
        <v>266</v>
      </c>
      <c r="C374" s="2941">
        <v>2320</v>
      </c>
      <c r="D374" s="2941">
        <v>2280</v>
      </c>
      <c r="E374" s="2941">
        <v>2230</v>
      </c>
      <c r="F374" s="2941">
        <v>580</v>
      </c>
      <c r="G374" s="2954">
        <v>1380</v>
      </c>
    </row>
    <row r="375" spans="1:7" s="2775" customFormat="1">
      <c r="A375" s="2941" t="s">
        <v>3165</v>
      </c>
      <c r="B375" s="2941" t="s">
        <v>3174</v>
      </c>
      <c r="C375" s="2941">
        <v>2090</v>
      </c>
      <c r="D375" s="2941">
        <v>2050</v>
      </c>
      <c r="E375" s="2941">
        <v>2020</v>
      </c>
      <c r="F375" s="2941">
        <v>520</v>
      </c>
      <c r="G375" s="2954">
        <v>1240</v>
      </c>
    </row>
    <row r="376" spans="1:7" s="2775" customFormat="1">
      <c r="A376" s="2941" t="s">
        <v>3165</v>
      </c>
      <c r="B376" s="2941" t="s">
        <v>277</v>
      </c>
      <c r="C376" s="2941">
        <v>2010</v>
      </c>
      <c r="D376" s="2941">
        <v>1980</v>
      </c>
      <c r="E376" s="2941">
        <v>1940</v>
      </c>
      <c r="F376" s="2941">
        <v>540</v>
      </c>
      <c r="G376" s="2954">
        <v>1190</v>
      </c>
    </row>
    <row r="377" spans="1:7" s="2775" customFormat="1" ht="11.4" thickBot="1">
      <c r="A377" s="2949" t="s">
        <v>3165</v>
      </c>
      <c r="B377" s="2952" t="s">
        <v>2927</v>
      </c>
      <c r="C377" s="2952">
        <v>1930</v>
      </c>
      <c r="D377" s="2952">
        <v>1890</v>
      </c>
      <c r="E377" s="2952">
        <v>1860</v>
      </c>
      <c r="F377" s="2952">
        <v>530</v>
      </c>
      <c r="G377" s="2957">
        <v>1150</v>
      </c>
    </row>
    <row r="378" spans="1:7" s="2775" customFormat="1">
      <c r="A378" s="2958" t="s">
        <v>3175</v>
      </c>
      <c r="B378" s="2937" t="s">
        <v>3176</v>
      </c>
      <c r="C378" s="2937">
        <v>1520</v>
      </c>
      <c r="D378" s="2937">
        <v>1490</v>
      </c>
      <c r="E378" s="2937">
        <v>1460</v>
      </c>
      <c r="F378" s="2937">
        <v>460</v>
      </c>
      <c r="G378" s="2953">
        <v>940</v>
      </c>
    </row>
    <row r="379" spans="1:7" s="2775" customFormat="1">
      <c r="A379" s="2959" t="s">
        <v>3175</v>
      </c>
      <c r="B379" s="2941" t="s">
        <v>3177</v>
      </c>
      <c r="C379" s="2941">
        <v>1500</v>
      </c>
      <c r="D379" s="2941">
        <v>1470</v>
      </c>
      <c r="E379" s="2941">
        <v>1430</v>
      </c>
      <c r="F379" s="2941">
        <v>460</v>
      </c>
      <c r="G379" s="2954">
        <v>920</v>
      </c>
    </row>
    <row r="380" spans="1:7" s="2775" customFormat="1">
      <c r="A380" s="2959" t="s">
        <v>3175</v>
      </c>
      <c r="B380" s="2941" t="s">
        <v>3178</v>
      </c>
      <c r="C380" s="2941">
        <v>1620</v>
      </c>
      <c r="D380" s="2941">
        <v>1590</v>
      </c>
      <c r="E380" s="2941">
        <v>1560</v>
      </c>
      <c r="F380" s="2941">
        <v>480</v>
      </c>
      <c r="G380" s="2954">
        <v>1000</v>
      </c>
    </row>
    <row r="381" spans="1:7" s="2775" customFormat="1">
      <c r="A381" s="2959" t="s">
        <v>3175</v>
      </c>
      <c r="B381" s="2941" t="s">
        <v>3179</v>
      </c>
      <c r="C381" s="2941">
        <v>1460</v>
      </c>
      <c r="D381" s="2941">
        <v>1430</v>
      </c>
      <c r="E381" s="2941">
        <v>1390</v>
      </c>
      <c r="F381" s="2941">
        <v>450</v>
      </c>
      <c r="G381" s="2954">
        <v>900</v>
      </c>
    </row>
    <row r="382" spans="1:7" s="2775" customFormat="1">
      <c r="A382" s="2959" t="s">
        <v>3175</v>
      </c>
      <c r="B382" s="2941" t="s">
        <v>3180</v>
      </c>
      <c r="C382" s="2941">
        <v>1310</v>
      </c>
      <c r="D382" s="2941">
        <v>1280</v>
      </c>
      <c r="E382" s="2941">
        <v>1250</v>
      </c>
      <c r="F382" s="2941">
        <v>440</v>
      </c>
      <c r="G382" s="2954">
        <v>800</v>
      </c>
    </row>
    <row r="383" spans="1:7" s="2775" customFormat="1">
      <c r="A383" s="2959" t="s">
        <v>3175</v>
      </c>
      <c r="B383" s="2941" t="s">
        <v>3181</v>
      </c>
      <c r="C383" s="2941">
        <v>1260</v>
      </c>
      <c r="D383" s="2941">
        <v>1230</v>
      </c>
      <c r="E383" s="2941">
        <v>1200</v>
      </c>
      <c r="F383" s="2941">
        <v>420</v>
      </c>
      <c r="G383" s="2954">
        <v>770</v>
      </c>
    </row>
    <row r="384" spans="1:7" s="2775" customFormat="1" ht="11.4"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6"/>
  </cols>
  <sheetData>
    <row r="1" spans="1:7">
      <c r="A1" s="3546" t="s">
        <v>3183</v>
      </c>
      <c r="B1" s="3546"/>
    </row>
    <row r="2" spans="1:7" ht="15" thickBot="1">
      <c r="A2" s="2962"/>
      <c r="B2" s="2962"/>
    </row>
    <row r="3" spans="1:7" ht="15" thickBot="1">
      <c r="A3" s="2962"/>
      <c r="B3" s="2962"/>
      <c r="C3" s="2963" t="s">
        <v>2807</v>
      </c>
      <c r="D3" s="2963" t="s">
        <v>2869</v>
      </c>
      <c r="E3" s="2963" t="s">
        <v>2809</v>
      </c>
      <c r="F3" s="2963" t="s">
        <v>2870</v>
      </c>
      <c r="G3" s="2963" t="s">
        <v>2627</v>
      </c>
    </row>
    <row r="4" spans="1:7" ht="1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22"/>
      <c r="B3" s="3222"/>
      <c r="C3" s="3222"/>
      <c r="D3" s="796" t="s">
        <v>925</v>
      </c>
      <c r="E3" s="796" t="s">
        <v>931</v>
      </c>
      <c r="F3" s="796" t="s">
        <v>925</v>
      </c>
      <c r="G3" s="796" t="s">
        <v>926</v>
      </c>
      <c r="H3" s="796" t="s">
        <v>925</v>
      </c>
      <c r="I3" s="796" t="s">
        <v>926</v>
      </c>
    </row>
    <row r="4" spans="1:9" ht="30">
      <c r="A4" s="1398" t="str">
        <f>项目基本情况!S2</f>
        <v>北京市出让国有建设用地使用权及在建建筑物房地产</v>
      </c>
      <c r="B4" s="796">
        <f>项目基本情况!C17</f>
        <v>35822.61</v>
      </c>
      <c r="C4" s="796">
        <f>项目基本情况!C18</f>
        <v>8682.75</v>
      </c>
      <c r="D4" s="796">
        <f ca="1">结果表!D118</f>
        <v>154436</v>
      </c>
      <c r="E4" s="796">
        <f ca="1">结果表!E118</f>
        <v>43111</v>
      </c>
      <c r="F4" s="796">
        <f ca="1">结果表!F118</f>
        <v>21059</v>
      </c>
      <c r="G4" s="796">
        <f ca="1">结果表!G118</f>
        <v>5879</v>
      </c>
      <c r="H4" s="796">
        <f ca="1">结果表!H118</f>
        <v>175495</v>
      </c>
      <c r="I4" s="796">
        <f ca="1">结果表!I118</f>
        <v>48990</v>
      </c>
    </row>
    <row r="5" spans="1:9" ht="30" customHeight="1">
      <c r="A5" s="3222" t="s">
        <v>927</v>
      </c>
      <c r="B5" s="3222"/>
      <c r="C5" s="3222"/>
      <c r="D5" s="3222" t="str">
        <f ca="1">结果表!D119</f>
        <v>壹拾伍亿肆仟肆佰叁拾陆万元整</v>
      </c>
      <c r="E5" s="3222"/>
      <c r="F5" s="3222" t="str">
        <f ca="1">结果表!F119</f>
        <v>贰亿壹仟零伍拾玖万元整</v>
      </c>
      <c r="G5" s="3222"/>
      <c r="H5" s="3222" t="str">
        <f ca="1">结果表!H119</f>
        <v>壹拾柒亿伍仟肆佰玖拾伍万元整</v>
      </c>
      <c r="I5" s="3222"/>
    </row>
    <row r="6" spans="1:9" ht="15.6">
      <c r="A6" s="3223" t="str">
        <f>结果表!A120</f>
        <v>估价师知悉的法定优先受偿款</v>
      </c>
      <c r="B6" s="3223"/>
      <c r="C6" s="3223"/>
      <c r="D6" s="3223">
        <f>结果表!D120</f>
        <v>0</v>
      </c>
      <c r="E6" s="3223"/>
      <c r="F6" s="3223"/>
      <c r="G6" s="3223"/>
      <c r="H6" s="3223"/>
      <c r="I6" s="3223"/>
    </row>
    <row r="7" spans="1:9" ht="15">
      <c r="A7" s="3222" t="s">
        <v>927</v>
      </c>
      <c r="B7" s="3222"/>
      <c r="C7" s="3222"/>
      <c r="D7" s="3224" t="str">
        <f>结果表!D121</f>
        <v>零元整</v>
      </c>
      <c r="E7" s="3225"/>
      <c r="F7" s="3225"/>
      <c r="G7" s="3225"/>
      <c r="H7" s="3225"/>
      <c r="I7" s="3226"/>
    </row>
    <row r="8" spans="1:9" ht="15.6">
      <c r="A8" s="3223" t="str">
        <f>结果表!A122</f>
        <v>房地产抵押价值</v>
      </c>
      <c r="B8" s="3223"/>
      <c r="C8" s="3223"/>
      <c r="D8" s="3223">
        <f ca="1">结果表!D122</f>
        <v>175495</v>
      </c>
      <c r="E8" s="3223"/>
      <c r="F8" s="3223"/>
      <c r="G8" s="3223"/>
      <c r="H8" s="3223"/>
      <c r="I8" s="3223"/>
    </row>
    <row r="9" spans="1:9" ht="15">
      <c r="A9" s="3222" t="s">
        <v>927</v>
      </c>
      <c r="B9" s="3222"/>
      <c r="C9" s="3222"/>
      <c r="D9" s="3222" t="str">
        <f ca="1">结果表!D123</f>
        <v>壹拾柒亿伍仟肆佰玖拾伍万元整</v>
      </c>
      <c r="E9" s="3222"/>
      <c r="F9" s="3222"/>
      <c r="G9" s="3222"/>
      <c r="H9" s="3222"/>
      <c r="I9" s="3222"/>
    </row>
    <row r="10" spans="1:9" ht="15.6">
      <c r="A10" s="3223" t="str">
        <f>结果表!A124</f>
        <v/>
      </c>
      <c r="B10" s="3223"/>
      <c r="C10" s="3223"/>
      <c r="D10" s="3223" t="str">
        <f>结果表!D124</f>
        <v>——</v>
      </c>
      <c r="E10" s="3223"/>
      <c r="F10" s="3223"/>
      <c r="G10" s="3223"/>
      <c r="H10" s="3223"/>
      <c r="I10" s="3223"/>
    </row>
    <row r="11" spans="1:9" ht="15">
      <c r="A11" s="3222" t="s">
        <v>927</v>
      </c>
      <c r="B11" s="3222"/>
      <c r="C11" s="3222"/>
      <c r="D11" s="3222" t="e">
        <f>结果表!D125</f>
        <v>#VALUE!</v>
      </c>
      <c r="E11" s="3222"/>
      <c r="F11" s="3222"/>
      <c r="G11" s="3222"/>
      <c r="H11" s="3222"/>
      <c r="I11" s="3222"/>
    </row>
    <row r="12" spans="1:9" ht="15.6">
      <c r="A12" s="3223" t="str">
        <f>结果表!A126</f>
        <v/>
      </c>
      <c r="B12" s="3223"/>
      <c r="C12" s="3223"/>
      <c r="D12" s="3223" t="str">
        <f>结果表!D126</f>
        <v>——</v>
      </c>
      <c r="E12" s="3223"/>
      <c r="F12" s="3223"/>
      <c r="G12" s="3223"/>
      <c r="H12" s="3223"/>
      <c r="I12" s="3223"/>
    </row>
    <row r="13" spans="1:9" ht="15.6" thickBot="1">
      <c r="A13" s="3227" t="s">
        <v>927</v>
      </c>
      <c r="B13" s="3227"/>
      <c r="C13" s="3227"/>
      <c r="D13" s="3227" t="e">
        <f>结果表!D127</f>
        <v>#VALUE!</v>
      </c>
      <c r="E13" s="3227"/>
      <c r="F13" s="3227"/>
      <c r="G13" s="3227"/>
      <c r="H13" s="3227"/>
      <c r="I13" s="3227"/>
    </row>
    <row r="14" spans="1:9" ht="14.4" thickTop="1">
      <c r="A14" s="3228" t="s">
        <v>932</v>
      </c>
      <c r="B14" s="3228"/>
      <c r="C14" s="3228"/>
      <c r="D14" s="3228"/>
      <c r="E14" s="3228"/>
      <c r="F14" s="3228"/>
      <c r="G14" s="3228"/>
      <c r="H14" s="3228"/>
      <c r="I14" s="3228"/>
    </row>
    <row r="16" spans="1:9" ht="17.399999999999999">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06"/>
  </cols>
  <sheetData>
    <row r="1" spans="1:6">
      <c r="A1" s="3547" t="s">
        <v>3234</v>
      </c>
      <c r="B1" s="3547"/>
      <c r="C1" s="3547"/>
      <c r="D1" s="3547"/>
      <c r="E1" s="3547"/>
      <c r="F1" s="3548"/>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G37" sqref="G37:G40"/>
    </sheetView>
  </sheetViews>
  <sheetFormatPr defaultRowHeight="14.4"/>
  <cols>
    <col min="1" max="1" width="13.88671875" customWidth="1"/>
  </cols>
  <sheetData>
    <row r="1" spans="1:30">
      <c r="A1" s="2931">
        <f>基准地价修正!G23</f>
        <v>45029</v>
      </c>
      <c r="B1" s="2923" t="s">
        <v>2840</v>
      </c>
      <c r="C1" s="2924"/>
      <c r="D1" s="2924"/>
      <c r="E1" s="2924"/>
      <c r="F1" s="2924"/>
      <c r="G1" s="2924"/>
      <c r="H1" s="2924"/>
      <c r="I1" s="2924"/>
      <c r="J1" s="2889"/>
      <c r="K1" s="2924" t="s">
        <v>454</v>
      </c>
      <c r="L1" s="2924"/>
      <c r="M1" s="2924"/>
      <c r="N1" s="2924"/>
      <c r="O1" s="2924"/>
      <c r="P1" s="2924"/>
      <c r="Q1" s="2889"/>
      <c r="R1" s="3549" t="s">
        <v>456</v>
      </c>
      <c r="S1" s="3550"/>
      <c r="T1" s="3550"/>
      <c r="U1" s="3550"/>
      <c r="V1" s="3550"/>
      <c r="W1" s="3550"/>
      <c r="X1" s="2889"/>
      <c r="Y1" s="3549" t="s">
        <v>457</v>
      </c>
      <c r="Z1" s="3550"/>
      <c r="AA1" s="3550"/>
      <c r="AB1" s="3550"/>
      <c r="AC1" s="3550"/>
      <c r="AD1" s="3550"/>
    </row>
    <row r="2" spans="1:30" s="2003" customFormat="1" ht="15" thickBot="1">
      <c r="B2" s="2874"/>
      <c r="C2" s="2875"/>
      <c r="D2" s="2004" t="s">
        <v>2806</v>
      </c>
      <c r="E2" s="2005" t="s">
        <v>2807</v>
      </c>
      <c r="F2" s="2005" t="s">
        <v>2808</v>
      </c>
      <c r="G2" s="2005" t="s">
        <v>2809</v>
      </c>
      <c r="H2" s="2005" t="s">
        <v>2810</v>
      </c>
      <c r="I2" s="2005" t="s">
        <v>2627</v>
      </c>
      <c r="J2" s="2876"/>
      <c r="K2" s="2004" t="s">
        <v>2806</v>
      </c>
      <c r="L2" s="2005" t="s">
        <v>2807</v>
      </c>
      <c r="M2" s="2005" t="s">
        <v>2808</v>
      </c>
      <c r="N2" s="2005" t="s">
        <v>2809</v>
      </c>
      <c r="O2" s="2005" t="s">
        <v>2811</v>
      </c>
      <c r="P2" s="2005" t="s">
        <v>2627</v>
      </c>
      <c r="Q2" s="2876"/>
      <c r="R2" s="2004" t="s">
        <v>2806</v>
      </c>
      <c r="S2" s="2005" t="s">
        <v>2807</v>
      </c>
      <c r="T2" s="2005" t="s">
        <v>2808</v>
      </c>
      <c r="U2" s="2005" t="s">
        <v>2812</v>
      </c>
      <c r="V2" s="2005" t="s">
        <v>2813</v>
      </c>
      <c r="W2" s="2005" t="s">
        <v>2627</v>
      </c>
      <c r="X2" s="2876"/>
      <c r="Y2" s="2004" t="s">
        <v>2806</v>
      </c>
      <c r="Z2" s="2005" t="s">
        <v>2807</v>
      </c>
      <c r="AA2" s="2005" t="s">
        <v>2808</v>
      </c>
      <c r="AB2" s="2005" t="s">
        <v>2814</v>
      </c>
      <c r="AC2" s="2005" t="s">
        <v>2813</v>
      </c>
      <c r="AD2" s="2005" t="s">
        <v>2627</v>
      </c>
    </row>
    <row r="3" spans="1:30" s="2879" customFormat="1" ht="13.2">
      <c r="A3" s="2877" t="s">
        <v>2815</v>
      </c>
      <c r="B3" s="2878"/>
      <c r="D3" s="2879">
        <f>ROUND(AVERAGEIF(D4:D13,"&lt;&gt;0"),2)</f>
        <v>0.84</v>
      </c>
      <c r="E3" s="2879">
        <f t="shared" ref="E3:H3" si="0">ROUND(AVERAGEIF(E4:E13,"&lt;&gt;0"),2)</f>
        <v>0.35</v>
      </c>
      <c r="F3" s="2879">
        <f t="shared" si="0"/>
        <v>0.15</v>
      </c>
      <c r="G3" s="2879">
        <f t="shared" si="0"/>
        <v>0.92</v>
      </c>
      <c r="H3" s="2879">
        <f t="shared" si="0"/>
        <v>0.68</v>
      </c>
      <c r="I3" s="2879">
        <f>F3</f>
        <v>0.15</v>
      </c>
      <c r="J3" s="2880"/>
      <c r="K3" s="2881">
        <f>ROUND(AVERAGEIF(K4:K13,"&lt;&gt;0"),4)</f>
        <v>8.3999999999999995E-3</v>
      </c>
      <c r="L3" s="2882">
        <f t="shared" ref="L3:O3" si="1">ROUND(AVERAGEIF(L4:L13,"&lt;&gt;0"),4)</f>
        <v>3.5000000000000001E-3</v>
      </c>
      <c r="M3" s="2882">
        <f t="shared" si="1"/>
        <v>1.5E-3</v>
      </c>
      <c r="N3" s="2882">
        <f t="shared" si="1"/>
        <v>9.1999999999999998E-3</v>
      </c>
      <c r="O3" s="2882">
        <f t="shared" si="1"/>
        <v>6.7999999999999996E-3</v>
      </c>
      <c r="P3" s="2882">
        <f>M3</f>
        <v>1.5E-3</v>
      </c>
      <c r="Q3" s="2880"/>
      <c r="R3" s="2883">
        <f>ROUND(SUMPRODUCT(PRODUCT(1+K4:K13)),4)</f>
        <v>1.0602</v>
      </c>
      <c r="S3" s="2884">
        <f t="shared" ref="S3:V3" si="2">ROUND(SUMPRODUCT(PRODUCT(1+L4:L13)),4)</f>
        <v>1.0246</v>
      </c>
      <c r="T3" s="2884">
        <f t="shared" si="2"/>
        <v>1.0107999999999999</v>
      </c>
      <c r="U3" s="2884">
        <f t="shared" si="2"/>
        <v>1.0662</v>
      </c>
      <c r="V3" s="2884">
        <f t="shared" si="2"/>
        <v>1.0485</v>
      </c>
      <c r="W3" s="2883">
        <f>T3</f>
        <v>1.0107999999999999</v>
      </c>
      <c r="X3" s="2880"/>
      <c r="Y3" s="2885">
        <f>ROUND(AVERAGEIF(Y5:Y13,"&lt;&gt;0"),4)</f>
        <v>8.8000000000000005E-3</v>
      </c>
      <c r="Z3" s="2886">
        <f t="shared" ref="Z3:AC3" si="3">ROUND(AVERAGEIF(Z5:Z13,"&lt;&gt;0"),4)</f>
        <v>3.5999999999999999E-3</v>
      </c>
      <c r="AA3" s="2887">
        <f t="shared" si="3"/>
        <v>8.0000000000000004E-4</v>
      </c>
      <c r="AB3" s="2885">
        <f t="shared" si="3"/>
        <v>9.5999999999999992E-3</v>
      </c>
      <c r="AC3" s="2888">
        <f t="shared" si="3"/>
        <v>6.1000000000000004E-3</v>
      </c>
      <c r="AD3" s="2885">
        <f>AA3</f>
        <v>8.0000000000000004E-4</v>
      </c>
    </row>
    <row r="4" spans="1:30" s="2002" customFormat="1" ht="13.2">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3.2">
      <c r="A5" s="2898" t="s">
        <v>2816</v>
      </c>
      <c r="B5" s="2024">
        <v>2023</v>
      </c>
      <c r="C5" s="2035">
        <v>1</v>
      </c>
      <c r="D5" s="2000">
        <v>0</v>
      </c>
      <c r="E5" s="2000">
        <v>0</v>
      </c>
      <c r="F5" s="2000">
        <v>0</v>
      </c>
      <c r="G5" s="2000">
        <v>0</v>
      </c>
      <c r="H5" s="2000">
        <v>0</v>
      </c>
      <c r="I5" s="2001">
        <f t="shared" ref="I5:I13" si="4">F5</f>
        <v>0</v>
      </c>
      <c r="J5" s="2899"/>
      <c r="K5" s="2036">
        <f t="shared" ref="K5:O13" si="5">D5/100</f>
        <v>0</v>
      </c>
      <c r="L5" s="2021">
        <f t="shared" si="5"/>
        <v>0</v>
      </c>
      <c r="M5" s="2021">
        <f t="shared" si="5"/>
        <v>0</v>
      </c>
      <c r="N5" s="2021">
        <f t="shared" si="5"/>
        <v>0</v>
      </c>
      <c r="O5" s="2021">
        <f t="shared" si="5"/>
        <v>0</v>
      </c>
      <c r="P5" s="2021">
        <f>M5</f>
        <v>0</v>
      </c>
      <c r="Q5" s="2899"/>
      <c r="R5" s="2020">
        <f>ROUND(IF([2]项目基本情况!B8="出让",SUMPRODUCT(PRODUCT(1+K5:K13)),SUMPRODUCT(PRODUCT(1+K5:K12))),4)</f>
        <v>1.05</v>
      </c>
      <c r="S5" s="2020">
        <f>ROUND(IF([2]项目基本情况!B8="出让",SUMPRODUCT(PRODUCT(1+L5:L13)),SUMPRODUCT(PRODUCT(1+L5:L12))),4)</f>
        <v>1.0229999999999999</v>
      </c>
      <c r="T5" s="2020">
        <f>ROUND(IF([2]项目基本情况!B8="出让",SUMPRODUCT(PRODUCT(1+M5:M13)),SUMPRODUCT(PRODUCT(1+M5:M12))),4)</f>
        <v>1.0134000000000001</v>
      </c>
      <c r="U5" s="2020">
        <f>ROUND(IF([2]项目基本情况!B8="出让",SUMPRODUCT(PRODUCT(1+N5:N13)),SUMPRODUCT(PRODUCT(1+N5:N12))),4)</f>
        <v>1.0545</v>
      </c>
      <c r="V5" s="2020">
        <f>ROUND(IF([2]项目基本情况!B8="出让",SUMPRODUCT(PRODUCT(1+O5:O13)),SUMPRODUCT(PRODUCT(1+O5:O12))),4)</f>
        <v>1.0447</v>
      </c>
      <c r="W5" s="2020">
        <f>T5</f>
        <v>1.0134000000000001</v>
      </c>
      <c r="X5" s="2899"/>
      <c r="Y5" s="2021">
        <f>IF(D5=0,0,ROUND(AVERAGE(D5:D13)/100,4))</f>
        <v>0</v>
      </c>
      <c r="Z5" s="2021">
        <f t="shared" ref="Z5:AC5" si="6">IF(E5=0,0,ROUND(AVERAGE(E5:E13)/100,4))</f>
        <v>0</v>
      </c>
      <c r="AA5" s="2021">
        <f t="shared" si="6"/>
        <v>0</v>
      </c>
      <c r="AB5" s="2021">
        <f t="shared" si="6"/>
        <v>0</v>
      </c>
      <c r="AC5" s="2021">
        <f t="shared" si="6"/>
        <v>0</v>
      </c>
      <c r="AD5" s="2021">
        <f t="shared" ref="AD5:AD12" si="7">AA5</f>
        <v>0</v>
      </c>
    </row>
    <row r="6" spans="1:30" s="2900" customFormat="1" ht="13.2">
      <c r="A6" s="2898" t="s">
        <v>2817</v>
      </c>
      <c r="B6" s="2024">
        <v>2022</v>
      </c>
      <c r="C6" s="2035">
        <v>4</v>
      </c>
      <c r="D6" s="2000">
        <v>0</v>
      </c>
      <c r="E6" s="2000">
        <v>0</v>
      </c>
      <c r="F6" s="2000">
        <v>0</v>
      </c>
      <c r="G6" s="2000">
        <v>0</v>
      </c>
      <c r="H6" s="2000">
        <v>0</v>
      </c>
      <c r="I6" s="2001">
        <f t="shared" si="4"/>
        <v>0</v>
      </c>
      <c r="J6" s="2899"/>
      <c r="K6" s="2036">
        <f t="shared" si="5"/>
        <v>0</v>
      </c>
      <c r="L6" s="2021">
        <f t="shared" si="5"/>
        <v>0</v>
      </c>
      <c r="M6" s="2021">
        <f t="shared" si="5"/>
        <v>0</v>
      </c>
      <c r="N6" s="2021">
        <f t="shared" si="5"/>
        <v>0</v>
      </c>
      <c r="O6" s="2021">
        <f t="shared" si="5"/>
        <v>0</v>
      </c>
      <c r="P6" s="2021">
        <f t="shared" ref="P6:P13" si="8">M6</f>
        <v>0</v>
      </c>
      <c r="Q6" s="2899"/>
      <c r="R6" s="2020">
        <f>ROUND(IF([2]项目基本情况!B8="出让",SUMPRODUCT(PRODUCT(1+K6:K13)),SUMPRODUCT(PRODUCT(1+K6:K12))),4)</f>
        <v>1.05</v>
      </c>
      <c r="S6" s="2020">
        <f>ROUND(IF([2]项目基本情况!B8="出让",SUMPRODUCT(PRODUCT(1+L6:L13)),SUMPRODUCT(PRODUCT(1+L6:L12))),4)</f>
        <v>1.0229999999999999</v>
      </c>
      <c r="T6" s="2020">
        <f>ROUND(IF([2]项目基本情况!B8="出让",SUMPRODUCT(PRODUCT(1+M6:M13)),SUMPRODUCT(PRODUCT(1+M6:M12))),4)</f>
        <v>1.0134000000000001</v>
      </c>
      <c r="U6" s="2020">
        <f>ROUND(IF([2]项目基本情况!B8="出让",SUMPRODUCT(PRODUCT(1+N6:N13)),SUMPRODUCT(PRODUCT(1+N6:N12))),4)</f>
        <v>1.0545</v>
      </c>
      <c r="V6" s="2020">
        <f>ROUND(IF([2]项目基本情况!B8="出让",SUMPRODUCT(PRODUCT(1+O6:O13)),SUMPRODUCT(PRODUCT(1+O6:O12))),4)</f>
        <v>1.0447</v>
      </c>
      <c r="W6" s="2020">
        <f t="shared" ref="W6:W13" si="9">T6</f>
        <v>1.0134000000000001</v>
      </c>
      <c r="X6" s="2899"/>
      <c r="Y6" s="2021">
        <f>IF(D6=0,0,ROUND(AVERAGE(D6:D14)/100,4))</f>
        <v>0</v>
      </c>
      <c r="Z6" s="2021">
        <f t="shared" ref="Z6:AC6" si="10">IF(E6=0,0,ROUND(AVERAGE(E6:E13)/100,4))</f>
        <v>0</v>
      </c>
      <c r="AA6" s="2021">
        <f t="shared" si="10"/>
        <v>0</v>
      </c>
      <c r="AB6" s="2021">
        <f t="shared" si="10"/>
        <v>0</v>
      </c>
      <c r="AC6" s="2021">
        <f t="shared" si="10"/>
        <v>0</v>
      </c>
      <c r="AD6" s="2021">
        <f t="shared" si="7"/>
        <v>0</v>
      </c>
    </row>
    <row r="7" spans="1:30" s="2910" customFormat="1" ht="13.2">
      <c r="A7" s="2901" t="s">
        <v>3356</v>
      </c>
      <c r="B7" s="2902">
        <v>2022</v>
      </c>
      <c r="C7" s="2903">
        <v>3</v>
      </c>
      <c r="D7" s="2904">
        <v>0.66</v>
      </c>
      <c r="E7" s="2904">
        <v>0.32</v>
      </c>
      <c r="F7" s="2904">
        <v>0.23</v>
      </c>
      <c r="G7" s="2904">
        <v>0.72</v>
      </c>
      <c r="H7" s="2905">
        <v>0.63</v>
      </c>
      <c r="I7" s="2906">
        <f t="shared" si="4"/>
        <v>0.23</v>
      </c>
      <c r="J7" s="2907"/>
      <c r="K7" s="2908">
        <f t="shared" si="5"/>
        <v>6.6E-3</v>
      </c>
      <c r="L7" s="2909">
        <f t="shared" si="5"/>
        <v>3.2000000000000002E-3</v>
      </c>
      <c r="M7" s="2909">
        <f t="shared" si="5"/>
        <v>2.3E-3</v>
      </c>
      <c r="N7" s="2909">
        <f t="shared" si="5"/>
        <v>7.1999999999999998E-3</v>
      </c>
      <c r="O7" s="2909">
        <f t="shared" si="5"/>
        <v>6.3E-3</v>
      </c>
      <c r="P7" s="2909">
        <f t="shared" si="8"/>
        <v>2.3E-3</v>
      </c>
      <c r="Q7" s="2907"/>
      <c r="R7" s="2907">
        <f>ROUND(IF([2]项目基本情况!B8="出让",SUMPRODUCT(PRODUCT(1+K7:K13)),SUMPRODUCT(PRODUCT(1+K7:K12))),4)</f>
        <v>1.05</v>
      </c>
      <c r="S7" s="2907">
        <f>ROUND(IF([2]项目基本情况!B8="出让",SUMPRODUCT(PRODUCT(1+L7:L13)),SUMPRODUCT(PRODUCT(1+L7:L12))),4)</f>
        <v>1.0229999999999999</v>
      </c>
      <c r="T7" s="2907">
        <f>ROUND(IF([2]项目基本情况!B8="出让",SUMPRODUCT(PRODUCT(1+M7:M13)),SUMPRODUCT(PRODUCT(1+M7:M12))),4)</f>
        <v>1.0134000000000001</v>
      </c>
      <c r="U7" s="2907">
        <f>ROUND(IF([2]项目基本情况!B8="出让",SUMPRODUCT(PRODUCT(1+N7:N13)),SUMPRODUCT(PRODUCT(1+N7:N12))),4)</f>
        <v>1.0545</v>
      </c>
      <c r="V7" s="2907">
        <f>ROUND(IF([2]项目基本情况!B8="出让",SUMPRODUCT(PRODUCT(1+O7:O13)),SUMPRODUCT(PRODUCT(1+O7:O12))),4)</f>
        <v>1.0447</v>
      </c>
      <c r="W7" s="2907">
        <f t="shared" si="9"/>
        <v>1.0134000000000001</v>
      </c>
      <c r="X7" s="2907"/>
      <c r="Y7" s="2909">
        <f>IF(D7=0,0,ROUND(AVERAGE(D7:D13)/100,4))</f>
        <v>8.3999999999999995E-3</v>
      </c>
      <c r="Z7" s="2909">
        <f t="shared" ref="Z7:AC7" si="11">IF(E7=0,0,ROUND(AVERAGE(E7:E13)/100,4))</f>
        <v>3.5000000000000001E-3</v>
      </c>
      <c r="AA7" s="2909">
        <f t="shared" si="11"/>
        <v>1.5E-3</v>
      </c>
      <c r="AB7" s="2909">
        <f t="shared" si="11"/>
        <v>9.1999999999999998E-3</v>
      </c>
      <c r="AC7" s="2909">
        <f t="shared" si="11"/>
        <v>6.7999999999999996E-3</v>
      </c>
      <c r="AD7" s="2909">
        <f t="shared" si="7"/>
        <v>1.5E-3</v>
      </c>
    </row>
    <row r="8" spans="1:30" s="2038" customFormat="1" ht="13.2">
      <c r="A8" s="2898" t="s">
        <v>3357</v>
      </c>
      <c r="B8" s="2024">
        <v>2022</v>
      </c>
      <c r="C8" s="2035">
        <v>2</v>
      </c>
      <c r="D8" s="2000">
        <v>0.93</v>
      </c>
      <c r="E8" s="2000">
        <v>0.15</v>
      </c>
      <c r="F8" s="2000">
        <v>0.01</v>
      </c>
      <c r="G8" s="2000">
        <v>1.05</v>
      </c>
      <c r="H8" s="2911">
        <v>1.08</v>
      </c>
      <c r="I8" s="2001">
        <f t="shared" si="4"/>
        <v>0.01</v>
      </c>
      <c r="J8" s="2899"/>
      <c r="K8" s="2036">
        <f t="shared" si="5"/>
        <v>9.300000000000001E-3</v>
      </c>
      <c r="L8" s="2021">
        <f t="shared" si="5"/>
        <v>1.5E-3</v>
      </c>
      <c r="M8" s="2021">
        <f t="shared" si="5"/>
        <v>1E-4</v>
      </c>
      <c r="N8" s="2021">
        <f t="shared" si="5"/>
        <v>1.0500000000000001E-2</v>
      </c>
      <c r="O8" s="2021">
        <f t="shared" si="5"/>
        <v>1.0800000000000001E-2</v>
      </c>
      <c r="P8" s="2021">
        <f t="shared" si="8"/>
        <v>1E-4</v>
      </c>
      <c r="Q8" s="2899"/>
      <c r="R8" s="2020">
        <f>ROUND(IF([2]项目基本情况!B8="出让",SUMPRODUCT(PRODUCT(1+K8:K13)),SUMPRODUCT(PRODUCT(1+K8:K12))),4)</f>
        <v>1.0430999999999999</v>
      </c>
      <c r="S8" s="2020">
        <f>ROUND(IF([2]项目基本情况!B8="出让",SUMPRODUCT(PRODUCT(1+L8:L13)),SUMPRODUCT(PRODUCT(1+L8:L12))),4)</f>
        <v>1.0197000000000001</v>
      </c>
      <c r="T8" s="2020">
        <f>ROUND(IF([2]项目基本情况!B8="出让",SUMPRODUCT(PRODUCT(1+M8:M13)),SUMPRODUCT(PRODUCT(1+M8:M12))),4)</f>
        <v>1.0109999999999999</v>
      </c>
      <c r="U8" s="2020">
        <f>ROUND(IF([2]项目基本情况!B8="出让",SUMPRODUCT(PRODUCT(1+N8:N13)),SUMPRODUCT(PRODUCT(1+N8:N12))),4)</f>
        <v>1.0468999999999999</v>
      </c>
      <c r="V8" s="2020">
        <f>ROUND(IF([2]项目基本情况!B8="出让",SUMPRODUCT(PRODUCT(1+O8:O13)),SUMPRODUCT(PRODUCT(1+O8:O12))),4)</f>
        <v>1.0382</v>
      </c>
      <c r="W8" s="2020">
        <f t="shared" si="9"/>
        <v>1.0109999999999999</v>
      </c>
      <c r="X8" s="2899"/>
      <c r="Y8" s="2021">
        <f>IF(D8=0,0,ROUND(AVERAGE(D8:D13)/100,4))</f>
        <v>8.6999999999999994E-3</v>
      </c>
      <c r="Z8" s="2021">
        <f t="shared" ref="Z8:AC8" si="12">IF(E8=0,0,ROUND(AVERAGE(E8:E13)/100,4))</f>
        <v>3.5000000000000001E-3</v>
      </c>
      <c r="AA8" s="2021">
        <f t="shared" si="12"/>
        <v>1.4E-3</v>
      </c>
      <c r="AB8" s="2021">
        <f t="shared" si="12"/>
        <v>9.4999999999999998E-3</v>
      </c>
      <c r="AC8" s="2021">
        <f t="shared" si="12"/>
        <v>6.8999999999999999E-3</v>
      </c>
      <c r="AD8" s="2021">
        <f t="shared" si="7"/>
        <v>1.4E-3</v>
      </c>
    </row>
    <row r="9" spans="1:30" s="2038" customFormat="1" ht="13.2">
      <c r="A9" s="2898" t="s">
        <v>2818</v>
      </c>
      <c r="B9" s="2024">
        <v>2022</v>
      </c>
      <c r="C9" s="2035">
        <v>1</v>
      </c>
      <c r="D9" s="2000">
        <v>0.89</v>
      </c>
      <c r="E9" s="2000">
        <v>0.44</v>
      </c>
      <c r="F9" s="2000">
        <v>0.37</v>
      </c>
      <c r="G9" s="2000">
        <v>0.96</v>
      </c>
      <c r="H9" s="2911">
        <v>0.64</v>
      </c>
      <c r="I9" s="2001">
        <f t="shared" si="4"/>
        <v>0.37</v>
      </c>
      <c r="J9" s="2899"/>
      <c r="K9" s="2036">
        <f t="shared" si="5"/>
        <v>8.8999999999999999E-3</v>
      </c>
      <c r="L9" s="2021">
        <f t="shared" si="5"/>
        <v>4.4000000000000003E-3</v>
      </c>
      <c r="M9" s="2021">
        <f t="shared" si="5"/>
        <v>3.7000000000000002E-3</v>
      </c>
      <c r="N9" s="2021">
        <f t="shared" si="5"/>
        <v>9.5999999999999992E-3</v>
      </c>
      <c r="O9" s="2021">
        <f t="shared" si="5"/>
        <v>6.4000000000000003E-3</v>
      </c>
      <c r="P9" s="2021">
        <f t="shared" si="8"/>
        <v>3.7000000000000002E-3</v>
      </c>
      <c r="Q9" s="2899"/>
      <c r="R9" s="2020">
        <f>ROUND(IF([2]项目基本情况!B8="出让",SUMPRODUCT(PRODUCT(1+K9:K13)),SUMPRODUCT(PRODUCT(1+K9:K12))),4)</f>
        <v>1.0335000000000001</v>
      </c>
      <c r="S9" s="2020">
        <f>ROUND(IF([2]项目基本情况!B8="出让",SUMPRODUCT(PRODUCT(1+L9:L13)),SUMPRODUCT(PRODUCT(1+L9:L12))),4)</f>
        <v>1.0182</v>
      </c>
      <c r="T9" s="2020">
        <f>ROUND(IF([2]项目基本情况!B8="出让",SUMPRODUCT(PRODUCT(1+M9:M13)),SUMPRODUCT(PRODUCT(1+M9:M12))),4)</f>
        <v>1.0108999999999999</v>
      </c>
      <c r="U9" s="2020">
        <f>ROUND(IF([2]项目基本情况!B8="出让",SUMPRODUCT(PRODUCT(1+N9:N13)),SUMPRODUCT(PRODUCT(1+N9:N12))),4)</f>
        <v>1.0361</v>
      </c>
      <c r="V9" s="2020">
        <f>ROUND(IF([2]项目基本情况!B8="出让",SUMPRODUCT(PRODUCT(1+O9:O13)),SUMPRODUCT(PRODUCT(1+O9:O12))),4)</f>
        <v>1.0270999999999999</v>
      </c>
      <c r="W9" s="2020">
        <f t="shared" si="9"/>
        <v>1.0108999999999999</v>
      </c>
      <c r="X9" s="2899"/>
      <c r="Y9" s="2021">
        <f>IF(D9=0,0,ROUND(AVERAGE(D9:D13)/100,4))</f>
        <v>8.6E-3</v>
      </c>
      <c r="Z9" s="2021">
        <f t="shared" ref="Z9:AC9" si="13">IF(E9=0,0,ROUND(AVERAGE(E9:E13)/100,4))</f>
        <v>3.8999999999999998E-3</v>
      </c>
      <c r="AA9" s="2021">
        <f t="shared" si="13"/>
        <v>1.6999999999999999E-3</v>
      </c>
      <c r="AB9" s="2021">
        <f t="shared" si="13"/>
        <v>9.2999999999999992E-3</v>
      </c>
      <c r="AC9" s="2021">
        <f t="shared" si="13"/>
        <v>6.1000000000000004E-3</v>
      </c>
      <c r="AD9" s="2021">
        <f t="shared" si="7"/>
        <v>1.6999999999999999E-3</v>
      </c>
    </row>
    <row r="10" spans="1:30" s="2038" customFormat="1" ht="13.2">
      <c r="A10" s="2898" t="s">
        <v>2819</v>
      </c>
      <c r="B10" s="2024">
        <v>2021</v>
      </c>
      <c r="C10" s="2035">
        <v>4</v>
      </c>
      <c r="D10" s="2000">
        <v>1.03</v>
      </c>
      <c r="E10" s="2000">
        <v>0.24</v>
      </c>
      <c r="F10" s="2000">
        <v>7.0000000000000007E-2</v>
      </c>
      <c r="G10" s="2000">
        <v>1.17</v>
      </c>
      <c r="H10" s="2911">
        <v>0.55000000000000004</v>
      </c>
      <c r="I10" s="2001">
        <f t="shared" si="4"/>
        <v>7.0000000000000007E-2</v>
      </c>
      <c r="J10" s="2899"/>
      <c r="K10" s="2036">
        <f t="shared" si="5"/>
        <v>1.03E-2</v>
      </c>
      <c r="L10" s="2021">
        <f t="shared" si="5"/>
        <v>2.3999999999999998E-3</v>
      </c>
      <c r="M10" s="2021">
        <f t="shared" si="5"/>
        <v>7.000000000000001E-4</v>
      </c>
      <c r="N10" s="2021">
        <f t="shared" si="5"/>
        <v>1.1699999999999999E-2</v>
      </c>
      <c r="O10" s="2021">
        <f t="shared" si="5"/>
        <v>5.5000000000000005E-3</v>
      </c>
      <c r="P10" s="2021">
        <f t="shared" si="8"/>
        <v>7.000000000000001E-4</v>
      </c>
      <c r="Q10" s="2899"/>
      <c r="R10" s="2020">
        <f>ROUND(IF([2]项目基本情况!B8="出让",SUMPRODUCT(PRODUCT(1+K10:K13)),SUMPRODUCT(PRODUCT(1+K10:K12))),4)</f>
        <v>1.0244</v>
      </c>
      <c r="S10" s="2020">
        <f>ROUND(IF([2]项目基本情况!B8="出让",SUMPRODUCT(PRODUCT(1+L10:L13)),SUMPRODUCT(PRODUCT(1+L10:L12))),4)</f>
        <v>1.0138</v>
      </c>
      <c r="T10" s="2020">
        <f>ROUND(IF([2]项目基本情况!B8="出让",SUMPRODUCT(PRODUCT(1+M10:M13)),SUMPRODUCT(PRODUCT(1+M10:M12))),4)</f>
        <v>1.0072000000000001</v>
      </c>
      <c r="U10" s="2020">
        <f>ROUND(IF([2]项目基本情况!B8="出让",SUMPRODUCT(PRODUCT(1+N10:N13)),SUMPRODUCT(PRODUCT(1+N10:N12))),4)</f>
        <v>1.0262</v>
      </c>
      <c r="V10" s="2020">
        <f>ROUND(IF([2]项目基本情况!B8="出让",SUMPRODUCT(PRODUCT(1+O10:O13)),SUMPRODUCT(PRODUCT(1+O10:O12))),4)</f>
        <v>1.0205</v>
      </c>
      <c r="W10" s="2020">
        <f t="shared" si="9"/>
        <v>1.0072000000000001</v>
      </c>
      <c r="X10" s="2899"/>
      <c r="Y10" s="2021">
        <f>IF(D10=0,0,ROUND(AVERAGE(D10:D13)/100,4))</f>
        <v>8.5000000000000006E-3</v>
      </c>
      <c r="Z10" s="2021">
        <f t="shared" ref="Z10:AC10" si="14">IF(E10=0,0,ROUND(AVERAGE(E10:E13)/100,4))</f>
        <v>3.8E-3</v>
      </c>
      <c r="AA10" s="2021">
        <f t="shared" si="14"/>
        <v>1.1999999999999999E-3</v>
      </c>
      <c r="AB10" s="2021">
        <f t="shared" si="14"/>
        <v>9.2999999999999992E-3</v>
      </c>
      <c r="AC10" s="2021">
        <f t="shared" si="14"/>
        <v>6.0000000000000001E-3</v>
      </c>
      <c r="AD10" s="2021">
        <f t="shared" si="7"/>
        <v>1.1999999999999999E-3</v>
      </c>
    </row>
    <row r="11" spans="1:30" s="2038" customFormat="1" ht="13.2">
      <c r="A11" s="2898" t="s">
        <v>2820</v>
      </c>
      <c r="B11" s="2024">
        <v>2021</v>
      </c>
      <c r="C11" s="2035">
        <v>3</v>
      </c>
      <c r="D11" s="2000">
        <v>0.47</v>
      </c>
      <c r="E11" s="2000">
        <v>0.41</v>
      </c>
      <c r="F11" s="2000">
        <v>0.24</v>
      </c>
      <c r="G11" s="2000">
        <v>0.48</v>
      </c>
      <c r="H11" s="2911">
        <v>0.48</v>
      </c>
      <c r="I11" s="2001">
        <f t="shared" si="4"/>
        <v>0.24</v>
      </c>
      <c r="J11" s="2899"/>
      <c r="K11" s="2036">
        <f t="shared" si="5"/>
        <v>4.6999999999999993E-3</v>
      </c>
      <c r="L11" s="2021">
        <f t="shared" si="5"/>
        <v>4.0999999999999995E-3</v>
      </c>
      <c r="M11" s="2021">
        <f t="shared" si="5"/>
        <v>2.3999999999999998E-3</v>
      </c>
      <c r="N11" s="2021">
        <f t="shared" si="5"/>
        <v>4.7999999999999996E-3</v>
      </c>
      <c r="O11" s="2021">
        <f t="shared" si="5"/>
        <v>4.7999999999999996E-3</v>
      </c>
      <c r="P11" s="2021">
        <f t="shared" si="8"/>
        <v>2.3999999999999998E-3</v>
      </c>
      <c r="Q11" s="2899"/>
      <c r="R11" s="2020">
        <f>ROUND(IF([2]项目基本情况!B8="出让",SUMPRODUCT(PRODUCT(1+K11:K13)),SUMPRODUCT(PRODUCT(1+K11:K12))),4)</f>
        <v>1.0139</v>
      </c>
      <c r="S11" s="2020">
        <f>ROUND(IF([2]项目基本情况!B8="出让",SUMPRODUCT(PRODUCT(1+L11:L13)),SUMPRODUCT(PRODUCT(1+L11:L12))),4)</f>
        <v>1.0113000000000001</v>
      </c>
      <c r="T11" s="2020">
        <f>ROUND(IF([2]项目基本情况!B8="出让",SUMPRODUCT(PRODUCT(1+M11:M13)),SUMPRODUCT(PRODUCT(1+M11:M12))),4)</f>
        <v>1.0065</v>
      </c>
      <c r="U11" s="2020">
        <f>ROUND(IF([2]项目基本情况!B8="出让",SUMPRODUCT(PRODUCT(1+N11:N13)),SUMPRODUCT(PRODUCT(1+N11:N12))),4)</f>
        <v>1.0143</v>
      </c>
      <c r="V11" s="2020">
        <f>ROUND(IF([2]项目基本情况!B8="出让",SUMPRODUCT(PRODUCT(1+O11:O13)),SUMPRODUCT(PRODUCT(1+O11:O12))),4)</f>
        <v>1.0148999999999999</v>
      </c>
      <c r="W11" s="2020">
        <f t="shared" si="9"/>
        <v>1.0065</v>
      </c>
      <c r="X11" s="2899"/>
      <c r="Y11" s="2021">
        <f>IF(D11=0,0,ROUND(AVERAGE(D11:D13)/100,4))</f>
        <v>7.9000000000000008E-3</v>
      </c>
      <c r="Z11" s="2021">
        <f>IF(E11=0,0,ROUND(AVERAGE(E11:E13)/100,4))</f>
        <v>4.3E-3</v>
      </c>
      <c r="AA11" s="2021">
        <f>IF(F11=0,0,ROUND(AVERAGE(F11:F13)/100,4))</f>
        <v>1.2999999999999999E-3</v>
      </c>
      <c r="AB11" s="2021">
        <f>IF(G11=0,0,ROUND(AVERAGE(G11:G13)/100,4))</f>
        <v>8.5000000000000006E-3</v>
      </c>
      <c r="AC11" s="2021">
        <f>IF(H11=0,0,ROUND(AVERAGE(H11:H13)/100,4))</f>
        <v>6.1999999999999998E-3</v>
      </c>
      <c r="AD11" s="2021">
        <f t="shared" si="7"/>
        <v>1.2999999999999999E-3</v>
      </c>
    </row>
    <row r="12" spans="1:30" s="2038" customFormat="1" ht="13.2">
      <c r="A12" s="2898" t="s">
        <v>2821</v>
      </c>
      <c r="B12" s="2024">
        <v>2021</v>
      </c>
      <c r="C12" s="2035">
        <v>2</v>
      </c>
      <c r="D12" s="2000">
        <v>0.92</v>
      </c>
      <c r="E12" s="2000">
        <v>0.72</v>
      </c>
      <c r="F12" s="2000">
        <v>0.41</v>
      </c>
      <c r="G12" s="2000">
        <v>0.95</v>
      </c>
      <c r="H12" s="2911">
        <v>1.01</v>
      </c>
      <c r="I12" s="2001">
        <f t="shared" si="4"/>
        <v>0.41</v>
      </c>
      <c r="J12" s="2899"/>
      <c r="K12" s="2036">
        <f t="shared" si="5"/>
        <v>9.1999999999999998E-3</v>
      </c>
      <c r="L12" s="2021">
        <f t="shared" si="5"/>
        <v>7.1999999999999998E-3</v>
      </c>
      <c r="M12" s="2021">
        <f t="shared" si="5"/>
        <v>4.0999999999999995E-3</v>
      </c>
      <c r="N12" s="2021">
        <f t="shared" si="5"/>
        <v>9.4999999999999998E-3</v>
      </c>
      <c r="O12" s="2021">
        <f t="shared" si="5"/>
        <v>1.01E-2</v>
      </c>
      <c r="P12" s="2021">
        <f t="shared" si="8"/>
        <v>4.0999999999999995E-3</v>
      </c>
      <c r="Q12" s="2899"/>
      <c r="R12" s="2020">
        <f>ROUND(IF([2]项目基本情况!B8="出让",SUMPRODUCT(PRODUCT(1+K12:K13)),SUMPRODUCT(PRODUCT(1+K12:K12))),4)</f>
        <v>1.0092000000000001</v>
      </c>
      <c r="S12" s="2020">
        <f>ROUND(IF([2]项目基本情况!B8="出让",SUMPRODUCT(PRODUCT(1+L12:L13)),SUMPRODUCT(PRODUCT(1+L12:L12))),4)</f>
        <v>1.0072000000000001</v>
      </c>
      <c r="T12" s="2020">
        <f>ROUND(IF([2]项目基本情况!B8="出让",SUMPRODUCT(PRODUCT(1+M12:M13)),SUMPRODUCT(PRODUCT(1+M12:M12))),4)</f>
        <v>1.0041</v>
      </c>
      <c r="U12" s="2020">
        <f>ROUND(IF([2]项目基本情况!B8="出让",SUMPRODUCT(PRODUCT(1+N12:N13)),SUMPRODUCT(PRODUCT(1+N12:N12))),4)</f>
        <v>1.0095000000000001</v>
      </c>
      <c r="V12" s="2020">
        <f>ROUND(IF([2]项目基本情况!B8="出让",SUMPRODUCT(PRODUCT(1+O12:O13)),SUMPRODUCT(PRODUCT(1+O12:O12))),4)</f>
        <v>1.0101</v>
      </c>
      <c r="W12" s="2020">
        <f t="shared" si="9"/>
        <v>1.0041</v>
      </c>
      <c r="X12" s="2899"/>
      <c r="Y12" s="2021">
        <f>IF(D12=0,0,ROUND(AVERAGE(D12:D13)/100,4))</f>
        <v>9.4999999999999998E-3</v>
      </c>
      <c r="Z12" s="2021">
        <f>IF(E12=0,0,ROUND(AVERAGE(E12:E13)/100,4))</f>
        <v>4.4000000000000003E-3</v>
      </c>
      <c r="AA12" s="2021">
        <f>IF(F12=0,0,ROUND(AVERAGE(F12:F13)/100,4))</f>
        <v>8.0000000000000004E-4</v>
      </c>
      <c r="AB12" s="2021">
        <f>IF(G12=0,0,ROUND(AVERAGE(G12:G13)/100,4))</f>
        <v>1.03E-2</v>
      </c>
      <c r="AC12" s="2021">
        <f>IF(H12=0,0,ROUND(AVERAGE(H12:H13)/100,4))</f>
        <v>6.8999999999999999E-3</v>
      </c>
      <c r="AD12" s="2021">
        <f t="shared" si="7"/>
        <v>8.0000000000000004E-4</v>
      </c>
    </row>
    <row r="13" spans="1:30" s="2922" customFormat="1" ht="13.8" thickBot="1">
      <c r="A13" s="2912" t="s">
        <v>2822</v>
      </c>
      <c r="B13" s="2913">
        <v>2021</v>
      </c>
      <c r="C13" s="2914">
        <v>1</v>
      </c>
      <c r="D13" s="2915">
        <v>0.97</v>
      </c>
      <c r="E13" s="2915">
        <v>0.16</v>
      </c>
      <c r="F13" s="2915">
        <v>-0.25</v>
      </c>
      <c r="G13" s="2915">
        <v>1.1100000000000001</v>
      </c>
      <c r="H13" s="2916">
        <v>0.36</v>
      </c>
      <c r="I13" s="2917">
        <f t="shared" si="4"/>
        <v>-0.25</v>
      </c>
      <c r="J13" s="2918"/>
      <c r="K13" s="2919">
        <f t="shared" si="5"/>
        <v>9.7000000000000003E-3</v>
      </c>
      <c r="L13" s="2920">
        <f t="shared" si="5"/>
        <v>1.6000000000000001E-3</v>
      </c>
      <c r="M13" s="2920">
        <f>F13/100</f>
        <v>-2.5000000000000001E-3</v>
      </c>
      <c r="N13" s="2920">
        <f t="shared" si="5"/>
        <v>1.11E-2</v>
      </c>
      <c r="O13" s="2920">
        <f t="shared" si="5"/>
        <v>3.5999999999999999E-3</v>
      </c>
      <c r="P13" s="2920">
        <f t="shared" si="8"/>
        <v>-2.5000000000000001E-3</v>
      </c>
      <c r="Q13" s="2918"/>
      <c r="R13" s="2921">
        <v>1</v>
      </c>
      <c r="S13" s="2921">
        <v>1</v>
      </c>
      <c r="T13" s="2921">
        <v>1</v>
      </c>
      <c r="U13" s="2921">
        <v>1</v>
      </c>
      <c r="V13" s="2921">
        <v>1</v>
      </c>
      <c r="W13" s="2921">
        <f t="shared" si="9"/>
        <v>1</v>
      </c>
      <c r="X13" s="2918"/>
      <c r="Y13" s="2920">
        <f>IF(D13=0,0,ROUND(AVERAGE(D13:D13)/100,4))</f>
        <v>9.7000000000000003E-3</v>
      </c>
      <c r="Z13" s="2920">
        <f>IF(E13=0,0,ROUND(AVERAGE(E13:E13)/100,4))</f>
        <v>1.6000000000000001E-3</v>
      </c>
      <c r="AA13" s="2920">
        <f>IF(F13=0,0,ROUND(AVERAGE(F13:F13)/100,4))</f>
        <v>-2.5000000000000001E-3</v>
      </c>
      <c r="AB13" s="2920">
        <f>IF(G13=0,0,ROUND(AVERAGE(G13:G13)/100,4))</f>
        <v>1.11E-2</v>
      </c>
      <c r="AC13" s="2920">
        <f>IF(H13=0,0,ROUND(AVERAGE(H13:H13)/100,4))</f>
        <v>3.5999999999999999E-3</v>
      </c>
      <c r="AD13" s="2920">
        <f>AA13</f>
        <v>-2.5000000000000001E-3</v>
      </c>
    </row>
    <row r="14" spans="1:30" ht="15" thickTop="1"/>
    <row r="16" spans="1:30">
      <c r="I16" s="1400" t="s">
        <v>2823</v>
      </c>
    </row>
    <row r="18" spans="1:30" s="2002" customFormat="1" ht="13.2">
      <c r="B18" s="2923" t="s">
        <v>2824</v>
      </c>
      <c r="C18" s="2924"/>
      <c r="D18" s="2924"/>
      <c r="E18" s="2924"/>
      <c r="F18" s="2924"/>
      <c r="G18" s="2924"/>
      <c r="H18" s="2924"/>
      <c r="I18" s="2924"/>
      <c r="J18" s="2889"/>
      <c r="K18" s="2924" t="s">
        <v>2825</v>
      </c>
      <c r="L18" s="2924"/>
      <c r="M18" s="2924"/>
      <c r="N18" s="2924"/>
      <c r="O18" s="2924"/>
      <c r="P18" s="2924"/>
      <c r="Q18" s="2889"/>
      <c r="R18" s="3549" t="s">
        <v>2826</v>
      </c>
      <c r="S18" s="3550"/>
      <c r="T18" s="3550"/>
      <c r="U18" s="3550"/>
      <c r="V18" s="3550"/>
      <c r="W18" s="3550"/>
      <c r="X18" s="2889"/>
      <c r="Y18" s="3549" t="s">
        <v>2827</v>
      </c>
      <c r="Z18" s="3550"/>
      <c r="AA18" s="3550"/>
      <c r="AB18" s="3550"/>
      <c r="AC18" s="3550"/>
      <c r="AD18" s="3550"/>
    </row>
    <row r="19" spans="1:30" s="2003" customFormat="1" ht="15" thickBot="1">
      <c r="B19" s="2874"/>
      <c r="C19" s="2875"/>
      <c r="D19" s="2004" t="s">
        <v>2828</v>
      </c>
      <c r="E19" s="2005" t="s">
        <v>2829</v>
      </c>
      <c r="F19" s="2005" t="s">
        <v>2830</v>
      </c>
      <c r="G19" s="2005" t="s">
        <v>2831</v>
      </c>
      <c r="H19" s="2005"/>
      <c r="I19" s="2005" t="s">
        <v>2832</v>
      </c>
      <c r="J19" s="2876"/>
      <c r="K19" s="2004" t="s">
        <v>2828</v>
      </c>
      <c r="L19" s="2005" t="s">
        <v>2829</v>
      </c>
      <c r="M19" s="2005" t="s">
        <v>2830</v>
      </c>
      <c r="N19" s="2005" t="s">
        <v>2831</v>
      </c>
      <c r="O19" s="2005"/>
      <c r="P19" s="2005" t="s">
        <v>2832</v>
      </c>
      <c r="Q19" s="2876"/>
      <c r="R19" s="2004" t="s">
        <v>2828</v>
      </c>
      <c r="S19" s="2005" t="s">
        <v>2829</v>
      </c>
      <c r="T19" s="2005" t="s">
        <v>2830</v>
      </c>
      <c r="U19" s="2005" t="s">
        <v>2831</v>
      </c>
      <c r="V19" s="2005"/>
      <c r="W19" s="2005" t="s">
        <v>2832</v>
      </c>
      <c r="X19" s="2876"/>
      <c r="Y19" s="2004" t="s">
        <v>2828</v>
      </c>
      <c r="Z19" s="2005" t="s">
        <v>2829</v>
      </c>
      <c r="AA19" s="2005" t="s">
        <v>2830</v>
      </c>
      <c r="AB19" s="2005" t="s">
        <v>2831</v>
      </c>
      <c r="AC19" s="2005"/>
      <c r="AD19" s="2005" t="s">
        <v>2832</v>
      </c>
    </row>
    <row r="20" spans="1:30" s="2879" customFormat="1" ht="13.2">
      <c r="A20" s="2877" t="s">
        <v>2833</v>
      </c>
      <c r="B20" s="2878"/>
      <c r="E20" s="2879">
        <f t="shared" ref="E20:G20" si="15">ROUND(AVERAGEIF(E21:E30,"&lt;&gt;0"),2)</f>
        <v>0.39</v>
      </c>
      <c r="F20" s="2879">
        <f t="shared" si="15"/>
        <v>0.27</v>
      </c>
      <c r="G20" s="2879">
        <f t="shared" si="15"/>
        <v>0.79</v>
      </c>
      <c r="I20" s="2879">
        <f>F20</f>
        <v>0.27</v>
      </c>
      <c r="J20" s="2880"/>
      <c r="K20" s="2881"/>
      <c r="L20" s="2882">
        <f t="shared" ref="L20:N20" si="16">ROUND(AVERAGEIF(L21:L30,"&lt;&gt;0"),4)</f>
        <v>3.8999999999999998E-3</v>
      </c>
      <c r="M20" s="2882">
        <f t="shared" si="16"/>
        <v>2.7000000000000001E-3</v>
      </c>
      <c r="N20" s="2882">
        <f t="shared" si="16"/>
        <v>7.9000000000000008E-3</v>
      </c>
      <c r="O20" s="2882"/>
      <c r="P20" s="2882">
        <f>M20</f>
        <v>2.7000000000000001E-3</v>
      </c>
      <c r="Q20" s="2880"/>
      <c r="R20" s="2883"/>
      <c r="S20" s="2884">
        <f>ROUND(SUMPRODUCT(PRODUCT(1+L21:L30)),4)</f>
        <v>1.0277000000000001</v>
      </c>
      <c r="T20" s="2884">
        <f t="shared" ref="T20:U20" si="17">ROUND(SUMPRODUCT(PRODUCT(1+M21:M30)),4)</f>
        <v>1.0192000000000001</v>
      </c>
      <c r="U20" s="2884">
        <f t="shared" si="17"/>
        <v>1.0569</v>
      </c>
      <c r="V20" s="2884"/>
      <c r="W20" s="2883">
        <f>T20</f>
        <v>1.0192000000000001</v>
      </c>
      <c r="X20" s="2880"/>
      <c r="Y20" s="2885"/>
      <c r="Z20" s="2886">
        <f t="shared" ref="Z20:AB20" si="18">ROUND(AVERAGEIF(Z21:Z30,"&lt;&gt;0"),4)</f>
        <v>4.4000000000000003E-3</v>
      </c>
      <c r="AA20" s="2887">
        <f t="shared" si="18"/>
        <v>3.7000000000000002E-3</v>
      </c>
      <c r="AB20" s="2885">
        <f t="shared" si="18"/>
        <v>9.1000000000000004E-3</v>
      </c>
      <c r="AC20" s="2888"/>
      <c r="AD20" s="2885">
        <f>AA20</f>
        <v>3.7000000000000002E-3</v>
      </c>
    </row>
    <row r="21" spans="1:30" s="2002" customFormat="1" ht="13.2">
      <c r="B21" s="2018"/>
      <c r="J21" s="2889"/>
      <c r="K21" s="2890"/>
      <c r="L21" s="2891"/>
      <c r="M21" s="2891"/>
      <c r="N21" s="2891"/>
      <c r="O21" s="2891"/>
      <c r="P21" s="2891"/>
      <c r="Q21" s="2889"/>
      <c r="R21" s="2020"/>
      <c r="S21" s="2892"/>
      <c r="T21" s="2893"/>
      <c r="U21" s="2020"/>
      <c r="V21" s="2894"/>
      <c r="W21" s="2020"/>
      <c r="X21" s="2889"/>
      <c r="Y21" s="2021"/>
      <c r="Z21" s="2895"/>
      <c r="AA21" s="2896"/>
      <c r="AB21" s="2021"/>
      <c r="AC21" s="2897"/>
      <c r="AD21" s="2021"/>
    </row>
    <row r="22" spans="1:30" s="2038" customFormat="1" ht="13.2">
      <c r="A22" s="2898" t="s">
        <v>2834</v>
      </c>
      <c r="B22" s="2024">
        <v>2023</v>
      </c>
      <c r="C22" s="2035">
        <v>1</v>
      </c>
      <c r="D22" s="2000"/>
      <c r="E22" s="2000">
        <v>0</v>
      </c>
      <c r="F22" s="2000">
        <v>0</v>
      </c>
      <c r="G22" s="2000">
        <v>0</v>
      </c>
      <c r="H22" s="2000"/>
      <c r="I22" s="2001">
        <f t="shared" ref="I22:I30" si="19">F22</f>
        <v>0</v>
      </c>
      <c r="J22" s="2899"/>
      <c r="K22" s="2036"/>
      <c r="L22" s="2021">
        <f t="shared" ref="L22:N30" si="20">E22/100</f>
        <v>0</v>
      </c>
      <c r="M22" s="2021">
        <f t="shared" si="20"/>
        <v>0</v>
      </c>
      <c r="N22" s="2021">
        <f t="shared" si="20"/>
        <v>0</v>
      </c>
      <c r="O22" s="2021"/>
      <c r="P22" s="2021">
        <f>M22</f>
        <v>0</v>
      </c>
      <c r="Q22" s="2899"/>
      <c r="R22" s="2020"/>
      <c r="S22" s="2020">
        <f>ROUND(IF([2]项目基本情况!$B$8="出让",SUMPRODUCT(PRODUCT(1+L22:L$30)),SUMPRODUCT(PRODUCT(1+L22:L$29))),4)</f>
        <v>1.0241</v>
      </c>
      <c r="T22" s="2020">
        <f>ROUND(IF([2]项目基本情况!$B$8="出让",SUMPRODUCT(PRODUCT(1+M22:M$30)),SUMPRODUCT(PRODUCT(1+M22:M$29))),4)</f>
        <v>1.0144</v>
      </c>
      <c r="U22" s="2020">
        <f>ROUND(IF([2]项目基本情况!$B$8="出让",SUMPRODUCT(PRODUCT(1+N22:N$30)),SUMPRODUCT(PRODUCT(1+N22:N$29))),4)</f>
        <v>1.0467</v>
      </c>
      <c r="V22" s="2020"/>
      <c r="W22" s="2020">
        <f>T22</f>
        <v>1.0144</v>
      </c>
      <c r="X22" s="2899"/>
      <c r="Y22" s="2021"/>
      <c r="Z22" s="2895">
        <f>IF(E22=0,0,ROUND(AVERAGE(E22:E30)/100,4))</f>
        <v>0</v>
      </c>
      <c r="AA22" s="2895">
        <f>IF(F22=0,0,ROUND(AVERAGE(F22:F30)/100,4))</f>
        <v>0</v>
      </c>
      <c r="AB22" s="2895">
        <f>IF(G22=0,0,ROUND(AVERAGE(G22:G30)/100,4))</f>
        <v>0</v>
      </c>
      <c r="AC22" s="2897"/>
      <c r="AD22" s="2021">
        <f>IF(I22=0,0,ROUND(AVERAGE(I22:I30)/100,4))</f>
        <v>0</v>
      </c>
    </row>
    <row r="23" spans="1:30" s="2900" customFormat="1" ht="13.2">
      <c r="A23" s="2898" t="s">
        <v>2835</v>
      </c>
      <c r="B23" s="2024">
        <v>2022</v>
      </c>
      <c r="C23" s="2035">
        <v>4</v>
      </c>
      <c r="D23" s="2000"/>
      <c r="E23" s="2000">
        <v>0</v>
      </c>
      <c r="F23" s="2000">
        <v>0</v>
      </c>
      <c r="G23" s="2000">
        <v>0</v>
      </c>
      <c r="H23" s="2000"/>
      <c r="I23" s="2001">
        <f t="shared" si="19"/>
        <v>0</v>
      </c>
      <c r="J23" s="2899"/>
      <c r="K23" s="2036"/>
      <c r="L23" s="2021">
        <f t="shared" si="20"/>
        <v>0</v>
      </c>
      <c r="M23" s="2021">
        <f t="shared" si="20"/>
        <v>0</v>
      </c>
      <c r="N23" s="2021">
        <f t="shared" si="20"/>
        <v>0</v>
      </c>
      <c r="O23" s="2021"/>
      <c r="P23" s="2021">
        <f t="shared" ref="P23:P30" si="21">M23</f>
        <v>0</v>
      </c>
      <c r="Q23" s="2899"/>
      <c r="R23" s="2020"/>
      <c r="S23" s="2020">
        <f>ROUND(IF([2]项目基本情况!$B$8="出让",SUMPRODUCT(PRODUCT(1+L23:L$30)),SUMPRODUCT(PRODUCT(1+L23:L$29))),4)</f>
        <v>1.0241</v>
      </c>
      <c r="T23" s="2020">
        <f>ROUND(IF([2]项目基本情况!$B$8="出让",SUMPRODUCT(PRODUCT(1+M23:M$30)),SUMPRODUCT(PRODUCT(1+M23:M$29))),4)</f>
        <v>1.0144</v>
      </c>
      <c r="U23" s="2020">
        <f>ROUND(IF([2]项目基本情况!$B$8="出让",SUMPRODUCT(PRODUCT(1+N23:N$30)),SUMPRODUCT(PRODUCT(1+N23:N$29))),4)</f>
        <v>1.0467</v>
      </c>
      <c r="V23" s="2020"/>
      <c r="W23" s="2020">
        <f t="shared" ref="W23:W30" si="22">T23</f>
        <v>1.0144</v>
      </c>
      <c r="X23" s="2899"/>
      <c r="Y23" s="2021"/>
      <c r="Z23" s="2895">
        <f t="shared" ref="Z23:AD30" si="23">IF(E23=0,0,ROUND(AVERAGE(E23:E31)/100,4))</f>
        <v>0</v>
      </c>
      <c r="AA23" s="2896">
        <f t="shared" si="23"/>
        <v>0</v>
      </c>
      <c r="AB23" s="2021">
        <f t="shared" si="23"/>
        <v>0</v>
      </c>
      <c r="AC23" s="2897"/>
      <c r="AD23" s="2021">
        <f t="shared" si="23"/>
        <v>0</v>
      </c>
    </row>
    <row r="24" spans="1:30" s="2910" customFormat="1" ht="13.2">
      <c r="A24" s="2901" t="s">
        <v>3358</v>
      </c>
      <c r="B24" s="2902">
        <v>2022</v>
      </c>
      <c r="C24" s="2903">
        <v>3</v>
      </c>
      <c r="D24" s="2904"/>
      <c r="E24" s="2904">
        <v>0.3</v>
      </c>
      <c r="F24" s="2904">
        <v>0.28999999999999998</v>
      </c>
      <c r="G24" s="2904">
        <v>0.83</v>
      </c>
      <c r="H24" s="2905"/>
      <c r="I24" s="2906">
        <f t="shared" si="19"/>
        <v>0.28999999999999998</v>
      </c>
      <c r="J24" s="2907"/>
      <c r="K24" s="2908"/>
      <c r="L24" s="2909">
        <f t="shared" si="20"/>
        <v>3.0000000000000001E-3</v>
      </c>
      <c r="M24" s="2909">
        <f t="shared" si="20"/>
        <v>2.8999999999999998E-3</v>
      </c>
      <c r="N24" s="2909">
        <f t="shared" si="20"/>
        <v>8.3000000000000001E-3</v>
      </c>
      <c r="O24" s="2909"/>
      <c r="P24" s="2909">
        <f t="shared" si="21"/>
        <v>2.8999999999999998E-3</v>
      </c>
      <c r="Q24" s="2907"/>
      <c r="R24" s="2907"/>
      <c r="S24" s="2907">
        <f>ROUND(IF([2]项目基本情况!$B$8="出让",SUMPRODUCT(PRODUCT(1+L24:L$30)),SUMPRODUCT(PRODUCT(1+L24:L$29))),4)</f>
        <v>1.0241</v>
      </c>
      <c r="T24" s="2907">
        <f>ROUND(IF([2]项目基本情况!$B$8="出让",SUMPRODUCT(PRODUCT(1+M24:M$30)),SUMPRODUCT(PRODUCT(1+M24:M$29))),4)</f>
        <v>1.0144</v>
      </c>
      <c r="U24" s="2907">
        <f>ROUND(IF([2]项目基本情况!$B$8="出让",SUMPRODUCT(PRODUCT(1+N24:N$30)),SUMPRODUCT(PRODUCT(1+N24:N$29))),4)</f>
        <v>1.0467</v>
      </c>
      <c r="V24" s="2907"/>
      <c r="W24" s="2907">
        <f t="shared" si="22"/>
        <v>1.0144</v>
      </c>
      <c r="X24" s="2907"/>
      <c r="Y24" s="2909"/>
      <c r="Z24" s="2925">
        <f t="shared" si="23"/>
        <v>3.8999999999999998E-3</v>
      </c>
      <c r="AA24" s="2926">
        <f t="shared" si="23"/>
        <v>2.7000000000000001E-3</v>
      </c>
      <c r="AB24" s="2909">
        <f t="shared" si="23"/>
        <v>7.9000000000000008E-3</v>
      </c>
      <c r="AC24" s="2927"/>
      <c r="AD24" s="2909">
        <f t="shared" si="23"/>
        <v>2.7000000000000001E-3</v>
      </c>
    </row>
    <row r="25" spans="1:30" s="2038" customFormat="1" ht="13.2">
      <c r="A25" s="2898" t="s">
        <v>3357</v>
      </c>
      <c r="B25" s="2024">
        <v>2022</v>
      </c>
      <c r="C25" s="2035">
        <v>2</v>
      </c>
      <c r="D25" s="2000"/>
      <c r="E25" s="2000">
        <v>-0.11</v>
      </c>
      <c r="F25" s="2000">
        <v>-0.13</v>
      </c>
      <c r="G25" s="2000">
        <v>0.53</v>
      </c>
      <c r="H25" s="2911"/>
      <c r="I25" s="2001">
        <f t="shared" si="19"/>
        <v>-0.13</v>
      </c>
      <c r="J25" s="2899"/>
      <c r="K25" s="2036"/>
      <c r="L25" s="2021">
        <f t="shared" si="20"/>
        <v>-1.1000000000000001E-3</v>
      </c>
      <c r="M25" s="2021">
        <f t="shared" si="20"/>
        <v>-1.2999999999999999E-3</v>
      </c>
      <c r="N25" s="2021">
        <f t="shared" si="20"/>
        <v>5.3E-3</v>
      </c>
      <c r="O25" s="2021"/>
      <c r="P25" s="2021">
        <f t="shared" si="21"/>
        <v>-1.2999999999999999E-3</v>
      </c>
      <c r="Q25" s="2899"/>
      <c r="R25" s="2020"/>
      <c r="S25" s="2020">
        <f>ROUND(IF([2]项目基本情况!$B$8="出让",SUMPRODUCT(PRODUCT(1+L25:L$30)),SUMPRODUCT(PRODUCT(1+L25:L$29))),4)</f>
        <v>1.0210999999999999</v>
      </c>
      <c r="T25" s="2020">
        <f>ROUND(IF([2]项目基本情况!$B$8="出让",SUMPRODUCT(PRODUCT(1+M25:M$30)),SUMPRODUCT(PRODUCT(1+M25:M$29))),4)</f>
        <v>1.0114000000000001</v>
      </c>
      <c r="U25" s="2020">
        <f>ROUND(IF([2]项目基本情况!$B$8="出让",SUMPRODUCT(PRODUCT(1+N25:N$30)),SUMPRODUCT(PRODUCT(1+N25:N$29))),4)</f>
        <v>1.0381</v>
      </c>
      <c r="V25" s="2020"/>
      <c r="W25" s="2020">
        <f t="shared" si="22"/>
        <v>1.0114000000000001</v>
      </c>
      <c r="X25" s="2899"/>
      <c r="Y25" s="2021"/>
      <c r="Z25" s="2895">
        <f t="shared" si="23"/>
        <v>4.1000000000000003E-3</v>
      </c>
      <c r="AA25" s="2896">
        <f t="shared" si="23"/>
        <v>2.7000000000000001E-3</v>
      </c>
      <c r="AB25" s="2021">
        <f t="shared" si="23"/>
        <v>7.9000000000000008E-3</v>
      </c>
      <c r="AC25" s="2897"/>
      <c r="AD25" s="2021">
        <f t="shared" si="23"/>
        <v>2.7000000000000001E-3</v>
      </c>
    </row>
    <row r="26" spans="1:30" s="2038" customFormat="1" ht="13.2">
      <c r="A26" s="2898" t="s">
        <v>2836</v>
      </c>
      <c r="B26" s="2024">
        <v>2022</v>
      </c>
      <c r="C26" s="2035">
        <v>1</v>
      </c>
      <c r="D26" s="2000"/>
      <c r="E26" s="2000">
        <v>0.6</v>
      </c>
      <c r="F26" s="2000">
        <v>0.45</v>
      </c>
      <c r="G26" s="2000">
        <v>0.53</v>
      </c>
      <c r="H26" s="2911"/>
      <c r="I26" s="2001">
        <f t="shared" si="19"/>
        <v>0.45</v>
      </c>
      <c r="J26" s="2899"/>
      <c r="K26" s="2036"/>
      <c r="L26" s="2021">
        <f t="shared" si="20"/>
        <v>6.0000000000000001E-3</v>
      </c>
      <c r="M26" s="2021">
        <f t="shared" si="20"/>
        <v>4.5000000000000005E-3</v>
      </c>
      <c r="N26" s="2021">
        <f t="shared" si="20"/>
        <v>5.3E-3</v>
      </c>
      <c r="O26" s="2021"/>
      <c r="P26" s="2021">
        <f t="shared" si="21"/>
        <v>4.5000000000000005E-3</v>
      </c>
      <c r="Q26" s="2899"/>
      <c r="R26" s="2020"/>
      <c r="S26" s="2020">
        <f>ROUND(IF([2]项目基本情况!$B$8="出让",SUMPRODUCT(PRODUCT(1+L26:L$30)),SUMPRODUCT(PRODUCT(1+L26:L$29))),4)</f>
        <v>1.0222</v>
      </c>
      <c r="T26" s="2020">
        <f>ROUND(IF([2]项目基本情况!$B$8="出让",SUMPRODUCT(PRODUCT(1+M26:M$30)),SUMPRODUCT(PRODUCT(1+M26:M$29))),4)</f>
        <v>1.0127999999999999</v>
      </c>
      <c r="U26" s="2020">
        <f>ROUND(IF([2]项目基本情况!$B$8="出让",SUMPRODUCT(PRODUCT(1+N26:N$30)),SUMPRODUCT(PRODUCT(1+N26:N$29))),4)</f>
        <v>1.0326</v>
      </c>
      <c r="V26" s="2020"/>
      <c r="W26" s="2020">
        <f t="shared" si="22"/>
        <v>1.0127999999999999</v>
      </c>
      <c r="X26" s="2899"/>
      <c r="Y26" s="2021"/>
      <c r="Z26" s="2895">
        <f t="shared" si="23"/>
        <v>5.1000000000000004E-3</v>
      </c>
      <c r="AA26" s="2896">
        <f t="shared" si="23"/>
        <v>3.5000000000000001E-3</v>
      </c>
      <c r="AB26" s="2021">
        <f t="shared" si="23"/>
        <v>8.3999999999999995E-3</v>
      </c>
      <c r="AC26" s="2897"/>
      <c r="AD26" s="2021">
        <f t="shared" si="23"/>
        <v>3.5000000000000001E-3</v>
      </c>
    </row>
    <row r="27" spans="1:30" s="2038" customFormat="1" ht="13.2">
      <c r="A27" s="2898" t="s">
        <v>2837</v>
      </c>
      <c r="B27" s="2024">
        <v>2021</v>
      </c>
      <c r="C27" s="2035">
        <v>4</v>
      </c>
      <c r="D27" s="2000"/>
      <c r="E27" s="2000">
        <v>0.57999999999999996</v>
      </c>
      <c r="F27" s="2000">
        <v>0.08</v>
      </c>
      <c r="G27" s="2000">
        <v>0.68</v>
      </c>
      <c r="H27" s="2911"/>
      <c r="I27" s="2001">
        <f t="shared" si="19"/>
        <v>0.08</v>
      </c>
      <c r="J27" s="2899"/>
      <c r="K27" s="2036"/>
      <c r="L27" s="2021">
        <f t="shared" si="20"/>
        <v>5.7999999999999996E-3</v>
      </c>
      <c r="M27" s="2021">
        <f t="shared" si="20"/>
        <v>8.0000000000000004E-4</v>
      </c>
      <c r="N27" s="2021">
        <f t="shared" si="20"/>
        <v>6.8000000000000005E-3</v>
      </c>
      <c r="O27" s="2021"/>
      <c r="P27" s="2021">
        <f t="shared" si="21"/>
        <v>8.0000000000000004E-4</v>
      </c>
      <c r="Q27" s="2899"/>
      <c r="R27" s="2020"/>
      <c r="S27" s="2020">
        <f>ROUND(IF([2]项目基本情况!$B$8="出让",SUMPRODUCT(PRODUCT(1+L27:L$30)),SUMPRODUCT(PRODUCT(1+L27:L$29))),4)</f>
        <v>1.0161</v>
      </c>
      <c r="T27" s="2020">
        <f>ROUND(IF([2]项目基本情况!$B$8="出让",SUMPRODUCT(PRODUCT(1+M27:M$30)),SUMPRODUCT(PRODUCT(1+M27:M$29))),4)</f>
        <v>1.0082</v>
      </c>
      <c r="U27" s="2020">
        <f>ROUND(IF([2]项目基本情况!$B$8="出让",SUMPRODUCT(PRODUCT(1+N27:N$30)),SUMPRODUCT(PRODUCT(1+N27:N$29))),4)</f>
        <v>1.0270999999999999</v>
      </c>
      <c r="V27" s="2020"/>
      <c r="W27" s="2020">
        <f t="shared" si="22"/>
        <v>1.0082</v>
      </c>
      <c r="X27" s="2899"/>
      <c r="Y27" s="2021"/>
      <c r="Z27" s="2895">
        <f t="shared" si="23"/>
        <v>4.8999999999999998E-3</v>
      </c>
      <c r="AA27" s="2896">
        <f t="shared" si="23"/>
        <v>3.3E-3</v>
      </c>
      <c r="AB27" s="2021">
        <f t="shared" si="23"/>
        <v>9.1999999999999998E-3</v>
      </c>
      <c r="AC27" s="2897"/>
      <c r="AD27" s="2021">
        <f t="shared" si="23"/>
        <v>3.3E-3</v>
      </c>
    </row>
    <row r="28" spans="1:30" s="2038" customFormat="1" ht="13.2">
      <c r="A28" s="2898" t="s">
        <v>2838</v>
      </c>
      <c r="B28" s="2024">
        <v>2021</v>
      </c>
      <c r="C28" s="2035">
        <v>3</v>
      </c>
      <c r="D28" s="2000"/>
      <c r="E28" s="2000">
        <v>0.47</v>
      </c>
      <c r="F28" s="2000">
        <v>0.28000000000000003</v>
      </c>
      <c r="G28" s="2000">
        <v>0.91</v>
      </c>
      <c r="H28" s="2911"/>
      <c r="I28" s="2001">
        <f t="shared" si="19"/>
        <v>0.28000000000000003</v>
      </c>
      <c r="J28" s="2899"/>
      <c r="K28" s="2036"/>
      <c r="L28" s="2021">
        <f t="shared" si="20"/>
        <v>4.6999999999999993E-3</v>
      </c>
      <c r="M28" s="2021">
        <f t="shared" si="20"/>
        <v>2.8000000000000004E-3</v>
      </c>
      <c r="N28" s="2021">
        <f t="shared" si="20"/>
        <v>9.1000000000000004E-3</v>
      </c>
      <c r="O28" s="2021"/>
      <c r="P28" s="2021">
        <f t="shared" si="21"/>
        <v>2.8000000000000004E-3</v>
      </c>
      <c r="Q28" s="2899"/>
      <c r="R28" s="2020"/>
      <c r="S28" s="2020">
        <f>ROUND(IF([2]项目基本情况!$B$8="出让",SUMPRODUCT(PRODUCT(1+L28:L$30)),SUMPRODUCT(PRODUCT(1+L28:L$29))),4)</f>
        <v>1.0102</v>
      </c>
      <c r="T28" s="2020">
        <f>ROUND(IF([2]项目基本情况!$B$8="出让",SUMPRODUCT(PRODUCT(1+M28:M$30)),SUMPRODUCT(PRODUCT(1+M28:M$29))),4)</f>
        <v>1.0074000000000001</v>
      </c>
      <c r="U28" s="2020">
        <f>ROUND(IF([2]项目基本情况!$B$8="出让",SUMPRODUCT(PRODUCT(1+N28:N$30)),SUMPRODUCT(PRODUCT(1+N28:N$29))),4)</f>
        <v>1.0202</v>
      </c>
      <c r="V28" s="2020"/>
      <c r="W28" s="2020">
        <f t="shared" si="22"/>
        <v>1.0074000000000001</v>
      </c>
      <c r="X28" s="2899"/>
      <c r="Y28" s="2021"/>
      <c r="Z28" s="2895">
        <f t="shared" si="23"/>
        <v>4.5999999999999999E-3</v>
      </c>
      <c r="AA28" s="2896">
        <f t="shared" si="23"/>
        <v>4.1000000000000003E-3</v>
      </c>
      <c r="AB28" s="2021">
        <f t="shared" si="23"/>
        <v>0.01</v>
      </c>
      <c r="AC28" s="2897"/>
      <c r="AD28" s="2021">
        <f t="shared" si="23"/>
        <v>4.1000000000000003E-3</v>
      </c>
    </row>
    <row r="29" spans="1:30" s="2038" customFormat="1" ht="13.2">
      <c r="A29" s="2898" t="s">
        <v>2839</v>
      </c>
      <c r="B29" s="2024">
        <v>2021</v>
      </c>
      <c r="C29" s="2035">
        <v>2</v>
      </c>
      <c r="D29" s="2000"/>
      <c r="E29" s="2000">
        <v>0.55000000000000004</v>
      </c>
      <c r="F29" s="2000">
        <v>0.46</v>
      </c>
      <c r="G29" s="2000">
        <v>1.1000000000000001</v>
      </c>
      <c r="H29" s="2911"/>
      <c r="I29" s="2001">
        <f t="shared" si="19"/>
        <v>0.46</v>
      </c>
      <c r="J29" s="2899"/>
      <c r="K29" s="2036"/>
      <c r="L29" s="2021">
        <f t="shared" si="20"/>
        <v>5.5000000000000005E-3</v>
      </c>
      <c r="M29" s="2021">
        <f t="shared" si="20"/>
        <v>4.5999999999999999E-3</v>
      </c>
      <c r="N29" s="2021">
        <f t="shared" si="20"/>
        <v>1.1000000000000001E-2</v>
      </c>
      <c r="O29" s="2021"/>
      <c r="P29" s="2021">
        <f t="shared" si="21"/>
        <v>4.5999999999999999E-3</v>
      </c>
      <c r="Q29" s="2899"/>
      <c r="R29" s="2020"/>
      <c r="S29" s="2020">
        <f>ROUND(IF([2]项目基本情况!$B$8="出让",SUMPRODUCT(PRODUCT(1+L29:L$30)),SUMPRODUCT(PRODUCT(1+L29:L$29))),4)</f>
        <v>1.0055000000000001</v>
      </c>
      <c r="T29" s="2020">
        <f>ROUND(IF([2]项目基本情况!$B$8="出让",SUMPRODUCT(PRODUCT(1+M29:M$30)),SUMPRODUCT(PRODUCT(1+M29:M$29))),4)</f>
        <v>1.0045999999999999</v>
      </c>
      <c r="U29" s="2020">
        <f>ROUND(IF([2]项目基本情况!$B$8="出让",SUMPRODUCT(PRODUCT(1+N29:N$30)),SUMPRODUCT(PRODUCT(1+N29:N$29))),4)</f>
        <v>1.0109999999999999</v>
      </c>
      <c r="V29" s="2020"/>
      <c r="W29" s="2020">
        <f t="shared" si="22"/>
        <v>1.0045999999999999</v>
      </c>
      <c r="X29" s="2899"/>
      <c r="Y29" s="2021"/>
      <c r="Z29" s="2895">
        <f t="shared" si="23"/>
        <v>4.4999999999999997E-3</v>
      </c>
      <c r="AA29" s="2896">
        <f t="shared" si="23"/>
        <v>4.7000000000000002E-3</v>
      </c>
      <c r="AB29" s="2021">
        <f t="shared" si="23"/>
        <v>1.04E-2</v>
      </c>
      <c r="AC29" s="2897"/>
      <c r="AD29" s="2021">
        <f t="shared" si="23"/>
        <v>4.7000000000000002E-3</v>
      </c>
    </row>
    <row r="30" spans="1:30" s="2922" customFormat="1" ht="13.8" thickBot="1">
      <c r="A30" s="2912" t="s">
        <v>2822</v>
      </c>
      <c r="B30" s="2913">
        <v>2021</v>
      </c>
      <c r="C30" s="2914">
        <v>1</v>
      </c>
      <c r="D30" s="2915"/>
      <c r="E30" s="2915">
        <v>0.35</v>
      </c>
      <c r="F30" s="2915">
        <v>0.48</v>
      </c>
      <c r="G30" s="2915">
        <v>0.98</v>
      </c>
      <c r="H30" s="2916"/>
      <c r="I30" s="2917">
        <f t="shared" si="19"/>
        <v>0.48</v>
      </c>
      <c r="J30" s="2918"/>
      <c r="K30" s="2919"/>
      <c r="L30" s="2920">
        <f t="shared" si="20"/>
        <v>3.4999999999999996E-3</v>
      </c>
      <c r="M30" s="2920">
        <f>F30/100</f>
        <v>4.7999999999999996E-3</v>
      </c>
      <c r="N30" s="2920">
        <f t="shared" si="20"/>
        <v>9.7999999999999997E-3</v>
      </c>
      <c r="O30" s="2920"/>
      <c r="P30" s="2920">
        <f t="shared" si="21"/>
        <v>4.7999999999999996E-3</v>
      </c>
      <c r="Q30" s="2918"/>
      <c r="R30" s="2921"/>
      <c r="S30" s="2921">
        <v>1</v>
      </c>
      <c r="T30" s="2921">
        <v>1</v>
      </c>
      <c r="U30" s="2921">
        <v>1</v>
      </c>
      <c r="V30" s="2921"/>
      <c r="W30" s="2921">
        <f t="shared" si="22"/>
        <v>1</v>
      </c>
      <c r="X30" s="2918"/>
      <c r="Y30" s="2920"/>
      <c r="Z30" s="2928">
        <f t="shared" si="23"/>
        <v>3.5000000000000001E-3</v>
      </c>
      <c r="AA30" s="2929">
        <f t="shared" si="23"/>
        <v>4.7999999999999996E-3</v>
      </c>
      <c r="AB30" s="2920">
        <f t="shared" si="23"/>
        <v>9.7999999999999997E-3</v>
      </c>
      <c r="AC30" s="2930"/>
      <c r="AD30" s="2920">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7" sqref="G37:G40"/>
    </sheetView>
  </sheetViews>
  <sheetFormatPr defaultColWidth="9" defaultRowHeight="13.2"/>
  <cols>
    <col min="1" max="1" width="9" style="2020"/>
    <col min="2" max="6" width="9" style="2020" customWidth="1"/>
    <col min="7" max="7" width="9" style="2054"/>
    <col min="8" max="8" width="9" style="2020"/>
    <col min="9" max="12" width="9" style="2020" customWidth="1"/>
    <col min="13" max="13" width="2.21875" style="2020" customWidth="1"/>
    <col min="14" max="14" width="9" style="2054" customWidth="1"/>
    <col min="15" max="17" width="9" style="2020" customWidth="1"/>
    <col min="18" max="18" width="2.33203125" style="2020" customWidth="1"/>
    <col min="19" max="19" width="7.109375" style="2054" customWidth="1"/>
    <col min="20" max="22" width="7.109375" style="2020" customWidth="1"/>
    <col min="23" max="23" width="24.21875" style="2020" customWidth="1"/>
    <col min="24" max="25" width="9" style="2020"/>
    <col min="26" max="27" width="11.6640625" style="2020" customWidth="1"/>
    <col min="28" max="28" width="9" style="2020"/>
    <col min="29" max="29" width="2" style="2020" customWidth="1"/>
    <col min="30" max="16384" width="9" style="2020"/>
  </cols>
  <sheetData>
    <row r="1" spans="1:34" s="2002"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2003" customFormat="1" ht="1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4">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4">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2309</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2308</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2307</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8"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8"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52">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52"/>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52"/>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59"/>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55">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52"/>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52"/>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59"/>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55">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52"/>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52"/>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8"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53"/>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8" thickBot="1">
      <c r="A33" s="2033" t="s">
        <v>124</v>
      </c>
      <c r="B33" s="2042">
        <v>333</v>
      </c>
      <c r="C33" s="2042">
        <v>277</v>
      </c>
      <c r="D33" s="2042">
        <f t="shared" si="246"/>
        <v>277</v>
      </c>
      <c r="E33" s="2042">
        <v>459</v>
      </c>
      <c r="F33" s="2043">
        <v>249</v>
      </c>
      <c r="G33" s="3551">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52"/>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52"/>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53"/>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8" thickBot="1">
      <c r="A37" s="2033" t="s">
        <v>120</v>
      </c>
      <c r="B37" s="2057">
        <v>318</v>
      </c>
      <c r="C37" s="2057">
        <v>268</v>
      </c>
      <c r="D37" s="2057">
        <f t="shared" si="246"/>
        <v>268</v>
      </c>
      <c r="E37" s="2057">
        <v>437</v>
      </c>
      <c r="F37" s="2058">
        <v>237</v>
      </c>
      <c r="G37" s="3551">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52"/>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8"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52"/>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8"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53"/>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8" thickBot="1">
      <c r="A41" s="2033" t="s">
        <v>465</v>
      </c>
      <c r="B41" s="2042">
        <v>299</v>
      </c>
      <c r="C41" s="2042">
        <v>252</v>
      </c>
      <c r="D41" s="2042">
        <f t="shared" si="246"/>
        <v>252</v>
      </c>
      <c r="E41" s="2042">
        <v>409</v>
      </c>
      <c r="F41" s="2043">
        <v>227</v>
      </c>
      <c r="G41" s="3556">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57"/>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57"/>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58"/>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8" thickBot="1">
      <c r="A45" s="2033" t="s">
        <v>469</v>
      </c>
      <c r="B45" s="2076">
        <v>278</v>
      </c>
      <c r="C45" s="2076">
        <v>234</v>
      </c>
      <c r="D45" s="2076">
        <f t="shared" si="246"/>
        <v>234</v>
      </c>
      <c r="E45" s="2076">
        <v>379</v>
      </c>
      <c r="F45" s="2077">
        <v>220</v>
      </c>
      <c r="G45" s="3551">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52"/>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52"/>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8" thickBot="1">
      <c r="A48" s="2033" t="s">
        <v>472</v>
      </c>
      <c r="B48" s="2034">
        <f>B47/(1+N47)</f>
        <v>275.19025476197027</v>
      </c>
      <c r="C48" s="2078">
        <v>232</v>
      </c>
      <c r="D48" s="2078">
        <f t="shared" si="246"/>
        <v>232</v>
      </c>
      <c r="E48" s="2034">
        <f t="shared" si="257"/>
        <v>375.65990977608692</v>
      </c>
      <c r="F48" s="2034">
        <f t="shared" si="257"/>
        <v>214.12518283971252</v>
      </c>
      <c r="G48" s="3553"/>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8" thickBot="1">
      <c r="A49" s="2033" t="s">
        <v>473</v>
      </c>
      <c r="B49" s="2042">
        <v>275</v>
      </c>
      <c r="C49" s="2042">
        <v>232</v>
      </c>
      <c r="D49" s="2042">
        <f t="shared" si="246"/>
        <v>232</v>
      </c>
      <c r="E49" s="2042">
        <v>376</v>
      </c>
      <c r="F49" s="2043">
        <v>213</v>
      </c>
      <c r="G49" s="3551">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52">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52">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8"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53">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8" thickBot="1">
      <c r="A53" s="2033" t="s">
        <v>477</v>
      </c>
      <c r="B53" s="2042">
        <v>269</v>
      </c>
      <c r="C53" s="2042">
        <v>221</v>
      </c>
      <c r="D53" s="2042">
        <f t="shared" si="246"/>
        <v>221</v>
      </c>
      <c r="E53" s="2042">
        <v>373</v>
      </c>
      <c r="F53" s="2043">
        <v>196</v>
      </c>
      <c r="G53" s="3551">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52">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52">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8"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53">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8" thickBot="1">
      <c r="A57" s="2033" t="s">
        <v>481</v>
      </c>
      <c r="B57" s="2042">
        <v>220</v>
      </c>
      <c r="C57" s="2042">
        <v>187</v>
      </c>
      <c r="D57" s="2042">
        <f t="shared" si="246"/>
        <v>187</v>
      </c>
      <c r="E57" s="2042">
        <v>301</v>
      </c>
      <c r="F57" s="2043">
        <v>168</v>
      </c>
      <c r="G57" s="3551">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52">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52">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53">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8" thickBot="1">
      <c r="A61" s="2033" t="s">
        <v>485</v>
      </c>
      <c r="B61" s="2076">
        <v>214</v>
      </c>
      <c r="C61" s="2076">
        <v>188</v>
      </c>
      <c r="D61" s="2076">
        <f t="shared" si="246"/>
        <v>188</v>
      </c>
      <c r="E61" s="2076">
        <v>289</v>
      </c>
      <c r="F61" s="2077">
        <v>166</v>
      </c>
      <c r="G61" s="3551">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52">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52">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8"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53">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8" thickBot="1">
      <c r="A65" s="2033" t="s">
        <v>489</v>
      </c>
      <c r="B65" s="2042">
        <v>188</v>
      </c>
      <c r="C65" s="2042">
        <v>165</v>
      </c>
      <c r="D65" s="2042">
        <f t="shared" si="246"/>
        <v>165</v>
      </c>
      <c r="E65" s="2042">
        <v>254</v>
      </c>
      <c r="F65" s="2043">
        <v>148</v>
      </c>
      <c r="G65" s="3551">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52">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52">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53">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8" thickBot="1">
      <c r="A69" s="2033" t="s">
        <v>493</v>
      </c>
      <c r="B69" s="2057">
        <v>159</v>
      </c>
      <c r="C69" s="2057">
        <v>141</v>
      </c>
      <c r="D69" s="2057">
        <f t="shared" si="246"/>
        <v>141</v>
      </c>
      <c r="E69" s="2057">
        <v>195</v>
      </c>
      <c r="F69" s="2058">
        <v>122</v>
      </c>
      <c r="G69" s="3551">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52">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52">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53">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8" thickBot="1">
      <c r="A73" s="2033" t="s">
        <v>497</v>
      </c>
      <c r="B73" s="2057">
        <v>138</v>
      </c>
      <c r="C73" s="2057">
        <v>131</v>
      </c>
      <c r="D73" s="2057">
        <f t="shared" si="246"/>
        <v>131</v>
      </c>
      <c r="E73" s="2057">
        <v>155</v>
      </c>
      <c r="F73" s="2058">
        <v>114</v>
      </c>
      <c r="G73" s="3551">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52">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52">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53">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8" thickBot="1">
      <c r="A77" s="2033" t="s">
        <v>501</v>
      </c>
      <c r="B77" s="2076">
        <v>121</v>
      </c>
      <c r="C77" s="2076">
        <v>122</v>
      </c>
      <c r="D77" s="2076">
        <f t="shared" si="246"/>
        <v>122</v>
      </c>
      <c r="E77" s="2076">
        <v>124</v>
      </c>
      <c r="F77" s="2077">
        <v>107</v>
      </c>
      <c r="G77" s="3551">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52">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52">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8"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53">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8" thickBot="1">
      <c r="A81" s="2033" t="s">
        <v>505</v>
      </c>
      <c r="B81" s="2096">
        <v>111</v>
      </c>
      <c r="C81" s="2096">
        <v>114</v>
      </c>
      <c r="D81" s="2096">
        <f t="shared" si="246"/>
        <v>114</v>
      </c>
      <c r="E81" s="2096">
        <v>108</v>
      </c>
      <c r="F81" s="2097">
        <v>104</v>
      </c>
      <c r="G81" s="3551">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52">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52">
        <v>2003</v>
      </c>
      <c r="H83" s="2044">
        <v>2</v>
      </c>
      <c r="I83" s="2098"/>
      <c r="J83" s="2098"/>
      <c r="K83" s="2098"/>
      <c r="L83" s="2098"/>
      <c r="X83" s="2090"/>
      <c r="Y83" s="2090"/>
      <c r="Z83" s="2090"/>
    </row>
    <row r="84" spans="1:26" ht="13.8" thickBot="1">
      <c r="A84" s="2033" t="s">
        <v>508</v>
      </c>
      <c r="B84" s="2100">
        <f t="shared" si="282"/>
        <v>107.25</v>
      </c>
      <c r="C84" s="2100">
        <f t="shared" si="282"/>
        <v>108.75</v>
      </c>
      <c r="D84" s="2100">
        <f t="shared" si="246"/>
        <v>108.75</v>
      </c>
      <c r="E84" s="2100">
        <f t="shared" si="283"/>
        <v>105.75</v>
      </c>
      <c r="F84" s="2100">
        <f t="shared" si="283"/>
        <v>102.5</v>
      </c>
      <c r="G84" s="3553">
        <v>2003</v>
      </c>
      <c r="H84" s="2101">
        <v>1</v>
      </c>
      <c r="I84" s="2098"/>
      <c r="J84" s="2098"/>
      <c r="K84" s="2098"/>
      <c r="L84" s="2098"/>
      <c r="S84" s="2036"/>
      <c r="T84" s="2021"/>
      <c r="U84" s="2021"/>
      <c r="X84" s="2090"/>
      <c r="Y84" s="2090"/>
      <c r="Z84" s="2090"/>
    </row>
    <row r="85" spans="1:26" ht="13.8" thickBot="1">
      <c r="A85" s="2033" t="s">
        <v>509</v>
      </c>
      <c r="B85" s="2102">
        <v>106</v>
      </c>
      <c r="C85" s="2102">
        <v>107</v>
      </c>
      <c r="D85" s="2102">
        <f t="shared" si="246"/>
        <v>107</v>
      </c>
      <c r="E85" s="2102">
        <v>105</v>
      </c>
      <c r="F85" s="2103">
        <v>102</v>
      </c>
      <c r="G85" s="3551">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52">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52">
        <v>2002</v>
      </c>
      <c r="H87" s="2044">
        <v>2</v>
      </c>
      <c r="I87" s="2098"/>
      <c r="J87" s="2098"/>
      <c r="K87" s="2098"/>
      <c r="L87" s="2098"/>
      <c r="X87" s="2090"/>
      <c r="Y87" s="2090"/>
      <c r="Z87" s="2090"/>
    </row>
    <row r="88" spans="1:26" s="2065" customFormat="1" ht="13.8" thickBot="1">
      <c r="A88" s="2061" t="s">
        <v>512</v>
      </c>
      <c r="B88" s="2068">
        <f t="shared" si="284"/>
        <v>103</v>
      </c>
      <c r="C88" s="2068">
        <f t="shared" si="284"/>
        <v>104</v>
      </c>
      <c r="D88" s="2068">
        <f t="shared" si="246"/>
        <v>104</v>
      </c>
      <c r="E88" s="2068">
        <f t="shared" si="285"/>
        <v>103.5</v>
      </c>
      <c r="F88" s="2068">
        <f t="shared" si="285"/>
        <v>100.5</v>
      </c>
      <c r="G88" s="3553">
        <v>2002</v>
      </c>
      <c r="H88" s="2104">
        <v>1</v>
      </c>
      <c r="I88" s="2105"/>
      <c r="J88" s="2105"/>
      <c r="K88" s="2105"/>
      <c r="L88" s="2105"/>
      <c r="N88" s="2106"/>
      <c r="S88" s="2106"/>
      <c r="X88" s="2107"/>
      <c r="Y88" s="2107"/>
      <c r="Z88" s="2107"/>
    </row>
    <row r="89" spans="1:26" ht="13.8"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8"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8"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154" customWidth="1"/>
    <col min="2" max="2" width="13.21875" style="1160" customWidth="1"/>
    <col min="3" max="3" width="15.6640625" style="1160" customWidth="1"/>
    <col min="4" max="4" width="9.33203125" style="1160" bestFit="1" customWidth="1"/>
    <col min="5" max="5" width="13.44140625" style="1160" customWidth="1"/>
    <col min="6" max="6" width="9" style="1160"/>
    <col min="7" max="7" width="9.33203125" style="1160" bestFit="1" customWidth="1"/>
    <col min="8" max="8" width="12.21875" style="1160" customWidth="1"/>
    <col min="9" max="9" width="9" style="1160"/>
    <col min="10" max="10" width="9.33203125" style="1160" bestFit="1" customWidth="1"/>
    <col min="11" max="11" width="4" style="1154" customWidth="1"/>
    <col min="12" max="12" width="5.109375" style="1160" customWidth="1"/>
    <col min="13" max="13" width="13.77734375" style="1160" customWidth="1"/>
    <col min="14" max="256" width="9" style="1160"/>
    <col min="257" max="257" width="4.88671875" style="1151" customWidth="1"/>
    <col min="258" max="258" width="13.21875" style="1151" customWidth="1"/>
    <col min="259" max="259" width="15.6640625" style="1151" customWidth="1"/>
    <col min="260" max="260" width="9.33203125" style="1151" bestFit="1" customWidth="1"/>
    <col min="261" max="261" width="13.44140625" style="1151" customWidth="1"/>
    <col min="262" max="262" width="9" style="1151"/>
    <col min="263" max="263" width="9.33203125" style="1151" bestFit="1" customWidth="1"/>
    <col min="264" max="265" width="9" style="1151"/>
    <col min="266" max="266" width="9.33203125" style="1151" bestFit="1" customWidth="1"/>
    <col min="267" max="267" width="4" style="1151" customWidth="1"/>
    <col min="268" max="268" width="5.109375" style="1151" customWidth="1"/>
    <col min="269" max="269" width="13.77734375" style="1151" customWidth="1"/>
    <col min="270" max="512" width="9" style="1151"/>
    <col min="513" max="513" width="4.88671875" style="1151" customWidth="1"/>
    <col min="514" max="514" width="13.21875" style="1151" customWidth="1"/>
    <col min="515" max="515" width="15.6640625" style="1151" customWidth="1"/>
    <col min="516" max="516" width="9.33203125" style="1151" bestFit="1" customWidth="1"/>
    <col min="517" max="517" width="13.44140625" style="1151" customWidth="1"/>
    <col min="518" max="518" width="9" style="1151"/>
    <col min="519" max="519" width="9.33203125" style="1151" bestFit="1" customWidth="1"/>
    <col min="520" max="521" width="9" style="1151"/>
    <col min="522" max="522" width="9.33203125" style="1151" bestFit="1" customWidth="1"/>
    <col min="523" max="523" width="4" style="1151" customWidth="1"/>
    <col min="524" max="524" width="5.109375" style="1151" customWidth="1"/>
    <col min="525" max="525" width="13.77734375" style="1151" customWidth="1"/>
    <col min="526" max="768" width="9" style="1151"/>
    <col min="769" max="769" width="4.88671875" style="1151" customWidth="1"/>
    <col min="770" max="770" width="13.21875" style="1151" customWidth="1"/>
    <col min="771" max="771" width="15.6640625" style="1151" customWidth="1"/>
    <col min="772" max="772" width="9.33203125" style="1151" bestFit="1" customWidth="1"/>
    <col min="773" max="773" width="13.44140625" style="1151" customWidth="1"/>
    <col min="774" max="774" width="9" style="1151"/>
    <col min="775" max="775" width="9.33203125" style="1151" bestFit="1" customWidth="1"/>
    <col min="776" max="777" width="9" style="1151"/>
    <col min="778" max="778" width="9.33203125" style="1151" bestFit="1" customWidth="1"/>
    <col min="779" max="779" width="4" style="1151" customWidth="1"/>
    <col min="780" max="780" width="5.109375" style="1151" customWidth="1"/>
    <col min="781" max="781" width="13.77734375" style="1151" customWidth="1"/>
    <col min="782" max="1024" width="9" style="1151"/>
    <col min="1025" max="1025" width="4.88671875" style="1151" customWidth="1"/>
    <col min="1026" max="1026" width="13.21875" style="1151" customWidth="1"/>
    <col min="1027" max="1027" width="15.6640625" style="1151" customWidth="1"/>
    <col min="1028" max="1028" width="9.33203125" style="1151" bestFit="1" customWidth="1"/>
    <col min="1029" max="1029" width="13.44140625" style="1151" customWidth="1"/>
    <col min="1030" max="1030" width="9" style="1151"/>
    <col min="1031" max="1031" width="9.33203125" style="1151" bestFit="1" customWidth="1"/>
    <col min="1032" max="1033" width="9" style="1151"/>
    <col min="1034" max="1034" width="9.33203125" style="1151" bestFit="1" customWidth="1"/>
    <col min="1035" max="1035" width="4" style="1151" customWidth="1"/>
    <col min="1036" max="1036" width="5.109375" style="1151" customWidth="1"/>
    <col min="1037" max="1037" width="13.77734375" style="1151" customWidth="1"/>
    <col min="1038" max="1280" width="9" style="1151"/>
    <col min="1281" max="1281" width="4.88671875" style="1151" customWidth="1"/>
    <col min="1282" max="1282" width="13.21875" style="1151" customWidth="1"/>
    <col min="1283" max="1283" width="15.6640625" style="1151" customWidth="1"/>
    <col min="1284" max="1284" width="9.33203125" style="1151" bestFit="1" customWidth="1"/>
    <col min="1285" max="1285" width="13.44140625" style="1151" customWidth="1"/>
    <col min="1286" max="1286" width="9" style="1151"/>
    <col min="1287" max="1287" width="9.33203125" style="1151" bestFit="1" customWidth="1"/>
    <col min="1288" max="1289" width="9" style="1151"/>
    <col min="1290" max="1290" width="9.33203125" style="1151" bestFit="1" customWidth="1"/>
    <col min="1291" max="1291" width="4" style="1151" customWidth="1"/>
    <col min="1292" max="1292" width="5.109375" style="1151" customWidth="1"/>
    <col min="1293" max="1293" width="13.77734375" style="1151" customWidth="1"/>
    <col min="1294" max="1536" width="9" style="1151"/>
    <col min="1537" max="1537" width="4.88671875" style="1151" customWidth="1"/>
    <col min="1538" max="1538" width="13.21875" style="1151" customWidth="1"/>
    <col min="1539" max="1539" width="15.6640625" style="1151" customWidth="1"/>
    <col min="1540" max="1540" width="9.33203125" style="1151" bestFit="1" customWidth="1"/>
    <col min="1541" max="1541" width="13.44140625" style="1151" customWidth="1"/>
    <col min="1542" max="1542" width="9" style="1151"/>
    <col min="1543" max="1543" width="9.33203125" style="1151" bestFit="1" customWidth="1"/>
    <col min="1544" max="1545" width="9" style="1151"/>
    <col min="1546" max="1546" width="9.33203125" style="1151" bestFit="1" customWidth="1"/>
    <col min="1547" max="1547" width="4" style="1151" customWidth="1"/>
    <col min="1548" max="1548" width="5.109375" style="1151" customWidth="1"/>
    <col min="1549" max="1549" width="13.77734375" style="1151" customWidth="1"/>
    <col min="1550" max="1792" width="9" style="1151"/>
    <col min="1793" max="1793" width="4.88671875" style="1151" customWidth="1"/>
    <col min="1794" max="1794" width="13.21875" style="1151" customWidth="1"/>
    <col min="1795" max="1795" width="15.6640625" style="1151" customWidth="1"/>
    <col min="1796" max="1796" width="9.33203125" style="1151" bestFit="1" customWidth="1"/>
    <col min="1797" max="1797" width="13.44140625" style="1151" customWidth="1"/>
    <col min="1798" max="1798" width="9" style="1151"/>
    <col min="1799" max="1799" width="9.33203125" style="1151" bestFit="1" customWidth="1"/>
    <col min="1800" max="1801" width="9" style="1151"/>
    <col min="1802" max="1802" width="9.33203125" style="1151" bestFit="1" customWidth="1"/>
    <col min="1803" max="1803" width="4" style="1151" customWidth="1"/>
    <col min="1804" max="1804" width="5.109375" style="1151" customWidth="1"/>
    <col min="1805" max="1805" width="13.77734375" style="1151" customWidth="1"/>
    <col min="1806" max="2048" width="9" style="1151"/>
    <col min="2049" max="2049" width="4.88671875" style="1151" customWidth="1"/>
    <col min="2050" max="2050" width="13.21875" style="1151" customWidth="1"/>
    <col min="2051" max="2051" width="15.6640625" style="1151" customWidth="1"/>
    <col min="2052" max="2052" width="9.33203125" style="1151" bestFit="1" customWidth="1"/>
    <col min="2053" max="2053" width="13.44140625" style="1151" customWidth="1"/>
    <col min="2054" max="2054" width="9" style="1151"/>
    <col min="2055" max="2055" width="9.33203125" style="1151" bestFit="1" customWidth="1"/>
    <col min="2056" max="2057" width="9" style="1151"/>
    <col min="2058" max="2058" width="9.33203125" style="1151" bestFit="1" customWidth="1"/>
    <col min="2059" max="2059" width="4" style="1151" customWidth="1"/>
    <col min="2060" max="2060" width="5.109375" style="1151" customWidth="1"/>
    <col min="2061" max="2061" width="13.77734375" style="1151" customWidth="1"/>
    <col min="2062" max="2304" width="9" style="1151"/>
    <col min="2305" max="2305" width="4.88671875" style="1151" customWidth="1"/>
    <col min="2306" max="2306" width="13.21875" style="1151" customWidth="1"/>
    <col min="2307" max="2307" width="15.6640625" style="1151" customWidth="1"/>
    <col min="2308" max="2308" width="9.33203125" style="1151" bestFit="1" customWidth="1"/>
    <col min="2309" max="2309" width="13.44140625" style="1151" customWidth="1"/>
    <col min="2310" max="2310" width="9" style="1151"/>
    <col min="2311" max="2311" width="9.33203125" style="1151" bestFit="1" customWidth="1"/>
    <col min="2312" max="2313" width="9" style="1151"/>
    <col min="2314" max="2314" width="9.33203125" style="1151" bestFit="1" customWidth="1"/>
    <col min="2315" max="2315" width="4" style="1151" customWidth="1"/>
    <col min="2316" max="2316" width="5.109375" style="1151" customWidth="1"/>
    <col min="2317" max="2317" width="13.77734375" style="1151" customWidth="1"/>
    <col min="2318" max="2560" width="9" style="1151"/>
    <col min="2561" max="2561" width="4.88671875" style="1151" customWidth="1"/>
    <col min="2562" max="2562" width="13.21875" style="1151" customWidth="1"/>
    <col min="2563" max="2563" width="15.6640625" style="1151" customWidth="1"/>
    <col min="2564" max="2564" width="9.33203125" style="1151" bestFit="1" customWidth="1"/>
    <col min="2565" max="2565" width="13.44140625" style="1151" customWidth="1"/>
    <col min="2566" max="2566" width="9" style="1151"/>
    <col min="2567" max="2567" width="9.33203125" style="1151" bestFit="1" customWidth="1"/>
    <col min="2568" max="2569" width="9" style="1151"/>
    <col min="2570" max="2570" width="9.33203125" style="1151" bestFit="1" customWidth="1"/>
    <col min="2571" max="2571" width="4" style="1151" customWidth="1"/>
    <col min="2572" max="2572" width="5.109375" style="1151" customWidth="1"/>
    <col min="2573" max="2573" width="13.77734375" style="1151" customWidth="1"/>
    <col min="2574" max="2816" width="9" style="1151"/>
    <col min="2817" max="2817" width="4.88671875" style="1151" customWidth="1"/>
    <col min="2818" max="2818" width="13.21875" style="1151" customWidth="1"/>
    <col min="2819" max="2819" width="15.6640625" style="1151" customWidth="1"/>
    <col min="2820" max="2820" width="9.33203125" style="1151" bestFit="1" customWidth="1"/>
    <col min="2821" max="2821" width="13.44140625" style="1151" customWidth="1"/>
    <col min="2822" max="2822" width="9" style="1151"/>
    <col min="2823" max="2823" width="9.33203125" style="1151" bestFit="1" customWidth="1"/>
    <col min="2824" max="2825" width="9" style="1151"/>
    <col min="2826" max="2826" width="9.33203125" style="1151" bestFit="1" customWidth="1"/>
    <col min="2827" max="2827" width="4" style="1151" customWidth="1"/>
    <col min="2828" max="2828" width="5.109375" style="1151" customWidth="1"/>
    <col min="2829" max="2829" width="13.77734375" style="1151" customWidth="1"/>
    <col min="2830" max="3072" width="9" style="1151"/>
    <col min="3073" max="3073" width="4.88671875" style="1151" customWidth="1"/>
    <col min="3074" max="3074" width="13.21875" style="1151" customWidth="1"/>
    <col min="3075" max="3075" width="15.6640625" style="1151" customWidth="1"/>
    <col min="3076" max="3076" width="9.33203125" style="1151" bestFit="1" customWidth="1"/>
    <col min="3077" max="3077" width="13.44140625" style="1151" customWidth="1"/>
    <col min="3078" max="3078" width="9" style="1151"/>
    <col min="3079" max="3079" width="9.33203125" style="1151" bestFit="1" customWidth="1"/>
    <col min="3080" max="3081" width="9" style="1151"/>
    <col min="3082" max="3082" width="9.33203125" style="1151" bestFit="1" customWidth="1"/>
    <col min="3083" max="3083" width="4" style="1151" customWidth="1"/>
    <col min="3084" max="3084" width="5.109375" style="1151" customWidth="1"/>
    <col min="3085" max="3085" width="13.77734375" style="1151" customWidth="1"/>
    <col min="3086" max="3328" width="9" style="1151"/>
    <col min="3329" max="3329" width="4.88671875" style="1151" customWidth="1"/>
    <col min="3330" max="3330" width="13.21875" style="1151" customWidth="1"/>
    <col min="3331" max="3331" width="15.6640625" style="1151" customWidth="1"/>
    <col min="3332" max="3332" width="9.33203125" style="1151" bestFit="1" customWidth="1"/>
    <col min="3333" max="3333" width="13.44140625" style="1151" customWidth="1"/>
    <col min="3334" max="3334" width="9" style="1151"/>
    <col min="3335" max="3335" width="9.33203125" style="1151" bestFit="1" customWidth="1"/>
    <col min="3336" max="3337" width="9" style="1151"/>
    <col min="3338" max="3338" width="9.33203125" style="1151" bestFit="1" customWidth="1"/>
    <col min="3339" max="3339" width="4" style="1151" customWidth="1"/>
    <col min="3340" max="3340" width="5.109375" style="1151" customWidth="1"/>
    <col min="3341" max="3341" width="13.77734375" style="1151" customWidth="1"/>
    <col min="3342" max="3584" width="9" style="1151"/>
    <col min="3585" max="3585" width="4.88671875" style="1151" customWidth="1"/>
    <col min="3586" max="3586" width="13.21875" style="1151" customWidth="1"/>
    <col min="3587" max="3587" width="15.6640625" style="1151" customWidth="1"/>
    <col min="3588" max="3588" width="9.33203125" style="1151" bestFit="1" customWidth="1"/>
    <col min="3589" max="3589" width="13.44140625" style="1151" customWidth="1"/>
    <col min="3590" max="3590" width="9" style="1151"/>
    <col min="3591" max="3591" width="9.33203125" style="1151" bestFit="1" customWidth="1"/>
    <col min="3592" max="3593" width="9" style="1151"/>
    <col min="3594" max="3594" width="9.33203125" style="1151" bestFit="1" customWidth="1"/>
    <col min="3595" max="3595" width="4" style="1151" customWidth="1"/>
    <col min="3596" max="3596" width="5.109375" style="1151" customWidth="1"/>
    <col min="3597" max="3597" width="13.77734375" style="1151" customWidth="1"/>
    <col min="3598" max="3840" width="9" style="1151"/>
    <col min="3841" max="3841" width="4.88671875" style="1151" customWidth="1"/>
    <col min="3842" max="3842" width="13.21875" style="1151" customWidth="1"/>
    <col min="3843" max="3843" width="15.6640625" style="1151" customWidth="1"/>
    <col min="3844" max="3844" width="9.33203125" style="1151" bestFit="1" customWidth="1"/>
    <col min="3845" max="3845" width="13.44140625" style="1151" customWidth="1"/>
    <col min="3846" max="3846" width="9" style="1151"/>
    <col min="3847" max="3847" width="9.33203125" style="1151" bestFit="1" customWidth="1"/>
    <col min="3848" max="3849" width="9" style="1151"/>
    <col min="3850" max="3850" width="9.33203125" style="1151" bestFit="1" customWidth="1"/>
    <col min="3851" max="3851" width="4" style="1151" customWidth="1"/>
    <col min="3852" max="3852" width="5.109375" style="1151" customWidth="1"/>
    <col min="3853" max="3853" width="13.77734375" style="1151" customWidth="1"/>
    <col min="3854" max="4096" width="9" style="1151"/>
    <col min="4097" max="4097" width="4.88671875" style="1151" customWidth="1"/>
    <col min="4098" max="4098" width="13.21875" style="1151" customWidth="1"/>
    <col min="4099" max="4099" width="15.6640625" style="1151" customWidth="1"/>
    <col min="4100" max="4100" width="9.33203125" style="1151" bestFit="1" customWidth="1"/>
    <col min="4101" max="4101" width="13.44140625" style="1151" customWidth="1"/>
    <col min="4102" max="4102" width="9" style="1151"/>
    <col min="4103" max="4103" width="9.33203125" style="1151" bestFit="1" customWidth="1"/>
    <col min="4104" max="4105" width="9" style="1151"/>
    <col min="4106" max="4106" width="9.33203125" style="1151" bestFit="1" customWidth="1"/>
    <col min="4107" max="4107" width="4" style="1151" customWidth="1"/>
    <col min="4108" max="4108" width="5.109375" style="1151" customWidth="1"/>
    <col min="4109" max="4109" width="13.77734375" style="1151" customWidth="1"/>
    <col min="4110" max="4352" width="9" style="1151"/>
    <col min="4353" max="4353" width="4.88671875" style="1151" customWidth="1"/>
    <col min="4354" max="4354" width="13.21875" style="1151" customWidth="1"/>
    <col min="4355" max="4355" width="15.6640625" style="1151" customWidth="1"/>
    <col min="4356" max="4356" width="9.33203125" style="1151" bestFit="1" customWidth="1"/>
    <col min="4357" max="4357" width="13.44140625" style="1151" customWidth="1"/>
    <col min="4358" max="4358" width="9" style="1151"/>
    <col min="4359" max="4359" width="9.33203125" style="1151" bestFit="1" customWidth="1"/>
    <col min="4360" max="4361" width="9" style="1151"/>
    <col min="4362" max="4362" width="9.33203125" style="1151" bestFit="1" customWidth="1"/>
    <col min="4363" max="4363" width="4" style="1151" customWidth="1"/>
    <col min="4364" max="4364" width="5.109375" style="1151" customWidth="1"/>
    <col min="4365" max="4365" width="13.77734375" style="1151" customWidth="1"/>
    <col min="4366" max="4608" width="9" style="1151"/>
    <col min="4609" max="4609" width="4.88671875" style="1151" customWidth="1"/>
    <col min="4610" max="4610" width="13.21875" style="1151" customWidth="1"/>
    <col min="4611" max="4611" width="15.6640625" style="1151" customWidth="1"/>
    <col min="4612" max="4612" width="9.33203125" style="1151" bestFit="1" customWidth="1"/>
    <col min="4613" max="4613" width="13.44140625" style="1151" customWidth="1"/>
    <col min="4614" max="4614" width="9" style="1151"/>
    <col min="4615" max="4615" width="9.33203125" style="1151" bestFit="1" customWidth="1"/>
    <col min="4616" max="4617" width="9" style="1151"/>
    <col min="4618" max="4618" width="9.33203125" style="1151" bestFit="1" customWidth="1"/>
    <col min="4619" max="4619" width="4" style="1151" customWidth="1"/>
    <col min="4620" max="4620" width="5.109375" style="1151" customWidth="1"/>
    <col min="4621" max="4621" width="13.77734375" style="1151" customWidth="1"/>
    <col min="4622" max="4864" width="9" style="1151"/>
    <col min="4865" max="4865" width="4.88671875" style="1151" customWidth="1"/>
    <col min="4866" max="4866" width="13.21875" style="1151" customWidth="1"/>
    <col min="4867" max="4867" width="15.6640625" style="1151" customWidth="1"/>
    <col min="4868" max="4868" width="9.33203125" style="1151" bestFit="1" customWidth="1"/>
    <col min="4869" max="4869" width="13.44140625" style="1151" customWidth="1"/>
    <col min="4870" max="4870" width="9" style="1151"/>
    <col min="4871" max="4871" width="9.33203125" style="1151" bestFit="1" customWidth="1"/>
    <col min="4872" max="4873" width="9" style="1151"/>
    <col min="4874" max="4874" width="9.33203125" style="1151" bestFit="1" customWidth="1"/>
    <col min="4875" max="4875" width="4" style="1151" customWidth="1"/>
    <col min="4876" max="4876" width="5.109375" style="1151" customWidth="1"/>
    <col min="4877" max="4877" width="13.77734375" style="1151" customWidth="1"/>
    <col min="4878" max="5120" width="9" style="1151"/>
    <col min="5121" max="5121" width="4.88671875" style="1151" customWidth="1"/>
    <col min="5122" max="5122" width="13.21875" style="1151" customWidth="1"/>
    <col min="5123" max="5123" width="15.6640625" style="1151" customWidth="1"/>
    <col min="5124" max="5124" width="9.33203125" style="1151" bestFit="1" customWidth="1"/>
    <col min="5125" max="5125" width="13.44140625" style="1151" customWidth="1"/>
    <col min="5126" max="5126" width="9" style="1151"/>
    <col min="5127" max="5127" width="9.33203125" style="1151" bestFit="1" customWidth="1"/>
    <col min="5128" max="5129" width="9" style="1151"/>
    <col min="5130" max="5130" width="9.33203125" style="1151" bestFit="1" customWidth="1"/>
    <col min="5131" max="5131" width="4" style="1151" customWidth="1"/>
    <col min="5132" max="5132" width="5.109375" style="1151" customWidth="1"/>
    <col min="5133" max="5133" width="13.77734375" style="1151" customWidth="1"/>
    <col min="5134" max="5376" width="9" style="1151"/>
    <col min="5377" max="5377" width="4.88671875" style="1151" customWidth="1"/>
    <col min="5378" max="5378" width="13.21875" style="1151" customWidth="1"/>
    <col min="5379" max="5379" width="15.6640625" style="1151" customWidth="1"/>
    <col min="5380" max="5380" width="9.33203125" style="1151" bestFit="1" customWidth="1"/>
    <col min="5381" max="5381" width="13.44140625" style="1151" customWidth="1"/>
    <col min="5382" max="5382" width="9" style="1151"/>
    <col min="5383" max="5383" width="9.33203125" style="1151" bestFit="1" customWidth="1"/>
    <col min="5384" max="5385" width="9" style="1151"/>
    <col min="5386" max="5386" width="9.33203125" style="1151" bestFit="1" customWidth="1"/>
    <col min="5387" max="5387" width="4" style="1151" customWidth="1"/>
    <col min="5388" max="5388" width="5.109375" style="1151" customWidth="1"/>
    <col min="5389" max="5389" width="13.77734375" style="1151" customWidth="1"/>
    <col min="5390" max="5632" width="9" style="1151"/>
    <col min="5633" max="5633" width="4.88671875" style="1151" customWidth="1"/>
    <col min="5634" max="5634" width="13.21875" style="1151" customWidth="1"/>
    <col min="5635" max="5635" width="15.6640625" style="1151" customWidth="1"/>
    <col min="5636" max="5636" width="9.33203125" style="1151" bestFit="1" customWidth="1"/>
    <col min="5637" max="5637" width="13.44140625" style="1151" customWidth="1"/>
    <col min="5638" max="5638" width="9" style="1151"/>
    <col min="5639" max="5639" width="9.33203125" style="1151" bestFit="1" customWidth="1"/>
    <col min="5640" max="5641" width="9" style="1151"/>
    <col min="5642" max="5642" width="9.33203125" style="1151" bestFit="1" customWidth="1"/>
    <col min="5643" max="5643" width="4" style="1151" customWidth="1"/>
    <col min="5644" max="5644" width="5.109375" style="1151" customWidth="1"/>
    <col min="5645" max="5645" width="13.77734375" style="1151" customWidth="1"/>
    <col min="5646" max="5888" width="9" style="1151"/>
    <col min="5889" max="5889" width="4.88671875" style="1151" customWidth="1"/>
    <col min="5890" max="5890" width="13.21875" style="1151" customWidth="1"/>
    <col min="5891" max="5891" width="15.6640625" style="1151" customWidth="1"/>
    <col min="5892" max="5892" width="9.33203125" style="1151" bestFit="1" customWidth="1"/>
    <col min="5893" max="5893" width="13.44140625" style="1151" customWidth="1"/>
    <col min="5894" max="5894" width="9" style="1151"/>
    <col min="5895" max="5895" width="9.33203125" style="1151" bestFit="1" customWidth="1"/>
    <col min="5896" max="5897" width="9" style="1151"/>
    <col min="5898" max="5898" width="9.33203125" style="1151" bestFit="1" customWidth="1"/>
    <col min="5899" max="5899" width="4" style="1151" customWidth="1"/>
    <col min="5900" max="5900" width="5.109375" style="1151" customWidth="1"/>
    <col min="5901" max="5901" width="13.77734375" style="1151" customWidth="1"/>
    <col min="5902" max="6144" width="9" style="1151"/>
    <col min="6145" max="6145" width="4.88671875" style="1151" customWidth="1"/>
    <col min="6146" max="6146" width="13.21875" style="1151" customWidth="1"/>
    <col min="6147" max="6147" width="15.6640625" style="1151" customWidth="1"/>
    <col min="6148" max="6148" width="9.33203125" style="1151" bestFit="1" customWidth="1"/>
    <col min="6149" max="6149" width="13.44140625" style="1151" customWidth="1"/>
    <col min="6150" max="6150" width="9" style="1151"/>
    <col min="6151" max="6151" width="9.33203125" style="1151" bestFit="1" customWidth="1"/>
    <col min="6152" max="6153" width="9" style="1151"/>
    <col min="6154" max="6154" width="9.33203125" style="1151" bestFit="1" customWidth="1"/>
    <col min="6155" max="6155" width="4" style="1151" customWidth="1"/>
    <col min="6156" max="6156" width="5.109375" style="1151" customWidth="1"/>
    <col min="6157" max="6157" width="13.77734375" style="1151" customWidth="1"/>
    <col min="6158" max="6400" width="9" style="1151"/>
    <col min="6401" max="6401" width="4.88671875" style="1151" customWidth="1"/>
    <col min="6402" max="6402" width="13.21875" style="1151" customWidth="1"/>
    <col min="6403" max="6403" width="15.6640625" style="1151" customWidth="1"/>
    <col min="6404" max="6404" width="9.33203125" style="1151" bestFit="1" customWidth="1"/>
    <col min="6405" max="6405" width="13.44140625" style="1151" customWidth="1"/>
    <col min="6406" max="6406" width="9" style="1151"/>
    <col min="6407" max="6407" width="9.33203125" style="1151" bestFit="1" customWidth="1"/>
    <col min="6408" max="6409" width="9" style="1151"/>
    <col min="6410" max="6410" width="9.33203125" style="1151" bestFit="1" customWidth="1"/>
    <col min="6411" max="6411" width="4" style="1151" customWidth="1"/>
    <col min="6412" max="6412" width="5.109375" style="1151" customWidth="1"/>
    <col min="6413" max="6413" width="13.77734375" style="1151" customWidth="1"/>
    <col min="6414" max="6656" width="9" style="1151"/>
    <col min="6657" max="6657" width="4.88671875" style="1151" customWidth="1"/>
    <col min="6658" max="6658" width="13.21875" style="1151" customWidth="1"/>
    <col min="6659" max="6659" width="15.6640625" style="1151" customWidth="1"/>
    <col min="6660" max="6660" width="9.33203125" style="1151" bestFit="1" customWidth="1"/>
    <col min="6661" max="6661" width="13.44140625" style="1151" customWidth="1"/>
    <col min="6662" max="6662" width="9" style="1151"/>
    <col min="6663" max="6663" width="9.33203125" style="1151" bestFit="1" customWidth="1"/>
    <col min="6664" max="6665" width="9" style="1151"/>
    <col min="6666" max="6666" width="9.33203125" style="1151" bestFit="1" customWidth="1"/>
    <col min="6667" max="6667" width="4" style="1151" customWidth="1"/>
    <col min="6668" max="6668" width="5.109375" style="1151" customWidth="1"/>
    <col min="6669" max="6669" width="13.77734375" style="1151" customWidth="1"/>
    <col min="6670" max="6912" width="9" style="1151"/>
    <col min="6913" max="6913" width="4.88671875" style="1151" customWidth="1"/>
    <col min="6914" max="6914" width="13.21875" style="1151" customWidth="1"/>
    <col min="6915" max="6915" width="15.6640625" style="1151" customWidth="1"/>
    <col min="6916" max="6916" width="9.33203125" style="1151" bestFit="1" customWidth="1"/>
    <col min="6917" max="6917" width="13.44140625" style="1151" customWidth="1"/>
    <col min="6918" max="6918" width="9" style="1151"/>
    <col min="6919" max="6919" width="9.33203125" style="1151" bestFit="1" customWidth="1"/>
    <col min="6920" max="6921" width="9" style="1151"/>
    <col min="6922" max="6922" width="9.33203125" style="1151" bestFit="1" customWidth="1"/>
    <col min="6923" max="6923" width="4" style="1151" customWidth="1"/>
    <col min="6924" max="6924" width="5.109375" style="1151" customWidth="1"/>
    <col min="6925" max="6925" width="13.77734375" style="1151" customWidth="1"/>
    <col min="6926" max="7168" width="9" style="1151"/>
    <col min="7169" max="7169" width="4.88671875" style="1151" customWidth="1"/>
    <col min="7170" max="7170" width="13.21875" style="1151" customWidth="1"/>
    <col min="7171" max="7171" width="15.6640625" style="1151" customWidth="1"/>
    <col min="7172" max="7172" width="9.33203125" style="1151" bestFit="1" customWidth="1"/>
    <col min="7173" max="7173" width="13.44140625" style="1151" customWidth="1"/>
    <col min="7174" max="7174" width="9" style="1151"/>
    <col min="7175" max="7175" width="9.33203125" style="1151" bestFit="1" customWidth="1"/>
    <col min="7176" max="7177" width="9" style="1151"/>
    <col min="7178" max="7178" width="9.33203125" style="1151" bestFit="1" customWidth="1"/>
    <col min="7179" max="7179" width="4" style="1151" customWidth="1"/>
    <col min="7180" max="7180" width="5.109375" style="1151" customWidth="1"/>
    <col min="7181" max="7181" width="13.77734375" style="1151" customWidth="1"/>
    <col min="7182" max="7424" width="9" style="1151"/>
    <col min="7425" max="7425" width="4.88671875" style="1151" customWidth="1"/>
    <col min="7426" max="7426" width="13.21875" style="1151" customWidth="1"/>
    <col min="7427" max="7427" width="15.6640625" style="1151" customWidth="1"/>
    <col min="7428" max="7428" width="9.33203125" style="1151" bestFit="1" customWidth="1"/>
    <col min="7429" max="7429" width="13.44140625" style="1151" customWidth="1"/>
    <col min="7430" max="7430" width="9" style="1151"/>
    <col min="7431" max="7431" width="9.33203125" style="1151" bestFit="1" customWidth="1"/>
    <col min="7432" max="7433" width="9" style="1151"/>
    <col min="7434" max="7434" width="9.33203125" style="1151" bestFit="1" customWidth="1"/>
    <col min="7435" max="7435" width="4" style="1151" customWidth="1"/>
    <col min="7436" max="7436" width="5.109375" style="1151" customWidth="1"/>
    <col min="7437" max="7437" width="13.77734375" style="1151" customWidth="1"/>
    <col min="7438" max="7680" width="9" style="1151"/>
    <col min="7681" max="7681" width="4.88671875" style="1151" customWidth="1"/>
    <col min="7682" max="7682" width="13.21875" style="1151" customWidth="1"/>
    <col min="7683" max="7683" width="15.6640625" style="1151" customWidth="1"/>
    <col min="7684" max="7684" width="9.33203125" style="1151" bestFit="1" customWidth="1"/>
    <col min="7685" max="7685" width="13.44140625" style="1151" customWidth="1"/>
    <col min="7686" max="7686" width="9" style="1151"/>
    <col min="7687" max="7687" width="9.33203125" style="1151" bestFit="1" customWidth="1"/>
    <col min="7688" max="7689" width="9" style="1151"/>
    <col min="7690" max="7690" width="9.33203125" style="1151" bestFit="1" customWidth="1"/>
    <col min="7691" max="7691" width="4" style="1151" customWidth="1"/>
    <col min="7692" max="7692" width="5.109375" style="1151" customWidth="1"/>
    <col min="7693" max="7693" width="13.77734375" style="1151" customWidth="1"/>
    <col min="7694" max="7936" width="9" style="1151"/>
    <col min="7937" max="7937" width="4.88671875" style="1151" customWidth="1"/>
    <col min="7938" max="7938" width="13.21875" style="1151" customWidth="1"/>
    <col min="7939" max="7939" width="15.6640625" style="1151" customWidth="1"/>
    <col min="7940" max="7940" width="9.33203125" style="1151" bestFit="1" customWidth="1"/>
    <col min="7941" max="7941" width="13.44140625" style="1151" customWidth="1"/>
    <col min="7942" max="7942" width="9" style="1151"/>
    <col min="7943" max="7943" width="9.33203125" style="1151" bestFit="1" customWidth="1"/>
    <col min="7944" max="7945" width="9" style="1151"/>
    <col min="7946" max="7946" width="9.33203125" style="1151" bestFit="1" customWidth="1"/>
    <col min="7947" max="7947" width="4" style="1151" customWidth="1"/>
    <col min="7948" max="7948" width="5.109375" style="1151" customWidth="1"/>
    <col min="7949" max="7949" width="13.77734375" style="1151" customWidth="1"/>
    <col min="7950" max="8192" width="9" style="1151"/>
    <col min="8193" max="8193" width="4.88671875" style="1151" customWidth="1"/>
    <col min="8194" max="8194" width="13.21875" style="1151" customWidth="1"/>
    <col min="8195" max="8195" width="15.6640625" style="1151" customWidth="1"/>
    <col min="8196" max="8196" width="9.33203125" style="1151" bestFit="1" customWidth="1"/>
    <col min="8197" max="8197" width="13.44140625" style="1151" customWidth="1"/>
    <col min="8198" max="8198" width="9" style="1151"/>
    <col min="8199" max="8199" width="9.33203125" style="1151" bestFit="1" customWidth="1"/>
    <col min="8200" max="8201" width="9" style="1151"/>
    <col min="8202" max="8202" width="9.33203125" style="1151" bestFit="1" customWidth="1"/>
    <col min="8203" max="8203" width="4" style="1151" customWidth="1"/>
    <col min="8204" max="8204" width="5.109375" style="1151" customWidth="1"/>
    <col min="8205" max="8205" width="13.77734375" style="1151" customWidth="1"/>
    <col min="8206" max="8448" width="9" style="1151"/>
    <col min="8449" max="8449" width="4.88671875" style="1151" customWidth="1"/>
    <col min="8450" max="8450" width="13.21875" style="1151" customWidth="1"/>
    <col min="8451" max="8451" width="15.6640625" style="1151" customWidth="1"/>
    <col min="8452" max="8452" width="9.33203125" style="1151" bestFit="1" customWidth="1"/>
    <col min="8453" max="8453" width="13.44140625" style="1151" customWidth="1"/>
    <col min="8454" max="8454" width="9" style="1151"/>
    <col min="8455" max="8455" width="9.33203125" style="1151" bestFit="1" customWidth="1"/>
    <col min="8456" max="8457" width="9" style="1151"/>
    <col min="8458" max="8458" width="9.33203125" style="1151" bestFit="1" customWidth="1"/>
    <col min="8459" max="8459" width="4" style="1151" customWidth="1"/>
    <col min="8460" max="8460" width="5.109375" style="1151" customWidth="1"/>
    <col min="8461" max="8461" width="13.77734375" style="1151" customWidth="1"/>
    <col min="8462" max="8704" width="9" style="1151"/>
    <col min="8705" max="8705" width="4.88671875" style="1151" customWidth="1"/>
    <col min="8706" max="8706" width="13.21875" style="1151" customWidth="1"/>
    <col min="8707" max="8707" width="15.6640625" style="1151" customWidth="1"/>
    <col min="8708" max="8708" width="9.33203125" style="1151" bestFit="1" customWidth="1"/>
    <col min="8709" max="8709" width="13.44140625" style="1151" customWidth="1"/>
    <col min="8710" max="8710" width="9" style="1151"/>
    <col min="8711" max="8711" width="9.33203125" style="1151" bestFit="1" customWidth="1"/>
    <col min="8712" max="8713" width="9" style="1151"/>
    <col min="8714" max="8714" width="9.33203125" style="1151" bestFit="1" customWidth="1"/>
    <col min="8715" max="8715" width="4" style="1151" customWidth="1"/>
    <col min="8716" max="8716" width="5.109375" style="1151" customWidth="1"/>
    <col min="8717" max="8717" width="13.77734375" style="1151" customWidth="1"/>
    <col min="8718" max="8960" width="9" style="1151"/>
    <col min="8961" max="8961" width="4.88671875" style="1151" customWidth="1"/>
    <col min="8962" max="8962" width="13.21875" style="1151" customWidth="1"/>
    <col min="8963" max="8963" width="15.6640625" style="1151" customWidth="1"/>
    <col min="8964" max="8964" width="9.33203125" style="1151" bestFit="1" customWidth="1"/>
    <col min="8965" max="8965" width="13.44140625" style="1151" customWidth="1"/>
    <col min="8966" max="8966" width="9" style="1151"/>
    <col min="8967" max="8967" width="9.33203125" style="1151" bestFit="1" customWidth="1"/>
    <col min="8968" max="8969" width="9" style="1151"/>
    <col min="8970" max="8970" width="9.33203125" style="1151" bestFit="1" customWidth="1"/>
    <col min="8971" max="8971" width="4" style="1151" customWidth="1"/>
    <col min="8972" max="8972" width="5.109375" style="1151" customWidth="1"/>
    <col min="8973" max="8973" width="13.77734375" style="1151" customWidth="1"/>
    <col min="8974" max="9216" width="9" style="1151"/>
    <col min="9217" max="9217" width="4.88671875" style="1151" customWidth="1"/>
    <col min="9218" max="9218" width="13.21875" style="1151" customWidth="1"/>
    <col min="9219" max="9219" width="15.6640625" style="1151" customWidth="1"/>
    <col min="9220" max="9220" width="9.33203125" style="1151" bestFit="1" customWidth="1"/>
    <col min="9221" max="9221" width="13.44140625" style="1151" customWidth="1"/>
    <col min="9222" max="9222" width="9" style="1151"/>
    <col min="9223" max="9223" width="9.33203125" style="1151" bestFit="1" customWidth="1"/>
    <col min="9224" max="9225" width="9" style="1151"/>
    <col min="9226" max="9226" width="9.33203125" style="1151" bestFit="1" customWidth="1"/>
    <col min="9227" max="9227" width="4" style="1151" customWidth="1"/>
    <col min="9228" max="9228" width="5.109375" style="1151" customWidth="1"/>
    <col min="9229" max="9229" width="13.77734375" style="1151" customWidth="1"/>
    <col min="9230" max="9472" width="9" style="1151"/>
    <col min="9473" max="9473" width="4.88671875" style="1151" customWidth="1"/>
    <col min="9474" max="9474" width="13.21875" style="1151" customWidth="1"/>
    <col min="9475" max="9475" width="15.6640625" style="1151" customWidth="1"/>
    <col min="9476" max="9476" width="9.33203125" style="1151" bestFit="1" customWidth="1"/>
    <col min="9477" max="9477" width="13.44140625" style="1151" customWidth="1"/>
    <col min="9478" max="9478" width="9" style="1151"/>
    <col min="9479" max="9479" width="9.33203125" style="1151" bestFit="1" customWidth="1"/>
    <col min="9480" max="9481" width="9" style="1151"/>
    <col min="9482" max="9482" width="9.33203125" style="1151" bestFit="1" customWidth="1"/>
    <col min="9483" max="9483" width="4" style="1151" customWidth="1"/>
    <col min="9484" max="9484" width="5.109375" style="1151" customWidth="1"/>
    <col min="9485" max="9485" width="13.77734375" style="1151" customWidth="1"/>
    <col min="9486" max="9728" width="9" style="1151"/>
    <col min="9729" max="9729" width="4.88671875" style="1151" customWidth="1"/>
    <col min="9730" max="9730" width="13.21875" style="1151" customWidth="1"/>
    <col min="9731" max="9731" width="15.6640625" style="1151" customWidth="1"/>
    <col min="9732" max="9732" width="9.33203125" style="1151" bestFit="1" customWidth="1"/>
    <col min="9733" max="9733" width="13.44140625" style="1151" customWidth="1"/>
    <col min="9734" max="9734" width="9" style="1151"/>
    <col min="9735" max="9735" width="9.33203125" style="1151" bestFit="1" customWidth="1"/>
    <col min="9736" max="9737" width="9" style="1151"/>
    <col min="9738" max="9738" width="9.33203125" style="1151" bestFit="1" customWidth="1"/>
    <col min="9739" max="9739" width="4" style="1151" customWidth="1"/>
    <col min="9740" max="9740" width="5.109375" style="1151" customWidth="1"/>
    <col min="9741" max="9741" width="13.77734375" style="1151" customWidth="1"/>
    <col min="9742" max="9984" width="9" style="1151"/>
    <col min="9985" max="9985" width="4.88671875" style="1151" customWidth="1"/>
    <col min="9986" max="9986" width="13.21875" style="1151" customWidth="1"/>
    <col min="9987" max="9987" width="15.6640625" style="1151" customWidth="1"/>
    <col min="9988" max="9988" width="9.33203125" style="1151" bestFit="1" customWidth="1"/>
    <col min="9989" max="9989" width="13.44140625" style="1151" customWidth="1"/>
    <col min="9990" max="9990" width="9" style="1151"/>
    <col min="9991" max="9991" width="9.33203125" style="1151" bestFit="1" customWidth="1"/>
    <col min="9992" max="9993" width="9" style="1151"/>
    <col min="9994" max="9994" width="9.33203125" style="1151" bestFit="1" customWidth="1"/>
    <col min="9995" max="9995" width="4" style="1151" customWidth="1"/>
    <col min="9996" max="9996" width="5.109375" style="1151" customWidth="1"/>
    <col min="9997" max="9997" width="13.77734375" style="1151" customWidth="1"/>
    <col min="9998" max="10240" width="9" style="1151"/>
    <col min="10241" max="10241" width="4.88671875" style="1151" customWidth="1"/>
    <col min="10242" max="10242" width="13.21875" style="1151" customWidth="1"/>
    <col min="10243" max="10243" width="15.6640625" style="1151" customWidth="1"/>
    <col min="10244" max="10244" width="9.33203125" style="1151" bestFit="1" customWidth="1"/>
    <col min="10245" max="10245" width="13.44140625" style="1151" customWidth="1"/>
    <col min="10246" max="10246" width="9" style="1151"/>
    <col min="10247" max="10247" width="9.33203125" style="1151" bestFit="1" customWidth="1"/>
    <col min="10248" max="10249" width="9" style="1151"/>
    <col min="10250" max="10250" width="9.33203125" style="1151" bestFit="1" customWidth="1"/>
    <col min="10251" max="10251" width="4" style="1151" customWidth="1"/>
    <col min="10252" max="10252" width="5.109375" style="1151" customWidth="1"/>
    <col min="10253" max="10253" width="13.77734375" style="1151" customWidth="1"/>
    <col min="10254" max="10496" width="9" style="1151"/>
    <col min="10497" max="10497" width="4.88671875" style="1151" customWidth="1"/>
    <col min="10498" max="10498" width="13.21875" style="1151" customWidth="1"/>
    <col min="10499" max="10499" width="15.6640625" style="1151" customWidth="1"/>
    <col min="10500" max="10500" width="9.33203125" style="1151" bestFit="1" customWidth="1"/>
    <col min="10501" max="10501" width="13.44140625" style="1151" customWidth="1"/>
    <col min="10502" max="10502" width="9" style="1151"/>
    <col min="10503" max="10503" width="9.33203125" style="1151" bestFit="1" customWidth="1"/>
    <col min="10504" max="10505" width="9" style="1151"/>
    <col min="10506" max="10506" width="9.33203125" style="1151" bestFit="1" customWidth="1"/>
    <col min="10507" max="10507" width="4" style="1151" customWidth="1"/>
    <col min="10508" max="10508" width="5.109375" style="1151" customWidth="1"/>
    <col min="10509" max="10509" width="13.77734375" style="1151" customWidth="1"/>
    <col min="10510" max="10752" width="9" style="1151"/>
    <col min="10753" max="10753" width="4.88671875" style="1151" customWidth="1"/>
    <col min="10754" max="10754" width="13.21875" style="1151" customWidth="1"/>
    <col min="10755" max="10755" width="15.6640625" style="1151" customWidth="1"/>
    <col min="10756" max="10756" width="9.33203125" style="1151" bestFit="1" customWidth="1"/>
    <col min="10757" max="10757" width="13.44140625" style="1151" customWidth="1"/>
    <col min="10758" max="10758" width="9" style="1151"/>
    <col min="10759" max="10759" width="9.33203125" style="1151" bestFit="1" customWidth="1"/>
    <col min="10760" max="10761" width="9" style="1151"/>
    <col min="10762" max="10762" width="9.33203125" style="1151" bestFit="1" customWidth="1"/>
    <col min="10763" max="10763" width="4" style="1151" customWidth="1"/>
    <col min="10764" max="10764" width="5.109375" style="1151" customWidth="1"/>
    <col min="10765" max="10765" width="13.77734375" style="1151" customWidth="1"/>
    <col min="10766" max="11008" width="9" style="1151"/>
    <col min="11009" max="11009" width="4.88671875" style="1151" customWidth="1"/>
    <col min="11010" max="11010" width="13.21875" style="1151" customWidth="1"/>
    <col min="11011" max="11011" width="15.6640625" style="1151" customWidth="1"/>
    <col min="11012" max="11012" width="9.33203125" style="1151" bestFit="1" customWidth="1"/>
    <col min="11013" max="11013" width="13.44140625" style="1151" customWidth="1"/>
    <col min="11014" max="11014" width="9" style="1151"/>
    <col min="11015" max="11015" width="9.33203125" style="1151" bestFit="1" customWidth="1"/>
    <col min="11016" max="11017" width="9" style="1151"/>
    <col min="11018" max="11018" width="9.33203125" style="1151" bestFit="1" customWidth="1"/>
    <col min="11019" max="11019" width="4" style="1151" customWidth="1"/>
    <col min="11020" max="11020" width="5.109375" style="1151" customWidth="1"/>
    <col min="11021" max="11021" width="13.77734375" style="1151" customWidth="1"/>
    <col min="11022" max="11264" width="9" style="1151"/>
    <col min="11265" max="11265" width="4.88671875" style="1151" customWidth="1"/>
    <col min="11266" max="11266" width="13.21875" style="1151" customWidth="1"/>
    <col min="11267" max="11267" width="15.6640625" style="1151" customWidth="1"/>
    <col min="11268" max="11268" width="9.33203125" style="1151" bestFit="1" customWidth="1"/>
    <col min="11269" max="11269" width="13.44140625" style="1151" customWidth="1"/>
    <col min="11270" max="11270" width="9" style="1151"/>
    <col min="11271" max="11271" width="9.33203125" style="1151" bestFit="1" customWidth="1"/>
    <col min="11272" max="11273" width="9" style="1151"/>
    <col min="11274" max="11274" width="9.33203125" style="1151" bestFit="1" customWidth="1"/>
    <col min="11275" max="11275" width="4" style="1151" customWidth="1"/>
    <col min="11276" max="11276" width="5.109375" style="1151" customWidth="1"/>
    <col min="11277" max="11277" width="13.77734375" style="1151" customWidth="1"/>
    <col min="11278" max="11520" width="9" style="1151"/>
    <col min="11521" max="11521" width="4.88671875" style="1151" customWidth="1"/>
    <col min="11522" max="11522" width="13.21875" style="1151" customWidth="1"/>
    <col min="11523" max="11523" width="15.6640625" style="1151" customWidth="1"/>
    <col min="11524" max="11524" width="9.33203125" style="1151" bestFit="1" customWidth="1"/>
    <col min="11525" max="11525" width="13.44140625" style="1151" customWidth="1"/>
    <col min="11526" max="11526" width="9" style="1151"/>
    <col min="11527" max="11527" width="9.33203125" style="1151" bestFit="1" customWidth="1"/>
    <col min="11528" max="11529" width="9" style="1151"/>
    <col min="11530" max="11530" width="9.33203125" style="1151" bestFit="1" customWidth="1"/>
    <col min="11531" max="11531" width="4" style="1151" customWidth="1"/>
    <col min="11532" max="11532" width="5.109375" style="1151" customWidth="1"/>
    <col min="11533" max="11533" width="13.77734375" style="1151" customWidth="1"/>
    <col min="11534" max="11776" width="9" style="1151"/>
    <col min="11777" max="11777" width="4.88671875" style="1151" customWidth="1"/>
    <col min="11778" max="11778" width="13.21875" style="1151" customWidth="1"/>
    <col min="11779" max="11779" width="15.6640625" style="1151" customWidth="1"/>
    <col min="11780" max="11780" width="9.33203125" style="1151" bestFit="1" customWidth="1"/>
    <col min="11781" max="11781" width="13.44140625" style="1151" customWidth="1"/>
    <col min="11782" max="11782" width="9" style="1151"/>
    <col min="11783" max="11783" width="9.33203125" style="1151" bestFit="1" customWidth="1"/>
    <col min="11784" max="11785" width="9" style="1151"/>
    <col min="11786" max="11786" width="9.33203125" style="1151" bestFit="1" customWidth="1"/>
    <col min="11787" max="11787" width="4" style="1151" customWidth="1"/>
    <col min="11788" max="11788" width="5.109375" style="1151" customWidth="1"/>
    <col min="11789" max="11789" width="13.77734375" style="1151" customWidth="1"/>
    <col min="11790" max="12032" width="9" style="1151"/>
    <col min="12033" max="12033" width="4.88671875" style="1151" customWidth="1"/>
    <col min="12034" max="12034" width="13.21875" style="1151" customWidth="1"/>
    <col min="12035" max="12035" width="15.6640625" style="1151" customWidth="1"/>
    <col min="12036" max="12036" width="9.33203125" style="1151" bestFit="1" customWidth="1"/>
    <col min="12037" max="12037" width="13.44140625" style="1151" customWidth="1"/>
    <col min="12038" max="12038" width="9" style="1151"/>
    <col min="12039" max="12039" width="9.33203125" style="1151" bestFit="1" customWidth="1"/>
    <col min="12040" max="12041" width="9" style="1151"/>
    <col min="12042" max="12042" width="9.33203125" style="1151" bestFit="1" customWidth="1"/>
    <col min="12043" max="12043" width="4" style="1151" customWidth="1"/>
    <col min="12044" max="12044" width="5.109375" style="1151" customWidth="1"/>
    <col min="12045" max="12045" width="13.77734375" style="1151" customWidth="1"/>
    <col min="12046" max="12288" width="9" style="1151"/>
    <col min="12289" max="12289" width="4.88671875" style="1151" customWidth="1"/>
    <col min="12290" max="12290" width="13.21875" style="1151" customWidth="1"/>
    <col min="12291" max="12291" width="15.6640625" style="1151" customWidth="1"/>
    <col min="12292" max="12292" width="9.33203125" style="1151" bestFit="1" customWidth="1"/>
    <col min="12293" max="12293" width="13.44140625" style="1151" customWidth="1"/>
    <col min="12294" max="12294" width="9" style="1151"/>
    <col min="12295" max="12295" width="9.33203125" style="1151" bestFit="1" customWidth="1"/>
    <col min="12296" max="12297" width="9" style="1151"/>
    <col min="12298" max="12298" width="9.33203125" style="1151" bestFit="1" customWidth="1"/>
    <col min="12299" max="12299" width="4" style="1151" customWidth="1"/>
    <col min="12300" max="12300" width="5.109375" style="1151" customWidth="1"/>
    <col min="12301" max="12301" width="13.77734375" style="1151" customWidth="1"/>
    <col min="12302" max="12544" width="9" style="1151"/>
    <col min="12545" max="12545" width="4.88671875" style="1151" customWidth="1"/>
    <col min="12546" max="12546" width="13.21875" style="1151" customWidth="1"/>
    <col min="12547" max="12547" width="15.6640625" style="1151" customWidth="1"/>
    <col min="12548" max="12548" width="9.33203125" style="1151" bestFit="1" customWidth="1"/>
    <col min="12549" max="12549" width="13.44140625" style="1151" customWidth="1"/>
    <col min="12550" max="12550" width="9" style="1151"/>
    <col min="12551" max="12551" width="9.33203125" style="1151" bestFit="1" customWidth="1"/>
    <col min="12552" max="12553" width="9" style="1151"/>
    <col min="12554" max="12554" width="9.33203125" style="1151" bestFit="1" customWidth="1"/>
    <col min="12555" max="12555" width="4" style="1151" customWidth="1"/>
    <col min="12556" max="12556" width="5.109375" style="1151" customWidth="1"/>
    <col min="12557" max="12557" width="13.77734375" style="1151" customWidth="1"/>
    <col min="12558" max="12800" width="9" style="1151"/>
    <col min="12801" max="12801" width="4.88671875" style="1151" customWidth="1"/>
    <col min="12802" max="12802" width="13.21875" style="1151" customWidth="1"/>
    <col min="12803" max="12803" width="15.6640625" style="1151" customWidth="1"/>
    <col min="12804" max="12804" width="9.33203125" style="1151" bestFit="1" customWidth="1"/>
    <col min="12805" max="12805" width="13.44140625" style="1151" customWidth="1"/>
    <col min="12806" max="12806" width="9" style="1151"/>
    <col min="12807" max="12807" width="9.33203125" style="1151" bestFit="1" customWidth="1"/>
    <col min="12808" max="12809" width="9" style="1151"/>
    <col min="12810" max="12810" width="9.33203125" style="1151" bestFit="1" customWidth="1"/>
    <col min="12811" max="12811" width="4" style="1151" customWidth="1"/>
    <col min="12812" max="12812" width="5.109375" style="1151" customWidth="1"/>
    <col min="12813" max="12813" width="13.77734375" style="1151" customWidth="1"/>
    <col min="12814" max="13056" width="9" style="1151"/>
    <col min="13057" max="13057" width="4.88671875" style="1151" customWidth="1"/>
    <col min="13058" max="13058" width="13.21875" style="1151" customWidth="1"/>
    <col min="13059" max="13059" width="15.6640625" style="1151" customWidth="1"/>
    <col min="13060" max="13060" width="9.33203125" style="1151" bestFit="1" customWidth="1"/>
    <col min="13061" max="13061" width="13.44140625" style="1151" customWidth="1"/>
    <col min="13062" max="13062" width="9" style="1151"/>
    <col min="13063" max="13063" width="9.33203125" style="1151" bestFit="1" customWidth="1"/>
    <col min="13064" max="13065" width="9" style="1151"/>
    <col min="13066" max="13066" width="9.33203125" style="1151" bestFit="1" customWidth="1"/>
    <col min="13067" max="13067" width="4" style="1151" customWidth="1"/>
    <col min="13068" max="13068" width="5.109375" style="1151" customWidth="1"/>
    <col min="13069" max="13069" width="13.77734375" style="1151" customWidth="1"/>
    <col min="13070" max="13312" width="9" style="1151"/>
    <col min="13313" max="13313" width="4.88671875" style="1151" customWidth="1"/>
    <col min="13314" max="13314" width="13.21875" style="1151" customWidth="1"/>
    <col min="13315" max="13315" width="15.6640625" style="1151" customWidth="1"/>
    <col min="13316" max="13316" width="9.33203125" style="1151" bestFit="1" customWidth="1"/>
    <col min="13317" max="13317" width="13.44140625" style="1151" customWidth="1"/>
    <col min="13318" max="13318" width="9" style="1151"/>
    <col min="13319" max="13319" width="9.33203125" style="1151" bestFit="1" customWidth="1"/>
    <col min="13320" max="13321" width="9" style="1151"/>
    <col min="13322" max="13322" width="9.33203125" style="1151" bestFit="1" customWidth="1"/>
    <col min="13323" max="13323" width="4" style="1151" customWidth="1"/>
    <col min="13324" max="13324" width="5.109375" style="1151" customWidth="1"/>
    <col min="13325" max="13325" width="13.77734375" style="1151" customWidth="1"/>
    <col min="13326" max="13568" width="9" style="1151"/>
    <col min="13569" max="13569" width="4.88671875" style="1151" customWidth="1"/>
    <col min="13570" max="13570" width="13.21875" style="1151" customWidth="1"/>
    <col min="13571" max="13571" width="15.6640625" style="1151" customWidth="1"/>
    <col min="13572" max="13572" width="9.33203125" style="1151" bestFit="1" customWidth="1"/>
    <col min="13573" max="13573" width="13.44140625" style="1151" customWidth="1"/>
    <col min="13574" max="13574" width="9" style="1151"/>
    <col min="13575" max="13575" width="9.33203125" style="1151" bestFit="1" customWidth="1"/>
    <col min="13576" max="13577" width="9" style="1151"/>
    <col min="13578" max="13578" width="9.33203125" style="1151" bestFit="1" customWidth="1"/>
    <col min="13579" max="13579" width="4" style="1151" customWidth="1"/>
    <col min="13580" max="13580" width="5.109375" style="1151" customWidth="1"/>
    <col min="13581" max="13581" width="13.77734375" style="1151" customWidth="1"/>
    <col min="13582" max="13824" width="9" style="1151"/>
    <col min="13825" max="13825" width="4.88671875" style="1151" customWidth="1"/>
    <col min="13826" max="13826" width="13.21875" style="1151" customWidth="1"/>
    <col min="13827" max="13827" width="15.6640625" style="1151" customWidth="1"/>
    <col min="13828" max="13828" width="9.33203125" style="1151" bestFit="1" customWidth="1"/>
    <col min="13829" max="13829" width="13.44140625" style="1151" customWidth="1"/>
    <col min="13830" max="13830" width="9" style="1151"/>
    <col min="13831" max="13831" width="9.33203125" style="1151" bestFit="1" customWidth="1"/>
    <col min="13832" max="13833" width="9" style="1151"/>
    <col min="13834" max="13834" width="9.33203125" style="1151" bestFit="1" customWidth="1"/>
    <col min="13835" max="13835" width="4" style="1151" customWidth="1"/>
    <col min="13836" max="13836" width="5.109375" style="1151" customWidth="1"/>
    <col min="13837" max="13837" width="13.77734375" style="1151" customWidth="1"/>
    <col min="13838" max="14080" width="9" style="1151"/>
    <col min="14081" max="14081" width="4.88671875" style="1151" customWidth="1"/>
    <col min="14082" max="14082" width="13.21875" style="1151" customWidth="1"/>
    <col min="14083" max="14083" width="15.6640625" style="1151" customWidth="1"/>
    <col min="14084" max="14084" width="9.33203125" style="1151" bestFit="1" customWidth="1"/>
    <col min="14085" max="14085" width="13.44140625" style="1151" customWidth="1"/>
    <col min="14086" max="14086" width="9" style="1151"/>
    <col min="14087" max="14087" width="9.33203125" style="1151" bestFit="1" customWidth="1"/>
    <col min="14088" max="14089" width="9" style="1151"/>
    <col min="14090" max="14090" width="9.33203125" style="1151" bestFit="1" customWidth="1"/>
    <col min="14091" max="14091" width="4" style="1151" customWidth="1"/>
    <col min="14092" max="14092" width="5.109375" style="1151" customWidth="1"/>
    <col min="14093" max="14093" width="13.77734375" style="1151" customWidth="1"/>
    <col min="14094" max="14336" width="9" style="1151"/>
    <col min="14337" max="14337" width="4.88671875" style="1151" customWidth="1"/>
    <col min="14338" max="14338" width="13.21875" style="1151" customWidth="1"/>
    <col min="14339" max="14339" width="15.6640625" style="1151" customWidth="1"/>
    <col min="14340" max="14340" width="9.33203125" style="1151" bestFit="1" customWidth="1"/>
    <col min="14341" max="14341" width="13.44140625" style="1151" customWidth="1"/>
    <col min="14342" max="14342" width="9" style="1151"/>
    <col min="14343" max="14343" width="9.33203125" style="1151" bestFit="1" customWidth="1"/>
    <col min="14344" max="14345" width="9" style="1151"/>
    <col min="14346" max="14346" width="9.33203125" style="1151" bestFit="1" customWidth="1"/>
    <col min="14347" max="14347" width="4" style="1151" customWidth="1"/>
    <col min="14348" max="14348" width="5.109375" style="1151" customWidth="1"/>
    <col min="14349" max="14349" width="13.77734375" style="1151" customWidth="1"/>
    <col min="14350" max="14592" width="9" style="1151"/>
    <col min="14593" max="14593" width="4.88671875" style="1151" customWidth="1"/>
    <col min="14594" max="14594" width="13.21875" style="1151" customWidth="1"/>
    <col min="14595" max="14595" width="15.6640625" style="1151" customWidth="1"/>
    <col min="14596" max="14596" width="9.33203125" style="1151" bestFit="1" customWidth="1"/>
    <col min="14597" max="14597" width="13.44140625" style="1151" customWidth="1"/>
    <col min="14598" max="14598" width="9" style="1151"/>
    <col min="14599" max="14599" width="9.33203125" style="1151" bestFit="1" customWidth="1"/>
    <col min="14600" max="14601" width="9" style="1151"/>
    <col min="14602" max="14602" width="9.33203125" style="1151" bestFit="1" customWidth="1"/>
    <col min="14603" max="14603" width="4" style="1151" customWidth="1"/>
    <col min="14604" max="14604" width="5.109375" style="1151" customWidth="1"/>
    <col min="14605" max="14605" width="13.77734375" style="1151" customWidth="1"/>
    <col min="14606" max="14848" width="9" style="1151"/>
    <col min="14849" max="14849" width="4.88671875" style="1151" customWidth="1"/>
    <col min="14850" max="14850" width="13.21875" style="1151" customWidth="1"/>
    <col min="14851" max="14851" width="15.6640625" style="1151" customWidth="1"/>
    <col min="14852" max="14852" width="9.33203125" style="1151" bestFit="1" customWidth="1"/>
    <col min="14853" max="14853" width="13.44140625" style="1151" customWidth="1"/>
    <col min="14854" max="14854" width="9" style="1151"/>
    <col min="14855" max="14855" width="9.33203125" style="1151" bestFit="1" customWidth="1"/>
    <col min="14856" max="14857" width="9" style="1151"/>
    <col min="14858" max="14858" width="9.33203125" style="1151" bestFit="1" customWidth="1"/>
    <col min="14859" max="14859" width="4" style="1151" customWidth="1"/>
    <col min="14860" max="14860" width="5.109375" style="1151" customWidth="1"/>
    <col min="14861" max="14861" width="13.77734375" style="1151" customWidth="1"/>
    <col min="14862" max="15104" width="9" style="1151"/>
    <col min="15105" max="15105" width="4.88671875" style="1151" customWidth="1"/>
    <col min="15106" max="15106" width="13.21875" style="1151" customWidth="1"/>
    <col min="15107" max="15107" width="15.6640625" style="1151" customWidth="1"/>
    <col min="15108" max="15108" width="9.33203125" style="1151" bestFit="1" customWidth="1"/>
    <col min="15109" max="15109" width="13.44140625" style="1151" customWidth="1"/>
    <col min="15110" max="15110" width="9" style="1151"/>
    <col min="15111" max="15111" width="9.33203125" style="1151" bestFit="1" customWidth="1"/>
    <col min="15112" max="15113" width="9" style="1151"/>
    <col min="15114" max="15114" width="9.33203125" style="1151" bestFit="1" customWidth="1"/>
    <col min="15115" max="15115" width="4" style="1151" customWidth="1"/>
    <col min="15116" max="15116" width="5.109375" style="1151" customWidth="1"/>
    <col min="15117" max="15117" width="13.77734375" style="1151" customWidth="1"/>
    <col min="15118" max="15360" width="9" style="1151"/>
    <col min="15361" max="15361" width="4.88671875" style="1151" customWidth="1"/>
    <col min="15362" max="15362" width="13.21875" style="1151" customWidth="1"/>
    <col min="15363" max="15363" width="15.6640625" style="1151" customWidth="1"/>
    <col min="15364" max="15364" width="9.33203125" style="1151" bestFit="1" customWidth="1"/>
    <col min="15365" max="15365" width="13.44140625" style="1151" customWidth="1"/>
    <col min="15366" max="15366" width="9" style="1151"/>
    <col min="15367" max="15367" width="9.33203125" style="1151" bestFit="1" customWidth="1"/>
    <col min="15368" max="15369" width="9" style="1151"/>
    <col min="15370" max="15370" width="9.33203125" style="1151" bestFit="1" customWidth="1"/>
    <col min="15371" max="15371" width="4" style="1151" customWidth="1"/>
    <col min="15372" max="15372" width="5.109375" style="1151" customWidth="1"/>
    <col min="15373" max="15373" width="13.77734375" style="1151" customWidth="1"/>
    <col min="15374" max="15616" width="9" style="1151"/>
    <col min="15617" max="15617" width="4.88671875" style="1151" customWidth="1"/>
    <col min="15618" max="15618" width="13.21875" style="1151" customWidth="1"/>
    <col min="15619" max="15619" width="15.6640625" style="1151" customWidth="1"/>
    <col min="15620" max="15620" width="9.33203125" style="1151" bestFit="1" customWidth="1"/>
    <col min="15621" max="15621" width="13.44140625" style="1151" customWidth="1"/>
    <col min="15622" max="15622" width="9" style="1151"/>
    <col min="15623" max="15623" width="9.33203125" style="1151" bestFit="1" customWidth="1"/>
    <col min="15624" max="15625" width="9" style="1151"/>
    <col min="15626" max="15626" width="9.33203125" style="1151" bestFit="1" customWidth="1"/>
    <col min="15627" max="15627" width="4" style="1151" customWidth="1"/>
    <col min="15628" max="15628" width="5.109375" style="1151" customWidth="1"/>
    <col min="15629" max="15629" width="13.77734375" style="1151" customWidth="1"/>
    <col min="15630" max="15872" width="9" style="1151"/>
    <col min="15873" max="15873" width="4.88671875" style="1151" customWidth="1"/>
    <col min="15874" max="15874" width="13.21875" style="1151" customWidth="1"/>
    <col min="15875" max="15875" width="15.6640625" style="1151" customWidth="1"/>
    <col min="15876" max="15876" width="9.33203125" style="1151" bestFit="1" customWidth="1"/>
    <col min="15877" max="15877" width="13.44140625" style="1151" customWidth="1"/>
    <col min="15878" max="15878" width="9" style="1151"/>
    <col min="15879" max="15879" width="9.33203125" style="1151" bestFit="1" customWidth="1"/>
    <col min="15880" max="15881" width="9" style="1151"/>
    <col min="15882" max="15882" width="9.33203125" style="1151" bestFit="1" customWidth="1"/>
    <col min="15883" max="15883" width="4" style="1151" customWidth="1"/>
    <col min="15884" max="15884" width="5.109375" style="1151" customWidth="1"/>
    <col min="15885" max="15885" width="13.77734375" style="1151" customWidth="1"/>
    <col min="15886" max="16128" width="9" style="1151"/>
    <col min="16129" max="16129" width="4.88671875" style="1151" customWidth="1"/>
    <col min="16130" max="16130" width="13.21875" style="1151" customWidth="1"/>
    <col min="16131" max="16131" width="15.6640625" style="1151" customWidth="1"/>
    <col min="16132" max="16132" width="9.33203125" style="1151" bestFit="1" customWidth="1"/>
    <col min="16133" max="16133" width="13.44140625" style="1151" customWidth="1"/>
    <col min="16134" max="16134" width="9" style="1151"/>
    <col min="16135" max="16135" width="9.33203125" style="1151" bestFit="1" customWidth="1"/>
    <col min="16136" max="16137" width="9" style="1151"/>
    <col min="16138" max="16138" width="9.33203125" style="1151" bestFit="1" customWidth="1"/>
    <col min="16139" max="16139" width="4" style="1151" customWidth="1"/>
    <col min="16140" max="16140" width="5.109375" style="1151" customWidth="1"/>
    <col min="16141" max="16141" width="13.77734375" style="1151" customWidth="1"/>
    <col min="16142" max="16384" width="9" style="1151"/>
  </cols>
  <sheetData>
    <row r="1" spans="1:257" s="1211" customFormat="1" ht="15" thickBot="1">
      <c r="A1" s="1205"/>
      <c r="B1" s="1212" t="s">
        <v>602</v>
      </c>
      <c r="C1" s="1206">
        <f>项目基本情况!D3</f>
        <v>45029</v>
      </c>
      <c r="D1" s="1212" t="s">
        <v>603</v>
      </c>
      <c r="E1" s="1207">
        <f>'数据-取费表'!B22</f>
        <v>2.5</v>
      </c>
      <c r="F1" s="1212" t="s">
        <v>604</v>
      </c>
      <c r="G1" s="1208">
        <f ca="1">INDIRECT("d"&amp;$K$1)/100</f>
        <v>3.6499999999999998E-2</v>
      </c>
      <c r="H1" s="1212" t="s">
        <v>634</v>
      </c>
      <c r="I1" s="1208">
        <f ca="1">F4/100</f>
        <v>1.4999999999999999E-2</v>
      </c>
      <c r="J1" s="1213">
        <f>IF(C1&gt;C13,0,MATCH(C1,C$13:C$109,-1))+IF(SUMIF(C13:C109,C1,D13:D109)=0,13,12)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6"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3.65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3.65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3.65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3.65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5" thickBot="1">
      <c r="B7" s="1166" t="s">
        <v>611</v>
      </c>
      <c r="C7" s="1167">
        <v>5</v>
      </c>
      <c r="D7" s="1168">
        <f ca="1">INDIRECT("h"&amp;$J$1)</f>
        <v>4.3</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399999999999999">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2">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31.2">
      <c r="A13" s="1194"/>
      <c r="B13" s="1195" t="s">
        <v>632</v>
      </c>
      <c r="C13" s="2568">
        <v>44795</v>
      </c>
      <c r="D13" s="1196">
        <v>3.65</v>
      </c>
      <c r="E13" s="1196">
        <f>D13</f>
        <v>3.65</v>
      </c>
      <c r="F13" s="1196">
        <f>D13</f>
        <v>3.65</v>
      </c>
      <c r="G13" s="1196">
        <f>D13</f>
        <v>3.65</v>
      </c>
      <c r="H13" s="1196">
        <v>4.3</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5.6">
      <c r="A14" s="1194"/>
      <c r="B14" s="1195"/>
      <c r="C14" s="1201">
        <v>44701</v>
      </c>
      <c r="D14" s="1200">
        <v>3.7</v>
      </c>
      <c r="E14" s="1200">
        <f>D14</f>
        <v>3.7</v>
      </c>
      <c r="F14" s="1200">
        <f>D14</f>
        <v>3.7</v>
      </c>
      <c r="G14" s="1200">
        <f>D14</f>
        <v>3.7</v>
      </c>
      <c r="H14" s="1200">
        <v>4.45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5.6">
      <c r="A15" s="1194"/>
      <c r="B15" s="1195"/>
      <c r="C15" s="1201">
        <v>44581</v>
      </c>
      <c r="D15" s="1200">
        <v>3.7</v>
      </c>
      <c r="E15" s="1200">
        <f>D15</f>
        <v>3.7</v>
      </c>
      <c r="F15" s="1200">
        <f>D15</f>
        <v>3.7</v>
      </c>
      <c r="G15" s="1200">
        <f>D15</f>
        <v>3.7</v>
      </c>
      <c r="H15" s="1200">
        <v>4.5999999999999996</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5.6">
      <c r="A16" s="1194"/>
      <c r="B16" s="1200"/>
      <c r="C16" s="1201">
        <v>44550</v>
      </c>
      <c r="D16" s="1200">
        <v>3.8</v>
      </c>
      <c r="E16" s="1200">
        <f>D16</f>
        <v>3.8</v>
      </c>
      <c r="F16" s="1200">
        <f>D16</f>
        <v>3.8</v>
      </c>
      <c r="G16" s="1200">
        <f>D16</f>
        <v>3.8</v>
      </c>
      <c r="H16" s="1200">
        <v>4.6500000000000004</v>
      </c>
      <c r="I16" s="1200"/>
      <c r="J16" s="1196"/>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5.6">
      <c r="A17" s="1194"/>
      <c r="B17" s="1200"/>
      <c r="C17" s="1201">
        <v>43941</v>
      </c>
      <c r="D17" s="1200">
        <v>3.85</v>
      </c>
      <c r="E17" s="1200">
        <v>3.85</v>
      </c>
      <c r="F17" s="1200">
        <v>3.85</v>
      </c>
      <c r="G17" s="1200">
        <v>3.85</v>
      </c>
      <c r="H17" s="1200">
        <v>4.6500000000000004</v>
      </c>
      <c r="I17" s="1200"/>
      <c r="J17" s="1200"/>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6.8">
      <c r="A18" s="1194"/>
      <c r="B18" s="1200"/>
      <c r="C18" s="1201">
        <v>43881</v>
      </c>
      <c r="D18" s="1200">
        <v>4.05</v>
      </c>
      <c r="E18" s="1200">
        <v>4.05</v>
      </c>
      <c r="F18" s="1200">
        <v>4.05</v>
      </c>
      <c r="G18" s="1200">
        <v>4.05</v>
      </c>
      <c r="H18" s="1200">
        <v>4.75</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4"/>
      <c r="B19" s="1200"/>
      <c r="C19" s="1201">
        <v>43789</v>
      </c>
      <c r="D19" s="1200">
        <v>4.1500000000000004</v>
      </c>
      <c r="E19" s="1200">
        <v>4.1500000000000004</v>
      </c>
      <c r="F19" s="1200">
        <v>4.1500000000000004</v>
      </c>
      <c r="G19" s="1200">
        <v>4.1500000000000004</v>
      </c>
      <c r="H19" s="1200">
        <v>4.8</v>
      </c>
      <c r="I19" s="1200"/>
      <c r="J19" s="1200"/>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5.6">
      <c r="A20" s="1194"/>
      <c r="B20" s="1200"/>
      <c r="C20" s="1201">
        <v>43728</v>
      </c>
      <c r="D20" s="1200">
        <v>4.2</v>
      </c>
      <c r="E20" s="1200">
        <v>4.2</v>
      </c>
      <c r="F20" s="1200">
        <v>4.2</v>
      </c>
      <c r="G20" s="1200">
        <v>4.2</v>
      </c>
      <c r="H20" s="1200">
        <v>4.8499999999999996</v>
      </c>
      <c r="I20" s="1200"/>
      <c r="J20" s="1200"/>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5.6">
      <c r="A21" s="1194"/>
      <c r="B21" s="1195" t="s">
        <v>2306</v>
      </c>
      <c r="C21" s="1202">
        <v>43697</v>
      </c>
      <c r="D21" s="2567">
        <v>4.25</v>
      </c>
      <c r="E21" s="2567">
        <v>4.25</v>
      </c>
      <c r="F21" s="2567">
        <v>4.25</v>
      </c>
      <c r="G21" s="2567">
        <v>4.25</v>
      </c>
      <c r="H21" s="2567">
        <v>4.8499999999999996</v>
      </c>
      <c r="I21" s="2567"/>
      <c r="J21" s="2567"/>
      <c r="K21" s="1183"/>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5.6">
      <c r="A22" s="2569"/>
      <c r="B22" s="2570"/>
      <c r="C22" s="2571">
        <v>42301</v>
      </c>
      <c r="D22" s="2572">
        <v>4.3499999999999996</v>
      </c>
      <c r="E22" s="2572">
        <v>4.3499999999999996</v>
      </c>
      <c r="F22" s="2572">
        <v>4.75</v>
      </c>
      <c r="G22" s="2572">
        <v>4.75</v>
      </c>
      <c r="H22" s="2572">
        <v>4.9000000000000004</v>
      </c>
      <c r="I22" s="2572"/>
      <c r="J22" s="2572"/>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c r="B23" s="1200"/>
      <c r="C23" s="1201">
        <v>42242</v>
      </c>
      <c r="D23" s="1200">
        <v>4.5999999999999996</v>
      </c>
      <c r="E23" s="1200">
        <v>4.5999999999999996</v>
      </c>
      <c r="F23" s="1200">
        <v>5</v>
      </c>
      <c r="G23" s="1200">
        <v>5</v>
      </c>
      <c r="H23" s="1200">
        <v>5.15</v>
      </c>
      <c r="I23" s="1200">
        <v>2.75</v>
      </c>
      <c r="J23" s="1200">
        <v>3.25</v>
      </c>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42183</v>
      </c>
      <c r="D24" s="1200">
        <v>4.8499999999999996</v>
      </c>
      <c r="E24" s="1200">
        <v>4.8499999999999996</v>
      </c>
      <c r="F24" s="1200">
        <v>5.25</v>
      </c>
      <c r="G24" s="1200">
        <v>5.25</v>
      </c>
      <c r="H24" s="1200">
        <v>5.4</v>
      </c>
      <c r="I24" s="1200">
        <v>3</v>
      </c>
      <c r="J24" s="1200">
        <v>3.5</v>
      </c>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42135</v>
      </c>
      <c r="D25" s="1200">
        <v>5.0999999999999996</v>
      </c>
      <c r="E25" s="1200">
        <v>5.0999999999999996</v>
      </c>
      <c r="F25" s="1200">
        <v>5.5</v>
      </c>
      <c r="G25" s="1200">
        <v>5.5</v>
      </c>
      <c r="H25" s="1200">
        <v>5.65</v>
      </c>
      <c r="I25" s="1200">
        <v>3.25</v>
      </c>
      <c r="J25" s="1200">
        <v>3.75</v>
      </c>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42064</v>
      </c>
      <c r="D26" s="1200">
        <v>5.35</v>
      </c>
      <c r="E26" s="1200">
        <v>5.35</v>
      </c>
      <c r="F26" s="1200">
        <v>5.75</v>
      </c>
      <c r="G26" s="1200">
        <v>5.75</v>
      </c>
      <c r="H26" s="1200">
        <v>5.9</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41965</v>
      </c>
      <c r="D27" s="1200">
        <v>5.6</v>
      </c>
      <c r="E27" s="1200">
        <v>5.6</v>
      </c>
      <c r="F27" s="1200">
        <v>6</v>
      </c>
      <c r="G27" s="1200">
        <v>6</v>
      </c>
      <c r="H27" s="1200">
        <v>6.15</v>
      </c>
      <c r="I27" s="1200"/>
      <c r="J27" s="120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41096</v>
      </c>
      <c r="D28" s="1200">
        <v>5.6</v>
      </c>
      <c r="E28" s="1200">
        <v>6</v>
      </c>
      <c r="F28" s="1200">
        <v>6.15</v>
      </c>
      <c r="G28" s="1200">
        <v>6.4</v>
      </c>
      <c r="H28" s="1200">
        <v>6.55</v>
      </c>
      <c r="I28" s="1200">
        <v>4</v>
      </c>
      <c r="J28" s="1200">
        <v>4.5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41068</v>
      </c>
      <c r="D29" s="1200">
        <v>5.85</v>
      </c>
      <c r="E29" s="1200">
        <v>6.31</v>
      </c>
      <c r="F29" s="1200">
        <v>6.4</v>
      </c>
      <c r="G29" s="1200">
        <v>6.65</v>
      </c>
      <c r="H29" s="1200">
        <v>6.8</v>
      </c>
      <c r="I29" s="1200">
        <v>4.2</v>
      </c>
      <c r="J29" s="1200">
        <v>4.7</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40731</v>
      </c>
      <c r="D30" s="1200">
        <v>6.1</v>
      </c>
      <c r="E30" s="1200">
        <v>6.56</v>
      </c>
      <c r="F30" s="1200">
        <v>6.65</v>
      </c>
      <c r="G30" s="1200">
        <v>6.9</v>
      </c>
      <c r="H30" s="1200">
        <v>7.05</v>
      </c>
      <c r="I30" s="1200">
        <v>4.45</v>
      </c>
      <c r="J30" s="1200">
        <v>4.9000000000000004</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40639</v>
      </c>
      <c r="D31" s="1200">
        <v>5.85</v>
      </c>
      <c r="E31" s="1200">
        <v>6.31</v>
      </c>
      <c r="F31" s="1200">
        <v>6.4</v>
      </c>
      <c r="G31" s="1200">
        <v>6.65</v>
      </c>
      <c r="H31" s="1200">
        <v>6.8</v>
      </c>
      <c r="I31" s="1200">
        <v>4.2</v>
      </c>
      <c r="J31" s="1200">
        <v>4.7</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40583</v>
      </c>
      <c r="D32" s="1200">
        <v>5.6</v>
      </c>
      <c r="E32" s="1200">
        <v>6.06</v>
      </c>
      <c r="F32" s="1200">
        <v>6.1</v>
      </c>
      <c r="G32" s="1200">
        <v>6.45</v>
      </c>
      <c r="H32" s="1200">
        <v>6.6</v>
      </c>
      <c r="I32" s="1200">
        <v>4</v>
      </c>
      <c r="J32" s="1200">
        <v>4.5</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40538</v>
      </c>
      <c r="D33" s="1200">
        <v>5.35</v>
      </c>
      <c r="E33" s="1200">
        <v>5.81</v>
      </c>
      <c r="F33" s="1200">
        <v>5.85</v>
      </c>
      <c r="G33" s="1200">
        <v>6.22</v>
      </c>
      <c r="H33" s="1200">
        <v>6.4</v>
      </c>
      <c r="I33" s="1200">
        <v>3.75</v>
      </c>
      <c r="J33" s="1200">
        <v>4.3</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40471</v>
      </c>
      <c r="D34" s="1200">
        <v>5.0999999999999996</v>
      </c>
      <c r="E34" s="1200">
        <v>5.56</v>
      </c>
      <c r="F34" s="1200">
        <v>5.6</v>
      </c>
      <c r="G34" s="1200">
        <v>5.96</v>
      </c>
      <c r="H34" s="1200">
        <v>6.14</v>
      </c>
      <c r="I34" s="1200">
        <v>3.5</v>
      </c>
      <c r="J34" s="1200">
        <v>4.05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39805</v>
      </c>
      <c r="D35" s="1200">
        <v>4.8600000000000003</v>
      </c>
      <c r="E35" s="1200">
        <v>5.31</v>
      </c>
      <c r="F35" s="1200">
        <v>5.4</v>
      </c>
      <c r="G35" s="1200">
        <v>5.76</v>
      </c>
      <c r="H35" s="1200">
        <v>5.94</v>
      </c>
      <c r="I35" s="1200">
        <v>3.33</v>
      </c>
      <c r="J35" s="1200">
        <v>3.87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39779</v>
      </c>
      <c r="D36" s="1200">
        <v>5.04</v>
      </c>
      <c r="E36" s="1200">
        <v>5.58</v>
      </c>
      <c r="F36" s="1200">
        <v>5.67</v>
      </c>
      <c r="G36" s="1200">
        <v>5.94</v>
      </c>
      <c r="H36" s="1200">
        <v>6.12</v>
      </c>
      <c r="I36" s="1200">
        <v>3.51</v>
      </c>
      <c r="J36" s="1200">
        <v>4.05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39751</v>
      </c>
      <c r="D37" s="1200">
        <v>6.03</v>
      </c>
      <c r="E37" s="1200">
        <v>6.66</v>
      </c>
      <c r="F37" s="1200">
        <v>6.75</v>
      </c>
      <c r="G37" s="1200">
        <v>7.02</v>
      </c>
      <c r="H37" s="1200">
        <v>7.2</v>
      </c>
      <c r="I37" s="1200">
        <v>4.05</v>
      </c>
      <c r="J37" s="1200">
        <v>4.59</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2">
        <v>39748</v>
      </c>
      <c r="D38" s="1200">
        <v>6.12</v>
      </c>
      <c r="E38" s="1200">
        <v>6.93</v>
      </c>
      <c r="F38" s="1200">
        <v>7.02</v>
      </c>
      <c r="G38" s="1200">
        <v>7.29</v>
      </c>
      <c r="H38" s="1200">
        <v>7.47</v>
      </c>
      <c r="I38" s="1200">
        <v>4.05</v>
      </c>
      <c r="J38" s="1200">
        <v>4.59</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39730</v>
      </c>
      <c r="D39" s="1200">
        <v>6.12</v>
      </c>
      <c r="E39" s="1200">
        <v>6.93</v>
      </c>
      <c r="F39" s="1200">
        <v>7.02</v>
      </c>
      <c r="G39" s="1200">
        <v>7.29</v>
      </c>
      <c r="H39" s="1200">
        <v>7.47</v>
      </c>
      <c r="I39" s="1200">
        <v>4.32</v>
      </c>
      <c r="J39" s="1200">
        <v>4.8600000000000003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39707</v>
      </c>
      <c r="D40" s="1200">
        <v>6.21</v>
      </c>
      <c r="E40" s="1200">
        <v>7.2</v>
      </c>
      <c r="F40" s="1200">
        <v>7.29</v>
      </c>
      <c r="G40" s="1200">
        <v>7.56</v>
      </c>
      <c r="H40" s="1200">
        <v>7.74</v>
      </c>
      <c r="I40" s="1200">
        <v>4.59</v>
      </c>
      <c r="J40" s="1200">
        <v>5.13</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39437</v>
      </c>
      <c r="D41" s="1200">
        <v>6.57</v>
      </c>
      <c r="E41" s="1200">
        <v>7.47</v>
      </c>
      <c r="F41" s="1200">
        <v>7.56</v>
      </c>
      <c r="G41" s="1200">
        <v>7.74</v>
      </c>
      <c r="H41" s="1200">
        <v>7.83</v>
      </c>
      <c r="I41" s="1200">
        <v>4.7699999999999996</v>
      </c>
      <c r="J41" s="1200">
        <v>5.22</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39340</v>
      </c>
      <c r="D42" s="1200">
        <v>6.48</v>
      </c>
      <c r="E42" s="1200">
        <v>7.29</v>
      </c>
      <c r="F42" s="1200">
        <v>7.47</v>
      </c>
      <c r="G42" s="1200">
        <v>7.65</v>
      </c>
      <c r="H42" s="1200">
        <v>7.83</v>
      </c>
      <c r="I42" s="1200">
        <v>4.7699999999999996</v>
      </c>
      <c r="J42" s="1200">
        <v>5.22</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39316</v>
      </c>
      <c r="D43" s="1200">
        <v>6.21</v>
      </c>
      <c r="E43" s="1200">
        <v>7.02</v>
      </c>
      <c r="F43" s="1200">
        <v>7.2</v>
      </c>
      <c r="G43" s="1200">
        <v>7.38</v>
      </c>
      <c r="H43" s="1200">
        <v>7.56</v>
      </c>
      <c r="I43" s="1200">
        <v>4.59</v>
      </c>
      <c r="J43" s="1200">
        <v>5.04</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39284</v>
      </c>
      <c r="D44" s="1200">
        <v>6.03</v>
      </c>
      <c r="E44" s="1200">
        <v>6.84</v>
      </c>
      <c r="F44" s="1200">
        <v>7.02</v>
      </c>
      <c r="G44" s="1200">
        <v>7.2</v>
      </c>
      <c r="H44" s="1200">
        <v>7.38</v>
      </c>
      <c r="I44" s="1200">
        <v>4.5</v>
      </c>
      <c r="J44" s="1200">
        <v>4.95</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39221</v>
      </c>
      <c r="D45" s="1200">
        <v>5.85</v>
      </c>
      <c r="E45" s="1200">
        <v>6.57</v>
      </c>
      <c r="F45" s="1200">
        <v>6.75</v>
      </c>
      <c r="G45" s="1200">
        <v>6.93</v>
      </c>
      <c r="H45" s="1200">
        <v>7.2</v>
      </c>
      <c r="I45" s="1200">
        <v>4.41</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39159</v>
      </c>
      <c r="D46" s="1200">
        <v>5.67</v>
      </c>
      <c r="E46" s="1200">
        <v>6.39</v>
      </c>
      <c r="F46" s="1200">
        <v>6.57</v>
      </c>
      <c r="G46" s="1200">
        <v>6.75</v>
      </c>
      <c r="H46" s="1200">
        <v>7.11</v>
      </c>
      <c r="I46" s="1200">
        <v>4.32</v>
      </c>
      <c r="J46" s="1200">
        <v>4.7699999999999996</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38948</v>
      </c>
      <c r="D47" s="1200">
        <v>5.58</v>
      </c>
      <c r="E47" s="1200">
        <v>6.12</v>
      </c>
      <c r="F47" s="1200">
        <v>6.3</v>
      </c>
      <c r="G47" s="1200">
        <v>6.48</v>
      </c>
      <c r="H47" s="1200">
        <v>6.84</v>
      </c>
      <c r="I47" s="1200">
        <v>4.1399999999999997</v>
      </c>
      <c r="J47" s="1200">
        <v>4.59</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38835</v>
      </c>
      <c r="D48" s="1200">
        <v>5.4</v>
      </c>
      <c r="E48" s="1200">
        <v>5.85</v>
      </c>
      <c r="F48" s="1200">
        <v>6.03</v>
      </c>
      <c r="G48" s="1200">
        <v>6.12</v>
      </c>
      <c r="H48" s="1200">
        <v>6.39</v>
      </c>
      <c r="I48" s="1200">
        <v>4.1399999999999997</v>
      </c>
      <c r="J48" s="1200">
        <v>4.59</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38428</v>
      </c>
      <c r="D49" s="1200">
        <v>5.22</v>
      </c>
      <c r="E49" s="1200">
        <v>5.58</v>
      </c>
      <c r="F49" s="1200">
        <v>5.76</v>
      </c>
      <c r="G49" s="1200">
        <v>5.85</v>
      </c>
      <c r="H49" s="1200">
        <v>6.12</v>
      </c>
      <c r="I49" s="1200">
        <v>3.96</v>
      </c>
      <c r="J49" s="1200">
        <v>4.41</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38289</v>
      </c>
      <c r="D50" s="1200">
        <v>5.22</v>
      </c>
      <c r="E50" s="1200">
        <v>5.58</v>
      </c>
      <c r="F50" s="1200">
        <v>5.76</v>
      </c>
      <c r="G50" s="1200">
        <v>5.85</v>
      </c>
      <c r="H50" s="1200">
        <v>6.12</v>
      </c>
      <c r="I50" s="1200">
        <v>3.78</v>
      </c>
      <c r="J50" s="1200">
        <v>4.2300000000000004</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37308</v>
      </c>
      <c r="D51" s="1200">
        <v>5.04</v>
      </c>
      <c r="E51" s="1200">
        <v>5.31</v>
      </c>
      <c r="F51" s="1200">
        <v>5.49</v>
      </c>
      <c r="G51" s="1200">
        <v>5.58</v>
      </c>
      <c r="H51" s="1200">
        <v>5.76</v>
      </c>
      <c r="I51" s="1200">
        <v>3.6</v>
      </c>
      <c r="J51" s="1200">
        <v>4.05</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36321</v>
      </c>
      <c r="D52" s="1200">
        <v>5.58</v>
      </c>
      <c r="E52" s="1200">
        <v>5.85</v>
      </c>
      <c r="F52" s="1200">
        <v>5.94</v>
      </c>
      <c r="G52" s="1200">
        <v>6.03</v>
      </c>
      <c r="H52" s="1200">
        <v>6.21</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36136</v>
      </c>
      <c r="D53" s="1200">
        <v>6.12</v>
      </c>
      <c r="E53" s="1200">
        <v>6.39</v>
      </c>
      <c r="F53" s="1200">
        <v>6.66</v>
      </c>
      <c r="G53" s="1200">
        <v>7.2</v>
      </c>
      <c r="H53" s="1200">
        <v>7.56</v>
      </c>
      <c r="I53" s="1200">
        <v>0</v>
      </c>
      <c r="J53" s="1200">
        <v>0</v>
      </c>
      <c r="L53" s="1200"/>
      <c r="M53" s="1201"/>
      <c r="N53" s="1200"/>
      <c r="O53" s="1200"/>
      <c r="P53" s="1200"/>
      <c r="Q53" s="1200"/>
      <c r="R53" s="1200"/>
      <c r="S53" s="1200"/>
      <c r="T53" s="1200"/>
      <c r="U53" s="1200"/>
      <c r="V53" s="1200"/>
      <c r="W53" s="1200"/>
      <c r="X53" s="1200"/>
      <c r="Y53" s="1200"/>
      <c r="Z53" s="1200"/>
    </row>
    <row r="54" spans="2:26">
      <c r="B54" s="1200"/>
      <c r="C54" s="1201">
        <v>35977</v>
      </c>
      <c r="D54" s="1200">
        <v>6.57</v>
      </c>
      <c r="E54" s="1200">
        <v>6.93</v>
      </c>
      <c r="F54" s="1200">
        <v>7.11</v>
      </c>
      <c r="G54" s="1200">
        <v>7.65</v>
      </c>
      <c r="H54" s="1200">
        <v>8.01</v>
      </c>
      <c r="I54" s="1200">
        <v>0</v>
      </c>
      <c r="J54" s="1200">
        <v>0</v>
      </c>
      <c r="L54" s="1200"/>
      <c r="M54" s="1201"/>
      <c r="N54" s="1200"/>
      <c r="O54" s="1200"/>
      <c r="P54" s="1200"/>
      <c r="Q54" s="1200"/>
      <c r="R54" s="1200"/>
      <c r="S54" s="1200"/>
      <c r="T54" s="1200"/>
      <c r="U54" s="1200"/>
      <c r="V54" s="1200"/>
      <c r="W54" s="1200"/>
      <c r="X54" s="1200"/>
      <c r="Y54" s="1200"/>
      <c r="Z54" s="1200"/>
    </row>
    <row r="55" spans="2:26">
      <c r="B55" s="1200"/>
      <c r="C55" s="1201">
        <v>35879</v>
      </c>
      <c r="D55" s="1200">
        <v>7.02</v>
      </c>
      <c r="E55" s="1200">
        <v>7.92</v>
      </c>
      <c r="F55" s="1200">
        <v>9</v>
      </c>
      <c r="G55" s="1200">
        <v>9.7200000000000006</v>
      </c>
      <c r="H55" s="1200">
        <v>10.35</v>
      </c>
      <c r="I55" s="1200">
        <v>0</v>
      </c>
      <c r="J55" s="1200">
        <v>0</v>
      </c>
      <c r="L55" s="1200"/>
      <c r="M55" s="1201"/>
      <c r="N55" s="1200"/>
      <c r="O55" s="1200"/>
      <c r="P55" s="1200"/>
      <c r="Q55" s="1200"/>
      <c r="R55" s="1200"/>
      <c r="S55" s="1200"/>
      <c r="T55" s="1200"/>
      <c r="U55" s="1200"/>
      <c r="V55" s="1200"/>
      <c r="W55" s="1200"/>
      <c r="X55" s="1200"/>
      <c r="Y55" s="1200"/>
      <c r="Z55" s="1200"/>
    </row>
    <row r="56" spans="2:26">
      <c r="B56" s="1200"/>
      <c r="C56" s="1201">
        <v>35726</v>
      </c>
      <c r="D56" s="1200">
        <v>7.65</v>
      </c>
      <c r="E56" s="1200">
        <v>8.64</v>
      </c>
      <c r="F56" s="1200">
        <v>9.36</v>
      </c>
      <c r="G56" s="1200">
        <v>9.9</v>
      </c>
      <c r="H56" s="1200">
        <v>10.53</v>
      </c>
      <c r="I56" s="1200">
        <v>0</v>
      </c>
      <c r="J56" s="1200">
        <v>0</v>
      </c>
      <c r="L56" s="1200"/>
      <c r="M56" s="1201"/>
      <c r="N56" s="1200"/>
      <c r="O56" s="1200"/>
      <c r="P56" s="1200"/>
      <c r="Q56" s="1200"/>
      <c r="R56" s="1200"/>
      <c r="S56" s="1200"/>
      <c r="T56" s="1200"/>
      <c r="U56" s="1200"/>
      <c r="V56" s="1200"/>
      <c r="W56" s="1200"/>
      <c r="X56" s="1200"/>
      <c r="Y56" s="1200"/>
      <c r="Z56" s="1200"/>
    </row>
    <row r="57" spans="2:26">
      <c r="B57" s="1200"/>
      <c r="C57" s="1201">
        <v>35300</v>
      </c>
      <c r="D57" s="1200">
        <v>9.18</v>
      </c>
      <c r="E57" s="1200">
        <v>10.08</v>
      </c>
      <c r="F57" s="1200">
        <v>10.98</v>
      </c>
      <c r="G57" s="1200">
        <v>11.7</v>
      </c>
      <c r="H57" s="1200">
        <v>12.42</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35186</v>
      </c>
      <c r="D58" s="1200">
        <v>9.7200000000000006</v>
      </c>
      <c r="E58" s="1200">
        <v>10.98</v>
      </c>
      <c r="F58" s="1200">
        <v>13.14</v>
      </c>
      <c r="G58" s="1200">
        <v>14.94</v>
      </c>
      <c r="H58" s="1200">
        <v>15.12</v>
      </c>
      <c r="I58" s="1200">
        <v>0</v>
      </c>
      <c r="J58" s="1200">
        <v>0</v>
      </c>
    </row>
    <row r="59" spans="2:26">
      <c r="B59" s="1200"/>
      <c r="C59" s="1201">
        <v>34881</v>
      </c>
      <c r="D59" s="1200">
        <v>10.08</v>
      </c>
      <c r="E59" s="1200">
        <v>12.06</v>
      </c>
      <c r="F59" s="1200">
        <v>13.5</v>
      </c>
      <c r="G59" s="1200">
        <v>15.12</v>
      </c>
      <c r="H59" s="1200">
        <v>15.3</v>
      </c>
      <c r="I59" s="1200">
        <v>0</v>
      </c>
      <c r="J59" s="1200">
        <v>0</v>
      </c>
    </row>
    <row r="60" spans="2:26">
      <c r="B60" s="1200"/>
      <c r="C60" s="1201">
        <v>34700</v>
      </c>
      <c r="D60" s="1200">
        <v>9</v>
      </c>
      <c r="E60" s="1200">
        <v>10.98</v>
      </c>
      <c r="F60" s="1200">
        <v>12.96</v>
      </c>
      <c r="G60" s="1200">
        <v>14.58</v>
      </c>
      <c r="H60" s="1200">
        <v>14.76</v>
      </c>
      <c r="I60" s="1200">
        <v>0</v>
      </c>
      <c r="J60" s="1200">
        <v>0</v>
      </c>
    </row>
    <row r="61" spans="2:26">
      <c r="B61" s="1200"/>
      <c r="C61" s="1201">
        <v>34161</v>
      </c>
      <c r="D61" s="1200">
        <v>9</v>
      </c>
      <c r="E61" s="1200">
        <v>10.98</v>
      </c>
      <c r="F61" s="1200">
        <v>12.24</v>
      </c>
      <c r="G61" s="1200">
        <v>13.86</v>
      </c>
      <c r="H61" s="1200">
        <v>14.04</v>
      </c>
      <c r="I61" s="1200">
        <v>0</v>
      </c>
      <c r="J61" s="1200">
        <v>0</v>
      </c>
    </row>
    <row r="62" spans="2:26">
      <c r="B62" s="1200"/>
      <c r="C62" s="1201">
        <v>34104</v>
      </c>
      <c r="D62" s="1200">
        <v>8.82</v>
      </c>
      <c r="E62" s="1200">
        <v>9.36</v>
      </c>
      <c r="F62" s="1200">
        <v>10.8</v>
      </c>
      <c r="G62" s="1200">
        <v>12.06</v>
      </c>
      <c r="H62" s="1200">
        <v>12.24</v>
      </c>
      <c r="I62" s="1200">
        <v>0</v>
      </c>
      <c r="J62" s="1200">
        <v>0</v>
      </c>
    </row>
    <row r="63" spans="2:26">
      <c r="B63" s="1200"/>
      <c r="C63" s="1201">
        <v>33349</v>
      </c>
      <c r="D63" s="1200">
        <v>8.1</v>
      </c>
      <c r="E63" s="1200">
        <v>8.64</v>
      </c>
      <c r="F63" s="1200">
        <v>9</v>
      </c>
      <c r="G63" s="1200">
        <v>9.5399999999999991</v>
      </c>
      <c r="H63" s="1200">
        <v>9.7200000000000006</v>
      </c>
      <c r="I63" s="1200">
        <v>0</v>
      </c>
      <c r="J63" s="1200">
        <v>0</v>
      </c>
    </row>
    <row r="64" spans="2:26">
      <c r="B64" s="1200"/>
      <c r="C64" s="1201">
        <v>33318</v>
      </c>
      <c r="D64" s="1200">
        <v>9</v>
      </c>
      <c r="E64" s="1200">
        <v>10.08</v>
      </c>
      <c r="F64" s="1200">
        <v>10.8</v>
      </c>
      <c r="G64" s="1200">
        <v>11.52</v>
      </c>
      <c r="H64" s="1200">
        <v>11.88</v>
      </c>
      <c r="I64" s="1200" t="s">
        <v>633</v>
      </c>
      <c r="J64" s="1200" t="s">
        <v>633</v>
      </c>
    </row>
    <row r="65" spans="2:10">
      <c r="B65" s="1200"/>
      <c r="C65" s="1201">
        <v>33106</v>
      </c>
      <c r="D65" s="1200">
        <v>8.64</v>
      </c>
      <c r="E65" s="1200">
        <v>9.36</v>
      </c>
      <c r="F65" s="1200">
        <v>10.08</v>
      </c>
      <c r="G65" s="1200">
        <v>10.8</v>
      </c>
      <c r="H65" s="1200">
        <v>11.16</v>
      </c>
      <c r="I65" s="1200">
        <v>0</v>
      </c>
      <c r="J65" s="1200">
        <v>0</v>
      </c>
    </row>
    <row r="66" spans="2:10">
      <c r="B66" s="1200"/>
      <c r="C66" s="1201">
        <v>32540</v>
      </c>
      <c r="D66" s="1200">
        <v>11.34</v>
      </c>
      <c r="E66" s="1200">
        <v>11.34</v>
      </c>
      <c r="F66" s="1200">
        <v>12.78</v>
      </c>
      <c r="G66" s="1200">
        <v>14.4</v>
      </c>
      <c r="H66" s="1200">
        <v>19.260000000000002</v>
      </c>
      <c r="I66" s="1200">
        <v>0</v>
      </c>
      <c r="J66" s="1200">
        <v>0</v>
      </c>
    </row>
    <row r="67" spans="2:10">
      <c r="B67" s="1200"/>
      <c r="C67" s="1201"/>
      <c r="D67" s="1200"/>
      <c r="E67" s="1200"/>
      <c r="F67" s="1200"/>
      <c r="G67" s="1200"/>
      <c r="H67" s="1200"/>
      <c r="I67" s="1200"/>
      <c r="J67" s="1200"/>
    </row>
    <row r="68" spans="2:10">
      <c r="B68" s="1203"/>
      <c r="C68" s="1204"/>
      <c r="D68" s="1203"/>
      <c r="E68" s="1203"/>
      <c r="F68" s="1203"/>
      <c r="G68" s="1203"/>
      <c r="H68" s="1203"/>
      <c r="I68" s="1203"/>
      <c r="J68" s="1203"/>
    </row>
    <row r="69" spans="2:10">
      <c r="B69" s="1203"/>
      <c r="C69" s="1204"/>
      <c r="D69" s="1203"/>
      <c r="E69" s="1203"/>
      <c r="F69" s="1203"/>
      <c r="G69" s="1203"/>
      <c r="H69" s="1203"/>
      <c r="I69" s="1203"/>
      <c r="J69" s="1203"/>
    </row>
    <row r="70" spans="2:10">
      <c r="B70" s="1203"/>
      <c r="C70" s="1204"/>
      <c r="D70" s="1203"/>
      <c r="E70" s="1203"/>
      <c r="F70" s="1203"/>
      <c r="G70" s="1203"/>
      <c r="H70" s="1203"/>
      <c r="I70" s="1203"/>
      <c r="J70" s="1203"/>
    </row>
    <row r="71" spans="2:10">
      <c r="B71" s="1154"/>
      <c r="C71" s="1154"/>
      <c r="D71" s="1154"/>
      <c r="E71" s="1154"/>
      <c r="F71" s="1154"/>
      <c r="G71" s="1154"/>
      <c r="H71" s="1154"/>
      <c r="I71" s="1154"/>
      <c r="J71" s="1154"/>
    </row>
    <row r="72" spans="2:10">
      <c r="B72" s="1154"/>
      <c r="C72" s="1154"/>
      <c r="D72" s="1154"/>
      <c r="E72" s="1154"/>
      <c r="F72" s="1154"/>
      <c r="G72" s="1154"/>
      <c r="H72" s="1154"/>
      <c r="I72" s="1154"/>
      <c r="J72"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229" t="s">
        <v>949</v>
      </c>
      <c r="B1" s="3229"/>
      <c r="C1" s="3229"/>
      <c r="D1" s="3229"/>
    </row>
    <row r="2" spans="1:4" ht="17.399999999999999">
      <c r="A2" s="3230" t="s">
        <v>933</v>
      </c>
      <c r="B2" s="3230"/>
      <c r="C2" s="3230"/>
      <c r="D2" s="3230"/>
    </row>
    <row r="3" spans="1:4" ht="17.399999999999999">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吴薇</v>
      </c>
      <c r="B5" s="1404">
        <f ca="1">项目基本情况!E4</f>
        <v>1419970001</v>
      </c>
      <c r="C5" s="1407"/>
      <c r="D5" s="1406" t="s">
        <v>938</v>
      </c>
    </row>
    <row r="6" spans="1:4" ht="17.399999999999999">
      <c r="A6" s="3230" t="s">
        <v>939</v>
      </c>
      <c r="B6" s="3230"/>
      <c r="C6" s="3230"/>
      <c r="D6" s="3230"/>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231" t="s">
        <v>942</v>
      </c>
      <c r="B11" s="3232"/>
      <c r="C11" s="3232"/>
      <c r="D11" s="3232"/>
    </row>
    <row r="12" spans="1:4" ht="15.6">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943</v>
      </c>
      <c r="B16" s="3235"/>
      <c r="C16" s="3235"/>
      <c r="D16" s="3235"/>
    </row>
    <row r="17" spans="1:4" ht="144" customHeight="1">
      <c r="A17" s="3235" t="s">
        <v>944</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945</v>
      </c>
      <c r="B22" s="3237"/>
      <c r="C22" s="3237"/>
      <c r="D22" s="3237"/>
    </row>
    <row r="23" spans="1:4">
      <c r="A23" s="1410"/>
      <c r="B23" s="457"/>
      <c r="C23" s="457"/>
      <c r="D23" s="457"/>
    </row>
    <row r="24" spans="1:4">
      <c r="A24" s="1410"/>
      <c r="B24" s="457"/>
      <c r="C24" s="457"/>
      <c r="D24" s="457"/>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43" t="s">
        <v>956</v>
      </c>
      <c r="B15" s="3238" t="s">
        <v>109</v>
      </c>
      <c r="C15" s="3239"/>
    </row>
    <row r="16" spans="1:7" ht="14.4">
      <c r="A16" s="3244"/>
      <c r="B16" s="3238" t="s">
        <v>42</v>
      </c>
      <c r="C16" s="3239"/>
    </row>
    <row r="17" spans="1:3" ht="14.4">
      <c r="A17" s="3244"/>
      <c r="B17" s="3241" t="s">
        <v>957</v>
      </c>
      <c r="C17" s="1424" t="s">
        <v>956</v>
      </c>
    </row>
    <row r="18" spans="1:3" ht="14.4">
      <c r="A18" s="3244"/>
      <c r="B18" s="3241"/>
      <c r="C18" s="1424" t="s">
        <v>958</v>
      </c>
    </row>
    <row r="19" spans="1:3" ht="14.4">
      <c r="A19" s="3244"/>
      <c r="B19" s="3241"/>
      <c r="C19" s="1424" t="s">
        <v>959</v>
      </c>
    </row>
    <row r="20" spans="1:3" ht="14.4">
      <c r="A20" s="3245"/>
      <c r="B20" s="3240" t="s">
        <v>960</v>
      </c>
      <c r="C20" s="3239"/>
    </row>
    <row r="21" spans="1:3" ht="14.4">
      <c r="A21" s="1425" t="s">
        <v>961</v>
      </c>
      <c r="B21" s="1426"/>
      <c r="C21" s="1427"/>
    </row>
    <row r="22" spans="1:3" ht="14.4">
      <c r="A22" s="3242" t="s">
        <v>962</v>
      </c>
      <c r="B22" s="3240" t="s">
        <v>963</v>
      </c>
      <c r="C22" s="3239"/>
    </row>
    <row r="23" spans="1:3" ht="14.4">
      <c r="A23" s="3242"/>
      <c r="B23" s="3240" t="s">
        <v>964</v>
      </c>
      <c r="C23" s="3239"/>
    </row>
    <row r="24" spans="1:3" ht="14.4">
      <c r="A24" s="3242"/>
      <c r="B24" s="3240" t="s">
        <v>965</v>
      </c>
      <c r="C24" s="3239"/>
    </row>
    <row r="25" spans="1:3" ht="14.4">
      <c r="A25" s="3242"/>
      <c r="B25" s="3241" t="s">
        <v>966</v>
      </c>
      <c r="C25" s="1424" t="s">
        <v>967</v>
      </c>
    </row>
    <row r="26" spans="1:3" ht="14.4">
      <c r="A26" s="3242"/>
      <c r="B26" s="3241"/>
      <c r="C26" s="1424" t="s">
        <v>968</v>
      </c>
    </row>
    <row r="27" spans="1:3" ht="14.4">
      <c r="A27" s="3242"/>
      <c r="B27" s="3241"/>
      <c r="C27" s="1424" t="s">
        <v>969</v>
      </c>
    </row>
    <row r="28" spans="1:3" ht="14.4">
      <c r="A28" s="3242"/>
      <c r="B28" s="3241"/>
      <c r="C28" s="1424" t="s">
        <v>970</v>
      </c>
    </row>
    <row r="29" spans="1:3" ht="14.4">
      <c r="A29" s="3242"/>
      <c r="B29" s="3241"/>
      <c r="C29" s="1424" t="s">
        <v>971</v>
      </c>
    </row>
    <row r="30" spans="1:3" ht="14.4">
      <c r="A30" s="3242"/>
      <c r="B30" s="3241"/>
      <c r="C30" s="1424" t="s">
        <v>972</v>
      </c>
    </row>
    <row r="31" spans="1:3" ht="14.4">
      <c r="A31" s="3242"/>
      <c r="B31" s="3241"/>
      <c r="C31" s="1424" t="s">
        <v>973</v>
      </c>
    </row>
    <row r="32" spans="1:3" ht="14.4">
      <c r="A32" s="3242"/>
      <c r="B32" s="3241"/>
      <c r="C32" s="1424" t="s">
        <v>974</v>
      </c>
    </row>
    <row r="33" spans="1:3" ht="14.4">
      <c r="A33" s="3242"/>
      <c r="B33" s="3241"/>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48" customWidth="1"/>
    <col min="2" max="2" width="38.6640625" style="2148" customWidth="1"/>
    <col min="3" max="3" width="26" style="2148" customWidth="1"/>
    <col min="4" max="4" width="35" style="2148" hidden="1" customWidth="1"/>
    <col min="5" max="5" width="30.109375" style="2148" customWidth="1"/>
    <col min="6" max="6" width="35.44140625" style="2148" customWidth="1"/>
    <col min="7" max="7" width="31" style="2148" customWidth="1"/>
    <col min="8" max="8" width="37.44140625" style="2148" hidden="1" customWidth="1"/>
    <col min="9" max="16384" width="22.6640625" style="2148"/>
  </cols>
  <sheetData>
    <row r="1" spans="1:8" ht="24" customHeight="1">
      <c r="A1" s="2147"/>
      <c r="B1" s="2147"/>
      <c r="C1" s="2147"/>
      <c r="D1" s="2147"/>
      <c r="E1" s="2147"/>
      <c r="F1" s="2147"/>
      <c r="G1" s="2147"/>
      <c r="H1" s="2147"/>
    </row>
    <row r="2" spans="1:8" ht="24" customHeight="1">
      <c r="A2" s="2149" t="s">
        <v>2139</v>
      </c>
      <c r="B2" s="2150">
        <f ca="1">TODAY()</f>
        <v>45033</v>
      </c>
      <c r="C2" s="2151" t="s">
        <v>2140</v>
      </c>
      <c r="D2" s="2151"/>
      <c r="E2" s="2151"/>
      <c r="F2" s="2147"/>
      <c r="G2" s="2147"/>
      <c r="H2" s="2147"/>
    </row>
    <row r="3" spans="1:8" ht="24" customHeight="1">
      <c r="A3" s="2152" t="s">
        <v>2141</v>
      </c>
      <c r="B3" s="1214" t="s">
        <v>2142</v>
      </c>
      <c r="C3" s="1214" t="s">
        <v>2143</v>
      </c>
      <c r="D3" s="2153" t="s">
        <v>2144</v>
      </c>
      <c r="E3" s="2154" t="s">
        <v>2145</v>
      </c>
      <c r="F3" s="1214" t="s">
        <v>2146</v>
      </c>
      <c r="G3" s="1214" t="s">
        <v>2143</v>
      </c>
      <c r="H3" s="2153" t="s">
        <v>2147</v>
      </c>
    </row>
    <row r="4" spans="1:8" ht="24" customHeight="1">
      <c r="A4" s="1214" t="s">
        <v>2148</v>
      </c>
      <c r="B4" s="1214">
        <f ca="1">IF(C4&lt;B2,"已过期",1119970066)</f>
        <v>1119970066</v>
      </c>
      <c r="C4" s="2155">
        <v>45937</v>
      </c>
      <c r="D4" s="2156" t="str">
        <f ca="1">A4&amp;"（注册号："&amp;B4&amp;"）"</f>
        <v>梁津（注册号：1119970066）</v>
      </c>
      <c r="E4" s="2157" t="s">
        <v>2148</v>
      </c>
      <c r="F4" s="1214">
        <f ca="1">IF(G4&lt;B2,"已过期",96010014)</f>
        <v>96010014</v>
      </c>
      <c r="G4" s="2158">
        <v>47118</v>
      </c>
      <c r="H4" s="2159" t="str">
        <f ca="1">E4&amp;"（注册号："&amp;F4&amp;"）"</f>
        <v>梁津（注册号：96010014）</v>
      </c>
    </row>
    <row r="5" spans="1:8" ht="24" customHeight="1">
      <c r="A5" s="1214" t="s">
        <v>2149</v>
      </c>
      <c r="B5" s="1214">
        <f ca="1">IF(C5&lt;B2,"已过期",1119970111)</f>
        <v>1119970111</v>
      </c>
      <c r="C5" s="2155">
        <v>45937</v>
      </c>
      <c r="D5" s="2156" t="str">
        <f t="shared" ref="D5:D15" ca="1" si="0">A5&amp;"（注册号："&amp;B5&amp;"）"</f>
        <v>叶凌（注册号：1119970111）</v>
      </c>
      <c r="E5" s="2157" t="s">
        <v>2149</v>
      </c>
      <c r="F5" s="1214">
        <f ca="1">IF(G5&lt;B2,"已过期",94010078)</f>
        <v>94010078</v>
      </c>
      <c r="G5" s="2158">
        <v>46387</v>
      </c>
      <c r="H5" s="2159" t="str">
        <f t="shared" ref="H5:H16" ca="1" si="1">E5&amp;"（注册号："&amp;F5&amp;"）"</f>
        <v>叶凌（注册号：94010078）</v>
      </c>
    </row>
    <row r="6" spans="1:8" ht="24" customHeight="1">
      <c r="A6" s="1214" t="s">
        <v>2150</v>
      </c>
      <c r="B6" s="1214">
        <f ca="1">IF(C6&lt;B2,"已过期",1120050019)</f>
        <v>1120050019</v>
      </c>
      <c r="C6" s="2155">
        <v>45410</v>
      </c>
      <c r="D6" s="2156" t="str">
        <f t="shared" ca="1" si="0"/>
        <v>王鹏（注册号：1120050019）</v>
      </c>
      <c r="E6" s="2157" t="s">
        <v>2150</v>
      </c>
      <c r="F6" s="1214">
        <f ca="1">IF(G6&lt;B2,"已过期",2002110030)</f>
        <v>2002110030</v>
      </c>
      <c r="G6" s="2158">
        <v>46387</v>
      </c>
      <c r="H6" s="2159" t="str">
        <f t="shared" ca="1" si="1"/>
        <v>王鹏（注册号：2002110030）</v>
      </c>
    </row>
    <row r="7" spans="1:8" ht="24" customHeight="1">
      <c r="A7" s="1214" t="s">
        <v>2151</v>
      </c>
      <c r="B7" s="1214">
        <f ca="1">IF(C7&lt;B2,"已过期",1120000080)</f>
        <v>1120000080</v>
      </c>
      <c r="C7" s="2155">
        <v>45937</v>
      </c>
      <c r="D7" s="2156" t="str">
        <f t="shared" ca="1" si="0"/>
        <v>欧红伟（注册号：1120000080）</v>
      </c>
      <c r="E7" s="2157" t="s">
        <v>2151</v>
      </c>
      <c r="F7" s="1214">
        <f ca="1">IF(G7&lt;B2,"已过期",2000110082)</f>
        <v>2000110082</v>
      </c>
      <c r="G7" s="2158">
        <v>46387</v>
      </c>
      <c r="H7" s="2159" t="str">
        <f t="shared" ca="1" si="1"/>
        <v>欧红伟（注册号：2000110082）</v>
      </c>
    </row>
    <row r="8" spans="1:8" ht="24" customHeight="1">
      <c r="A8" s="1214" t="s">
        <v>2152</v>
      </c>
      <c r="B8" s="1214">
        <f ca="1">IF(C8&lt;B2,"已过期",1419970001)</f>
        <v>1419970001</v>
      </c>
      <c r="C8" s="2155">
        <v>45937</v>
      </c>
      <c r="D8" s="2156" t="str">
        <f t="shared" ca="1" si="0"/>
        <v>吴薇（注册号：1419970001）</v>
      </c>
      <c r="E8" s="2157" t="s">
        <v>2152</v>
      </c>
      <c r="F8" s="1214">
        <f ca="1">IF(G8&lt;B2,"已过期",2002110125)</f>
        <v>2002110125</v>
      </c>
      <c r="G8" s="2158">
        <v>47118</v>
      </c>
      <c r="H8" s="2159" t="str">
        <f t="shared" ca="1" si="1"/>
        <v>吴薇（注册号：2002110125）</v>
      </c>
    </row>
    <row r="9" spans="1:8" ht="24" customHeight="1">
      <c r="A9" s="1214" t="s">
        <v>2153</v>
      </c>
      <c r="B9" s="1214">
        <f ca="1">IF(C9&lt;B2,"已过期",1120060040)</f>
        <v>1120060040</v>
      </c>
      <c r="C9" s="2160">
        <v>45592</v>
      </c>
      <c r="D9" s="2156" t="str">
        <f t="shared" ca="1" si="0"/>
        <v>陈颖（注册号：1120060040）</v>
      </c>
      <c r="E9" s="2157" t="s">
        <v>2153</v>
      </c>
      <c r="F9" s="1214">
        <f ca="1">IF(G9&lt;B2,"已过期",2004110096)</f>
        <v>2004110096</v>
      </c>
      <c r="G9" s="2158">
        <v>47118</v>
      </c>
      <c r="H9" s="2159" t="str">
        <f t="shared" ca="1" si="1"/>
        <v>陈颖（注册号：2004110096）</v>
      </c>
    </row>
    <row r="10" spans="1:8" ht="24" customHeight="1">
      <c r="A10" s="1214" t="s">
        <v>2154</v>
      </c>
      <c r="B10" s="1214">
        <f ca="1">IF(C10&lt;B2,"已过期",1120100036)</f>
        <v>1120100036</v>
      </c>
      <c r="C10" s="2160">
        <v>45752</v>
      </c>
      <c r="D10" s="2156" t="str">
        <f t="shared" ca="1" si="0"/>
        <v>崔锴（注册号：1120100036）</v>
      </c>
      <c r="E10" s="2157" t="s">
        <v>2154</v>
      </c>
      <c r="F10" s="1214">
        <f ca="1">IF(G10&lt;B2,"已过期",2010110070)</f>
        <v>2010110070</v>
      </c>
      <c r="G10" s="2158">
        <v>47907</v>
      </c>
      <c r="H10" s="2159" t="str">
        <f t="shared" ca="1" si="1"/>
        <v>崔锴（注册号：2010110070）</v>
      </c>
    </row>
    <row r="11" spans="1:8" ht="24" customHeight="1">
      <c r="A11" s="1214" t="s">
        <v>2155</v>
      </c>
      <c r="B11" s="1214">
        <f ca="1">IF(C11&lt;B2,"已过期",1120070131)</f>
        <v>1120070131</v>
      </c>
      <c r="C11" s="2155">
        <v>45937</v>
      </c>
      <c r="D11" s="2156" t="str">
        <f t="shared" ca="1" si="0"/>
        <v>郑燚（注册号：1120070131）</v>
      </c>
      <c r="E11" s="2157" t="s">
        <v>2155</v>
      </c>
      <c r="F11" s="1214">
        <f ca="1">IF(G11&lt;B2,"已过期",2014110011)</f>
        <v>2014110011</v>
      </c>
      <c r="G11" s="2158">
        <v>49302</v>
      </c>
      <c r="H11" s="2159" t="str">
        <f t="shared" ca="1" si="1"/>
        <v>郑燚（注册号：2014110011）</v>
      </c>
    </row>
    <row r="12" spans="1:8" ht="24" customHeight="1">
      <c r="A12" s="1214" t="s">
        <v>2156</v>
      </c>
      <c r="B12" s="1214">
        <f ca="1">IF(C12&lt;B2,"已过期",1120040230)</f>
        <v>1120040230</v>
      </c>
      <c r="C12" s="2160">
        <v>45937</v>
      </c>
      <c r="D12" s="2156" t="str">
        <f t="shared" ca="1" si="0"/>
        <v>苏海（注册号：1120040230）</v>
      </c>
      <c r="E12" s="2157" t="s">
        <v>2156</v>
      </c>
      <c r="F12" s="1214">
        <f ca="1">IF(G12&lt;B2,"已过期",98030020)</f>
        <v>98030020</v>
      </c>
      <c r="G12" s="2158">
        <v>47118</v>
      </c>
      <c r="H12" s="2159" t="str">
        <f t="shared" ca="1" si="1"/>
        <v>苏海（注册号：98030020）</v>
      </c>
    </row>
    <row r="13" spans="1:8" ht="24" customHeight="1">
      <c r="A13" s="1214" t="s">
        <v>2157</v>
      </c>
      <c r="B13" s="1214">
        <f ca="1">IF(C13&lt;B2,"已过期",1120020033)</f>
        <v>1120020033</v>
      </c>
      <c r="C13" s="2155">
        <v>45375</v>
      </c>
      <c r="D13" s="2156" t="str">
        <f t="shared" ca="1" si="0"/>
        <v>刘敬东（注册号：1120020033）</v>
      </c>
      <c r="E13" s="2157" t="s">
        <v>2157</v>
      </c>
      <c r="F13" s="1214">
        <f ca="1">IF(G13&lt;B2,"已过期",2000110137)</f>
        <v>2000110137</v>
      </c>
      <c r="G13" s="2158">
        <v>46387</v>
      </c>
      <c r="H13" s="2159" t="str">
        <f t="shared" ca="1" si="1"/>
        <v>刘敬东（注册号：2000110137）</v>
      </c>
    </row>
    <row r="14" spans="1:8" ht="24" customHeight="1">
      <c r="A14" s="1214" t="s">
        <v>2158</v>
      </c>
      <c r="B14" s="1214" t="str">
        <f ca="1">IF(C14&lt;B2,"已过期",1119980106)</f>
        <v>已过期</v>
      </c>
      <c r="C14" s="2160">
        <v>44969</v>
      </c>
      <c r="D14" s="2156" t="str">
        <f t="shared" ca="1" si="0"/>
        <v>刘俊财（注册号：已过期）</v>
      </c>
      <c r="E14" s="2157" t="s">
        <v>2158</v>
      </c>
      <c r="F14" s="1214">
        <f ca="1">IF(G14&lt;B2,"已过期",96010063)</f>
        <v>96010063</v>
      </c>
      <c r="G14" s="2158">
        <v>47483</v>
      </c>
      <c r="H14" s="2159" t="str">
        <f t="shared" ca="1" si="1"/>
        <v>刘俊财（注册号：96010063）</v>
      </c>
    </row>
    <row r="15" spans="1:8" ht="24" customHeight="1">
      <c r="A15" s="1214" t="s">
        <v>2433</v>
      </c>
      <c r="B15" s="1214">
        <v>1120210056</v>
      </c>
      <c r="C15" s="2160">
        <v>45410</v>
      </c>
      <c r="D15" s="2156" t="str">
        <f t="shared" si="0"/>
        <v>宁小鳗（注册号：1120210056）</v>
      </c>
      <c r="E15" s="2157" t="s">
        <v>2159</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53"/>
      <c r="E18" s="3248" t="s">
        <v>2162</v>
      </c>
      <c r="F18" s="3247"/>
      <c r="G18" s="3247"/>
    </row>
    <row r="19" spans="1:8" s="2163" customFormat="1" ht="24" customHeight="1">
      <c r="A19" s="2162" t="s">
        <v>2163</v>
      </c>
      <c r="B19" s="1214" t="s">
        <v>2164</v>
      </c>
      <c r="C19" s="1214" t="s">
        <v>2143</v>
      </c>
      <c r="D19" s="2153"/>
      <c r="E19" s="2157" t="s">
        <v>2163</v>
      </c>
      <c r="F19" s="1214" t="s">
        <v>2164</v>
      </c>
      <c r="G19" s="1214" t="s">
        <v>2143</v>
      </c>
    </row>
    <row r="20" spans="1:8" s="2163" customFormat="1" ht="24" customHeight="1">
      <c r="A20" s="2164" t="s">
        <v>2165</v>
      </c>
      <c r="B20" s="2164" t="s">
        <v>2166</v>
      </c>
      <c r="C20" s="2158">
        <v>45898</v>
      </c>
      <c r="D20" s="2165"/>
      <c r="E20" s="2166" t="s">
        <v>2167</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207" priority="53">
      <formula>AND($C4-TODAY()&lt;30,TODAY()&lt;$C4)</formula>
    </cfRule>
  </conditionalFormatting>
  <conditionalFormatting sqref="C20:D20">
    <cfRule type="expression" dxfId="206" priority="52">
      <formula>AND($C20-TODAY()&lt;30,TODAY()&lt;$C20)</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conditionalFormatting sqref="D12">
    <cfRule type="expression" dxfId="201" priority="47">
      <formula>AND($C12-TODAY()&lt;30,TODAY()&lt;$C12)</formula>
    </cfRule>
  </conditionalFormatting>
  <conditionalFormatting sqref="D12">
    <cfRule type="cellIs" dxfId="200" priority="48" stopIfTrue="1" operator="lessThan">
      <formula>$B$2</formula>
    </cfRule>
  </conditionalFormatting>
  <conditionalFormatting sqref="C13:D13">
    <cfRule type="expression" dxfId="199" priority="45">
      <formula>AND($C13-TODAY()&lt;30,TODAY()&lt;$C13)</formula>
    </cfRule>
  </conditionalFormatting>
  <conditionalFormatting sqref="C13:D13">
    <cfRule type="cellIs" dxfId="198" priority="46" stopIfTrue="1" operator="lessThan">
      <formula>$B$2</formula>
    </cfRule>
  </conditionalFormatting>
  <conditionalFormatting sqref="D14">
    <cfRule type="expression" dxfId="197" priority="43">
      <formula>AND($C14-TODAY()&lt;30,TODAY()&lt;$C14)</formula>
    </cfRule>
  </conditionalFormatting>
  <conditionalFormatting sqref="D14">
    <cfRule type="cellIs" dxfId="196" priority="44" stopIfTrue="1" operator="lessThan">
      <formula>$B$2</formula>
    </cfRule>
  </conditionalFormatting>
  <conditionalFormatting sqref="G13">
    <cfRule type="cellIs" dxfId="195" priority="42" stopIfTrue="1" operator="lessThan">
      <formula>$B$2</formula>
    </cfRule>
  </conditionalFormatting>
  <conditionalFormatting sqref="B4:B11 F4:F11 B13 F13:F14">
    <cfRule type="cellIs" dxfId="194" priority="41" stopIfTrue="1" operator="equal">
      <formula>"已过期"</formula>
    </cfRule>
  </conditionalFormatting>
  <conditionalFormatting sqref="C7">
    <cfRule type="cellIs" dxfId="193" priority="38" stopIfTrue="1" operator="lessThan">
      <formula>$B$2</formula>
    </cfRule>
  </conditionalFormatting>
  <conditionalFormatting sqref="C7">
    <cfRule type="expression" dxfId="192" priority="37">
      <formula>AND($C7-TODAY()&lt;30,TODAY()&lt;$C7)</formula>
    </cfRule>
  </conditionalFormatting>
  <conditionalFormatting sqref="C8">
    <cfRule type="expression" dxfId="191" priority="35">
      <formula>AND($C8-TODAY()&lt;30,TODAY()&lt;$C8)</formula>
    </cfRule>
  </conditionalFormatting>
  <conditionalFormatting sqref="C8">
    <cfRule type="cellIs" dxfId="190" priority="36" stopIfTrue="1" operator="lessThan">
      <formula>$B$2</formula>
    </cfRule>
  </conditionalFormatting>
  <conditionalFormatting sqref="C11">
    <cfRule type="expression" dxfId="189" priority="33">
      <formula>AND($C11-TODAY()&lt;30,TODAY()&lt;$C11)</formula>
    </cfRule>
  </conditionalFormatting>
  <conditionalFormatting sqref="C11">
    <cfRule type="cellIs" dxfId="188" priority="34" stopIfTrue="1" operator="lessThan">
      <formula>$B$2</formula>
    </cfRule>
  </conditionalFormatting>
  <conditionalFormatting sqref="A16:C16">
    <cfRule type="cellIs" dxfId="187" priority="32" stopIfTrue="1" operator="equal">
      <formula>"已过期"</formula>
    </cfRule>
  </conditionalFormatting>
  <conditionalFormatting sqref="E16:G16">
    <cfRule type="cellIs" dxfId="186" priority="31" stopIfTrue="1" operator="equal">
      <formula>"已过期"</formula>
    </cfRule>
  </conditionalFormatting>
  <conditionalFormatting sqref="G11">
    <cfRule type="cellIs" dxfId="185" priority="30" stopIfTrue="1" operator="lessThan">
      <formula>$B$2</formula>
    </cfRule>
  </conditionalFormatting>
  <conditionalFormatting sqref="F12">
    <cfRule type="cellIs" dxfId="184" priority="29" stopIfTrue="1" operator="equal">
      <formula>"已过期"</formula>
    </cfRule>
  </conditionalFormatting>
  <conditionalFormatting sqref="G12">
    <cfRule type="cellIs" dxfId="183" priority="28" stopIfTrue="1" operator="lessThan">
      <formula>$B$2</formula>
    </cfRule>
  </conditionalFormatting>
  <conditionalFormatting sqref="C12">
    <cfRule type="cellIs" dxfId="182" priority="27" stopIfTrue="1" operator="lessThan">
      <formula>$B$2</formula>
    </cfRule>
  </conditionalFormatting>
  <conditionalFormatting sqref="C12">
    <cfRule type="expression" dxfId="181" priority="25">
      <formula>AND($C12-TODAY()&lt;30,TODAY()&lt;$C12)</formula>
    </cfRule>
  </conditionalFormatting>
  <conditionalFormatting sqref="C12">
    <cfRule type="cellIs" dxfId="180" priority="26" stopIfTrue="1" operator="lessThan">
      <formula>$B$2</formula>
    </cfRule>
  </conditionalFormatting>
  <conditionalFormatting sqref="B12">
    <cfRule type="cellIs" dxfId="179" priority="24" stopIfTrue="1" operator="equal">
      <formula>"已过期"</formula>
    </cfRule>
  </conditionalFormatting>
  <conditionalFormatting sqref="C9:C10">
    <cfRule type="expression" dxfId="178" priority="22">
      <formula>AND($C9-TODAY()&lt;30,TODAY()&lt;$C9)</formula>
    </cfRule>
  </conditionalFormatting>
  <conditionalFormatting sqref="C9:C10">
    <cfRule type="cellIs" dxfId="177" priority="23" stopIfTrue="1" operator="lessThan">
      <formula>$B$2</formula>
    </cfRule>
  </conditionalFormatting>
  <conditionalFormatting sqref="G21">
    <cfRule type="expression" dxfId="176" priority="20" stopIfTrue="1">
      <formula>AND(#REF!-TODAY()&lt;30,TODAY()&lt;#REF!)</formula>
    </cfRule>
  </conditionalFormatting>
  <conditionalFormatting sqref="G21">
    <cfRule type="cellIs" dxfId="175" priority="21" stopIfTrue="1" operator="lessThan">
      <formula>$B$2</formula>
    </cfRule>
  </conditionalFormatting>
  <conditionalFormatting sqref="C14">
    <cfRule type="expression" dxfId="174" priority="18">
      <formula>AND($C14-TODAY()&lt;30,TODAY()&lt;$C14)</formula>
    </cfRule>
  </conditionalFormatting>
  <conditionalFormatting sqref="C14">
    <cfRule type="cellIs" dxfId="173" priority="19" stopIfTrue="1" operator="lessThan">
      <formula>$B$2</formula>
    </cfRule>
  </conditionalFormatting>
  <conditionalFormatting sqref="C14">
    <cfRule type="expression" dxfId="172" priority="16">
      <formula>AND($C14-TODAY()&lt;30,TODAY()&lt;$C14)</formula>
    </cfRule>
  </conditionalFormatting>
  <conditionalFormatting sqref="C14">
    <cfRule type="cellIs" dxfId="171" priority="17" stopIfTrue="1" operator="lessThan">
      <formula>$B$2</formula>
    </cfRule>
  </conditionalFormatting>
  <conditionalFormatting sqref="B14">
    <cfRule type="cellIs" dxfId="170" priority="15" stopIfTrue="1" operator="equal">
      <formula>"已过期"</formula>
    </cfRule>
  </conditionalFormatting>
  <conditionalFormatting sqref="G14">
    <cfRule type="cellIs" dxfId="169" priority="14" stopIfTrue="1" operator="lessThan">
      <formula>$B$2</formula>
    </cfRule>
  </conditionalFormatting>
  <conditionalFormatting sqref="D15">
    <cfRule type="expression" dxfId="168" priority="12">
      <formula>AND($C15-TODAY()&lt;30,TODAY()&lt;$C15)</formula>
    </cfRule>
  </conditionalFormatting>
  <conditionalFormatting sqref="D15">
    <cfRule type="cellIs" dxfId="167" priority="13" stopIfTrue="1" operator="lessThan">
      <formula>$B$2</formula>
    </cfRule>
  </conditionalFormatting>
  <conditionalFormatting sqref="D15">
    <cfRule type="expression" dxfId="166" priority="10">
      <formula>AND($C15-TODAY()&lt;30,TODAY()&lt;$C15)</formula>
    </cfRule>
  </conditionalFormatting>
  <conditionalFormatting sqref="D15">
    <cfRule type="cellIs" dxfId="165" priority="11" stopIfTrue="1" operator="lessThan">
      <formula>$B$2</formula>
    </cfRule>
  </conditionalFormatting>
  <conditionalFormatting sqref="F15">
    <cfRule type="cellIs" dxfId="164" priority="9" stopIfTrue="1" operator="equal">
      <formula>"已过期"</formula>
    </cfRule>
  </conditionalFormatting>
  <conditionalFormatting sqref="C15">
    <cfRule type="expression" dxfId="163" priority="7">
      <formula>AND($C15-TODAY()&lt;30,TODAY()&lt;$C15)</formula>
    </cfRule>
  </conditionalFormatting>
  <conditionalFormatting sqref="C15">
    <cfRule type="cellIs" dxfId="162" priority="8" stopIfTrue="1" operator="lessThan">
      <formula>$B$2</formula>
    </cfRule>
  </conditionalFormatting>
  <conditionalFormatting sqref="C15">
    <cfRule type="expression" dxfId="161" priority="5">
      <formula>AND($C15-TODAY()&lt;30,TODAY()&lt;$C15)</formula>
    </cfRule>
  </conditionalFormatting>
  <conditionalFormatting sqref="C15">
    <cfRule type="cellIs" dxfId="160" priority="6" stopIfTrue="1" operator="lessThan">
      <formula>$B$2</formula>
    </cfRule>
  </conditionalFormatting>
  <conditionalFormatting sqref="B15">
    <cfRule type="cellIs" dxfId="159" priority="4" stopIfTrue="1" operator="equal">
      <formula>"已过期"</formula>
    </cfRule>
  </conditionalFormatting>
  <conditionalFormatting sqref="G15">
    <cfRule type="cellIs" dxfId="158" priority="3" stopIfTrue="1" operator="lessThan">
      <formula>$B$2</formula>
    </cfRule>
  </conditionalFormatting>
  <conditionalFormatting sqref="G20">
    <cfRule type="expression" dxfId="157" priority="1" stopIfTrue="1">
      <formula>AND(#REF!-TODAY()&lt;30,TODAY()&lt;#REF!)</formula>
    </cfRule>
  </conditionalFormatting>
  <conditionalFormatting sqref="G20">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分摊土地报告</vt:lpstr>
      <vt:lpstr>数据-取费表</vt:lpstr>
      <vt:lpstr>估价对象房地状况</vt:lpstr>
      <vt:lpstr>系统读取表</vt:lpstr>
      <vt:lpstr>规证</vt:lpstr>
      <vt:lpstr>结果表</vt:lpstr>
      <vt:lpstr>清单</vt:lpstr>
      <vt:lpstr>成本法</vt:lpstr>
      <vt:lpstr>土地比较法-住宅、综合 </vt:lpstr>
      <vt:lpstr>假设开发法</vt:lpstr>
      <vt:lpstr>土地案例</vt:lpstr>
      <vt:lpstr>成本法 (元)</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比较法-仓储</vt:lpstr>
      <vt:lpstr>仓储案例</vt:lpstr>
      <vt:lpstr>比较法-车位</vt:lpstr>
      <vt:lpstr>车库案例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'土地比较法-住宅、综合 '!Print_Area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'!套工交易情况</vt:lpstr>
      <vt:lpstr>套工交易情况</vt:lpstr>
      <vt:lpstr>套工土地级别</vt:lpstr>
      <vt:lpstr>套工用途</vt:lpstr>
      <vt:lpstr>套工宗地开发程度</vt:lpstr>
      <vt:lpstr>套工宗地形状</vt:lpstr>
      <vt:lpstr>'土地比较法-住宅、综合 '!套综道路等级</vt:lpstr>
      <vt:lpstr>套综道路等级</vt:lpstr>
      <vt:lpstr>'土地比较法-住宅、综合 '!套综工程地质条件</vt:lpstr>
      <vt:lpstr>套综工程地质条件</vt:lpstr>
      <vt:lpstr>'土地比较法-住宅、综合 '!套综交易情况</vt:lpstr>
      <vt:lpstr>套综交易情况</vt:lpstr>
      <vt:lpstr>'土地比较法-住宅、综合 '!套综临街宽度及深度</vt:lpstr>
      <vt:lpstr>套综临街宽度及深度</vt:lpstr>
      <vt:lpstr>'土地比较法-住宅、综合 '!套综土地级别</vt:lpstr>
      <vt:lpstr>套综土地级别</vt:lpstr>
      <vt:lpstr>'土地比较法-住宅、综合 '!套综用途</vt:lpstr>
      <vt:lpstr>套综用途</vt:lpstr>
      <vt:lpstr>'土地比较法-住宅、综合 '!套综宗地内开发程度</vt:lpstr>
      <vt:lpstr>套综宗地内开发程度</vt:lpstr>
      <vt:lpstr>'土地比较法-住宅、综合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2023-04-12T08:07:49Z</cp:lastPrinted>
  <dcterms:created xsi:type="dcterms:W3CDTF">2015-07-13T07:17:23Z</dcterms:created>
  <dcterms:modified xsi:type="dcterms:W3CDTF">2023-04-17T07:02:50Z</dcterms:modified>
</cp:coreProperties>
</file>