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 i="4" l="1"/>
  <c r="I13" i="3" l="1"/>
  <c r="H6" i="80" l="1"/>
  <c r="F19" i="6" l="1"/>
  <c r="H23" i="80" l="1"/>
  <c r="F23" i="80"/>
  <c r="H11" i="80"/>
  <c r="H10" i="80"/>
  <c r="D38" i="43"/>
  <c r="D37" i="43"/>
  <c r="U5" i="43" l="1"/>
  <c r="U4" i="43"/>
  <c r="U2" i="43"/>
  <c r="U3" i="43"/>
  <c r="Y6" i="1"/>
  <c r="J52" i="15"/>
  <c r="H7" i="80"/>
  <c r="H8" i="80"/>
  <c r="F12" i="80"/>
  <c r="N19"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U3" i="79" s="1"/>
  <c r="M5" i="79"/>
  <c r="P5" i="79" s="1"/>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B3" i="79" l="1"/>
  <c r="Y3" i="79"/>
  <c r="AC3" i="79"/>
  <c r="R10" i="79"/>
  <c r="T10" i="79"/>
  <c r="W10" i="79" s="1"/>
  <c r="V10" i="79"/>
  <c r="S11" i="79"/>
  <c r="U11" i="79"/>
  <c r="R12" i="79"/>
  <c r="T12" i="79"/>
  <c r="W12" i="79" s="1"/>
  <c r="V12" i="79"/>
  <c r="S13" i="79"/>
  <c r="U13" i="79"/>
  <c r="R14" i="79"/>
  <c r="T14" i="79"/>
  <c r="W14" i="79" s="1"/>
  <c r="V14" i="79"/>
  <c r="K3" i="79"/>
  <c r="O3" i="79"/>
  <c r="V3" i="79"/>
  <c r="N23" i="79"/>
  <c r="L3" i="79"/>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X38" i="71" s="1"/>
  <c r="Q37" i="71"/>
  <c r="F38" i="71" s="1"/>
  <c r="P37" i="71"/>
  <c r="AA37" i="71" s="1"/>
  <c r="O37" i="71"/>
  <c r="N37" i="71"/>
  <c r="X37" i="71" s="1"/>
  <c r="D37" i="71"/>
  <c r="Q36" i="71"/>
  <c r="P36" i="71"/>
  <c r="AA36" i="71" s="1"/>
  <c r="O36" i="71"/>
  <c r="N36" i="71"/>
  <c r="Q35" i="71"/>
  <c r="P35" i="71"/>
  <c r="AA31" i="71" s="1"/>
  <c r="O35" i="7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O29" i="71"/>
  <c r="Y25" i="71" s="1"/>
  <c r="Z25" i="71" s="1"/>
  <c r="N29" i="71"/>
  <c r="D29" i="71"/>
  <c r="O28" i="71"/>
  <c r="C28" i="71" s="1"/>
  <c r="N28" i="71"/>
  <c r="B28" i="71" s="1"/>
  <c r="B27" i="71" s="1"/>
  <c r="B26" i="71" s="1"/>
  <c r="B30" i="71"/>
  <c r="B31" i="71" s="1"/>
  <c r="B32" i="71" s="1"/>
  <c r="S32" i="71" s="1"/>
  <c r="E30" i="71"/>
  <c r="E31" i="71" s="1"/>
  <c r="E32" i="71" s="1"/>
  <c r="U32" i="71" s="1"/>
  <c r="B34" i="71"/>
  <c r="B35" i="71" s="1"/>
  <c r="B36" i="71" s="1"/>
  <c r="S36" i="71" s="1"/>
  <c r="B38" i="71"/>
  <c r="B39" i="71" s="1"/>
  <c r="B40" i="71" s="1"/>
  <c r="S40" i="71" s="1"/>
  <c r="E38" i="71"/>
  <c r="E39" i="71" s="1"/>
  <c r="E40" i="71" s="1"/>
  <c r="U40" i="71" s="1"/>
  <c r="N68" i="71"/>
  <c r="E34" i="71"/>
  <c r="E35" i="71" s="1"/>
  <c r="AA33" i="71"/>
  <c r="AA30" i="71"/>
  <c r="X32" i="71"/>
  <c r="Y33" i="71"/>
  <c r="Z33" i="71" s="1"/>
  <c r="X34" i="71"/>
  <c r="X35" i="71"/>
  <c r="X36" i="71"/>
  <c r="C38" i="71"/>
  <c r="C39" i="71" s="1"/>
  <c r="Y37" i="71"/>
  <c r="Z37" i="71" s="1"/>
  <c r="AB37" i="71"/>
  <c r="AA38" i="71"/>
  <c r="Y27" i="71"/>
  <c r="Z27" i="71" s="1"/>
  <c r="X27" i="71"/>
  <c r="C51" i="71"/>
  <c r="D51" i="71" s="1"/>
  <c r="P28" i="71"/>
  <c r="E28" i="71" s="1"/>
  <c r="E59" i="71"/>
  <c r="E60" i="71" s="1"/>
  <c r="U60" i="71" s="1"/>
  <c r="E67" i="71"/>
  <c r="E66" i="71" s="1"/>
  <c r="Q28" i="71"/>
  <c r="C55" i="71"/>
  <c r="D55" i="71" s="1"/>
  <c r="C59" i="71"/>
  <c r="D59" i="71" s="1"/>
  <c r="T68" i="71"/>
  <c r="O68" i="71"/>
  <c r="D68" i="71"/>
  <c r="C67" i="71"/>
  <c r="C66" i="71" s="1"/>
  <c r="Q68" i="71"/>
  <c r="E71" i="71"/>
  <c r="E70" i="71" s="1"/>
  <c r="C75" i="71"/>
  <c r="D75" i="71" s="1"/>
  <c r="D76" i="71"/>
  <c r="E79" i="71"/>
  <c r="E78" i="71" s="1"/>
  <c r="C83" i="71"/>
  <c r="D83" i="71" s="1"/>
  <c r="F28" i="71"/>
  <c r="F27" i="71" s="1"/>
  <c r="F26" i="71" s="1"/>
  <c r="AB26" i="71"/>
  <c r="AB28" i="71"/>
  <c r="AA3" i="71"/>
  <c r="AA28" i="71"/>
  <c r="O67" i="71"/>
  <c r="C82" i="71"/>
  <c r="D82" i="71" s="1"/>
  <c r="C74" i="71"/>
  <c r="D74" i="71" s="1"/>
  <c r="C56" i="71"/>
  <c r="D56" i="71" s="1"/>
  <c r="C52" i="71"/>
  <c r="D52" i="71" s="1"/>
  <c r="T5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E83" i="21"/>
  <c r="F83" i="21" s="1"/>
  <c r="S21" i="2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c r="F64" i="36" s="1"/>
  <c r="G64" i="36" s="1"/>
  <c r="J16" i="36"/>
  <c r="W16" i="36"/>
  <c r="D62" i="36"/>
  <c r="E62" i="36"/>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H23" i="35" s="1"/>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c r="AC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J35" i="34"/>
  <c r="H39" i="33"/>
  <c r="AB39" i="33" s="1"/>
  <c r="U33" i="33"/>
  <c r="S40" i="33"/>
  <c r="W33" i="33"/>
  <c r="W39" i="33"/>
  <c r="H39" i="37"/>
  <c r="AB39" i="37" s="1"/>
  <c r="F11" i="40"/>
  <c r="AA11" i="40" s="1"/>
  <c r="H11" i="40"/>
  <c r="AB11" i="40" s="1"/>
  <c r="W8" i="40"/>
  <c r="AC40" i="40"/>
  <c r="AA9" i="40"/>
  <c r="AC9" i="40"/>
  <c r="U9" i="40"/>
  <c r="S34" i="40"/>
  <c r="S40"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U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J36" i="37"/>
  <c r="AC36" i="37" s="1"/>
  <c r="J10" i="36"/>
  <c r="AC10" i="36" s="1"/>
  <c r="AB30" i="21"/>
  <c r="S11" i="36"/>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AZ520" i="3" s="1"/>
  <c r="BA518" i="3"/>
  <c r="BA516" i="3"/>
  <c r="AZ516" i="3" s="1"/>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BQ543" i="3"/>
  <c r="BL543" i="3" s="1"/>
  <c r="BQ541" i="3"/>
  <c r="BL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W14" i="37"/>
  <c r="AB28" i="37"/>
  <c r="U33" i="37"/>
  <c r="U39" i="37"/>
  <c r="W26" i="37"/>
  <c r="W47" i="34"/>
  <c r="AB13" i="34"/>
  <c r="AC36" i="34"/>
  <c r="AC31"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J11" i="39"/>
  <c r="W11" i="39" s="1"/>
  <c r="F11" i="39"/>
  <c r="AA11" i="39" s="1"/>
  <c r="G4" i="4"/>
  <c r="I4" i="4"/>
  <c r="F61" i="43"/>
  <c r="H64" i="43" s="1"/>
  <c r="BL549" i="3"/>
  <c r="AZ549" i="3" s="1"/>
  <c r="AZ502" i="3"/>
  <c r="AZ514" i="3"/>
  <c r="AZ522" i="3"/>
  <c r="AZ546"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AZ168" i="3" s="1"/>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AZ203" i="3" s="1"/>
  <c r="BL204" i="3"/>
  <c r="AZ55" i="3"/>
  <c r="AZ59" i="3"/>
  <c r="AZ63" i="3"/>
  <c r="AZ75" i="3"/>
  <c r="AZ79" i="3"/>
  <c r="AZ176" i="3"/>
  <c r="AZ89"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s="1"/>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AZ390" i="3" s="1"/>
  <c r="BL390" i="3"/>
  <c r="G391" i="3"/>
  <c r="G394" i="3"/>
  <c r="AZ158" i="3"/>
  <c r="AZ162" i="3"/>
  <c r="AZ166" i="3"/>
  <c r="BA16" i="3"/>
  <c r="BL303" i="3"/>
  <c r="G304" i="3"/>
  <c r="BA306" i="3"/>
  <c r="AZ306" i="3" s="1"/>
  <c r="BL307" i="3"/>
  <c r="G308" i="3"/>
  <c r="BA310" i="3"/>
  <c r="BL311" i="3"/>
  <c r="G312" i="3"/>
  <c r="BA314" i="3"/>
  <c r="AZ314" i="3" s="1"/>
  <c r="BL315" i="3"/>
  <c r="AZ315" i="3" s="1"/>
  <c r="G316" i="3"/>
  <c r="BA318" i="3"/>
  <c r="BL319" i="3"/>
  <c r="G320" i="3"/>
  <c r="BA322" i="3"/>
  <c r="BL323" i="3"/>
  <c r="G324" i="3"/>
  <c r="BA326" i="3"/>
  <c r="BL327" i="3"/>
  <c r="G328" i="3"/>
  <c r="BA330" i="3"/>
  <c r="BL331" i="3"/>
  <c r="AZ331" i="3" s="1"/>
  <c r="G332" i="3"/>
  <c r="BA334" i="3"/>
  <c r="AZ334" i="3" s="1"/>
  <c r="BL335" i="3"/>
  <c r="G336" i="3"/>
  <c r="BA338" i="3"/>
  <c r="BL339" i="3"/>
  <c r="G340" i="3"/>
  <c r="BL343" i="3"/>
  <c r="G344" i="3"/>
  <c r="G348" i="3"/>
  <c r="G355" i="3"/>
  <c r="AZ209" i="3"/>
  <c r="G342" i="3"/>
  <c r="BL345" i="3"/>
  <c r="AZ345" i="3" s="1"/>
  <c r="G346" i="3"/>
  <c r="BL349" i="3"/>
  <c r="BL352" i="3"/>
  <c r="G353" i="3"/>
  <c r="BA357" i="3"/>
  <c r="AZ357" i="3" s="1"/>
  <c r="BL358" i="3"/>
  <c r="G359" i="3"/>
  <c r="BA361" i="3"/>
  <c r="AZ361" i="3"/>
  <c r="BL362" i="3"/>
  <c r="G363" i="3"/>
  <c r="BA365" i="3"/>
  <c r="BL366" i="3"/>
  <c r="G367" i="3"/>
  <c r="BA369" i="3"/>
  <c r="AZ369" i="3" s="1"/>
  <c r="BL370" i="3"/>
  <c r="G371" i="3"/>
  <c r="BA373" i="3"/>
  <c r="AZ373" i="3" s="1"/>
  <c r="BL374" i="3"/>
  <c r="G375" i="3"/>
  <c r="BA377" i="3"/>
  <c r="AZ377" i="3" s="1"/>
  <c r="AZ249" i="3"/>
  <c r="AZ253" i="3"/>
  <c r="AZ269" i="3"/>
  <c r="AZ273" i="3"/>
  <c r="BA379" i="3"/>
  <c r="AZ379" i="3" s="1"/>
  <c r="BL380" i="3"/>
  <c r="AZ380" i="3" s="1"/>
  <c r="G381" i="3"/>
  <c r="BA383" i="3"/>
  <c r="AZ383" i="3" s="1"/>
  <c r="BL384" i="3"/>
  <c r="G385" i="3"/>
  <c r="BA387" i="3"/>
  <c r="BL388" i="3"/>
  <c r="G389" i="3"/>
  <c r="BA391" i="3"/>
  <c r="BL392" i="3"/>
  <c r="G393" i="3"/>
  <c r="AZ275" i="3"/>
  <c r="BO5" i="3"/>
  <c r="BM5" i="3"/>
  <c r="BJ5" i="3"/>
  <c r="BH5" i="3"/>
  <c r="BF5" i="3"/>
  <c r="BD5" i="3"/>
  <c r="AZ309" i="3"/>
  <c r="AZ333" i="3"/>
  <c r="BQ5" i="3"/>
  <c r="AZ506" i="3"/>
  <c r="AZ496" i="3"/>
  <c r="G548" i="3"/>
  <c r="G538" i="3"/>
  <c r="G520" i="3"/>
  <c r="G502" i="3"/>
  <c r="BS5" i="3"/>
  <c r="BP5" i="3"/>
  <c r="BN5" i="3"/>
  <c r="BK5" i="3"/>
  <c r="BI5" i="3"/>
  <c r="BG5" i="3"/>
  <c r="BE5" i="3"/>
  <c r="BC5" i="3"/>
  <c r="G17" i="3"/>
  <c r="BA17" i="3"/>
  <c r="BT5" i="3"/>
  <c r="AZ364" i="3"/>
  <c r="BA15" i="3"/>
  <c r="BR5" i="3"/>
  <c r="G509" i="3"/>
  <c r="U36" i="40"/>
  <c r="F83" i="43"/>
  <c r="H85" i="43" s="1"/>
  <c r="F50" i="43"/>
  <c r="H54" i="43" s="1"/>
  <c r="G54" i="43" s="1"/>
  <c r="F72" i="43"/>
  <c r="H75" i="43" s="1"/>
  <c r="U17" i="39"/>
  <c r="S14" i="35"/>
  <c r="U43" i="21"/>
  <c r="U35" i="21"/>
  <c r="AC35" i="21"/>
  <c r="G8" i="1"/>
  <c r="G10" i="1"/>
  <c r="AC11" i="39"/>
  <c r="W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AC29" i="35"/>
  <c r="W29" i="35"/>
  <c r="H35" i="37"/>
  <c r="U35" i="37" s="1"/>
  <c r="AC14" i="35"/>
  <c r="H20" i="35"/>
  <c r="U20" i="35"/>
  <c r="F20" i="35"/>
  <c r="AA20" i="35" s="1"/>
  <c r="AB23" i="35"/>
  <c r="AB29" i="36"/>
  <c r="U29" i="36"/>
  <c r="H32" i="37"/>
  <c r="AB32"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86" i="3"/>
  <c r="C40" i="11"/>
  <c r="AZ251" i="3"/>
  <c r="AZ256" i="3"/>
  <c r="AZ268" i="3"/>
  <c r="AZ271" i="3"/>
  <c r="AZ58" i="3"/>
  <c r="AZ61" i="3"/>
  <c r="AZ77"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AZ473" i="3"/>
  <c r="F28" i="6"/>
  <c r="BL14" i="3"/>
  <c r="AZ266" i="3"/>
  <c r="AC13" i="34"/>
  <c r="W28" i="37"/>
  <c r="S19" i="39"/>
  <c r="F12" i="33"/>
  <c r="AA12" i="33" s="1"/>
  <c r="H12" i="39"/>
  <c r="AB12" i="39" s="1"/>
  <c r="F39" i="40"/>
  <c r="S39" i="40" s="1"/>
  <c r="BA14" i="3"/>
  <c r="AZ14" i="3" s="1"/>
  <c r="AZ254" i="3"/>
  <c r="AZ157" i="3"/>
  <c r="B12" i="1"/>
  <c r="E12" i="1" s="1"/>
  <c r="B10" i="1"/>
  <c r="E10" i="1" s="1"/>
  <c r="K12" i="1"/>
  <c r="M12" i="1" s="1"/>
  <c r="S13" i="1"/>
  <c r="AR13" i="1" s="1"/>
  <c r="R13" i="1"/>
  <c r="J51" i="67"/>
  <c r="C42" i="1"/>
  <c r="C24" i="12" s="1"/>
  <c r="AC34" i="33"/>
  <c r="B41" i="1"/>
  <c r="F48" i="9" s="1"/>
  <c r="O52" i="9" s="1"/>
  <c r="AB37" i="40"/>
  <c r="S35" i="40"/>
  <c r="AC36" i="40"/>
  <c r="S17" i="40"/>
  <c r="S23" i="40"/>
  <c r="AC17" i="40"/>
  <c r="AC15" i="40"/>
  <c r="S30" i="40"/>
  <c r="AA19" i="40"/>
  <c r="S28" i="40"/>
  <c r="AB19" i="40"/>
  <c r="U37" i="39"/>
  <c r="S43" i="39"/>
  <c r="S37" i="39"/>
  <c r="U35" i="39"/>
  <c r="F32" i="39"/>
  <c r="F106" i="39"/>
  <c r="G106" i="39" s="1"/>
  <c r="H106" i="39" s="1"/>
  <c r="I106" i="39" s="1"/>
  <c r="J106" i="39" s="1"/>
  <c r="K106" i="39" s="1"/>
  <c r="L106" i="39" s="1"/>
  <c r="M106" i="39" s="1"/>
  <c r="AB27" i="39"/>
  <c r="U31" i="39"/>
  <c r="J21" i="39"/>
  <c r="W21" i="39" s="1"/>
  <c r="F21" i="39"/>
  <c r="S21" i="39" s="1"/>
  <c r="G94" i="39"/>
  <c r="H21" i="39"/>
  <c r="U21" i="39" s="1"/>
  <c r="W19" i="39"/>
  <c r="U19" i="39"/>
  <c r="S17" i="39"/>
  <c r="S15" i="39"/>
  <c r="AA12" i="39"/>
  <c r="S9" i="39"/>
  <c r="U14" i="39"/>
  <c r="U12" i="39"/>
  <c r="U26" i="36"/>
  <c r="S33" i="36"/>
  <c r="AA26" i="36"/>
  <c r="AA34" i="36"/>
  <c r="AC26" i="36"/>
  <c r="W14" i="36"/>
  <c r="U22" i="36"/>
  <c r="S16" i="36"/>
  <c r="AA25" i="36"/>
  <c r="S24" i="36"/>
  <c r="AB20" i="36"/>
  <c r="U16" i="36"/>
  <c r="S14" i="36"/>
  <c r="S23" i="35"/>
  <c r="W24" i="35"/>
  <c r="AB13" i="35"/>
  <c r="U29" i="35"/>
  <c r="U28" i="35"/>
  <c r="AB27" i="35"/>
  <c r="U32" i="35"/>
  <c r="AA33" i="35"/>
  <c r="AC30" i="35"/>
  <c r="S32" i="35"/>
  <c r="AA36" i="35"/>
  <c r="S28" i="35"/>
  <c r="AB16" i="35"/>
  <c r="U22" i="35"/>
  <c r="S20" i="35"/>
  <c r="AC20" i="35"/>
  <c r="S22" i="35"/>
  <c r="U14" i="35"/>
  <c r="AC9" i="35"/>
  <c r="W9" i="35"/>
  <c r="AC12" i="35"/>
  <c r="W13" i="35"/>
  <c r="F9" i="35"/>
  <c r="S9" i="35" s="1"/>
  <c r="H9" i="35"/>
  <c r="U9" i="35" s="1"/>
  <c r="AB40" i="37"/>
  <c r="AC29" i="37"/>
  <c r="U29" i="37"/>
  <c r="AB31" i="37"/>
  <c r="W30" i="37"/>
  <c r="S36" i="37"/>
  <c r="U32" i="37"/>
  <c r="W38" i="37"/>
  <c r="AC35" i="37"/>
  <c r="W39" i="37"/>
  <c r="S30" i="37"/>
  <c r="AC15" i="37"/>
  <c r="J17" i="37"/>
  <c r="W17" i="37" s="1"/>
  <c r="G73" i="37"/>
  <c r="F17" i="37"/>
  <c r="AA17" i="37" s="1"/>
  <c r="F75" i="37"/>
  <c r="G75" i="37" s="1"/>
  <c r="F19" i="37"/>
  <c r="F79" i="37"/>
  <c r="G79" i="37" s="1"/>
  <c r="F23" i="37"/>
  <c r="S23" i="37"/>
  <c r="U15" i="37"/>
  <c r="AC13" i="37"/>
  <c r="AA13" i="37"/>
  <c r="H10" i="37"/>
  <c r="AB10" i="37" s="1"/>
  <c r="F63" i="37"/>
  <c r="F11" i="37"/>
  <c r="S11" i="37" s="1"/>
  <c r="S27" i="34"/>
  <c r="W25" i="34"/>
  <c r="AB8" i="34"/>
  <c r="U44" i="34"/>
  <c r="U43" i="34"/>
  <c r="AC39" i="34"/>
  <c r="AC42" i="34"/>
  <c r="AB35" i="34"/>
  <c r="U39" i="34"/>
  <c r="AB41" i="34"/>
  <c r="AA45" i="34"/>
  <c r="AA25"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U27" i="33" s="1"/>
  <c r="F87" i="33"/>
  <c r="G87" i="33" s="1"/>
  <c r="H87" i="33" s="1"/>
  <c r="I87" i="33" s="1"/>
  <c r="J87" i="33" s="1"/>
  <c r="K87" i="33" s="1"/>
  <c r="L87" i="33" s="1"/>
  <c r="M87" i="33" s="1"/>
  <c r="H25" i="33"/>
  <c r="AB25" i="33" s="1"/>
  <c r="F25" i="33"/>
  <c r="S25" i="33" s="1"/>
  <c r="J23" i="33"/>
  <c r="AC23" i="33" s="1"/>
  <c r="F85" i="33"/>
  <c r="G85" i="33" s="1"/>
  <c r="H23" i="33"/>
  <c r="U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23" i="21"/>
  <c r="S23" i="21" s="1"/>
  <c r="E85" i="21"/>
  <c r="F85" i="21" s="1"/>
  <c r="G85" i="21" s="1"/>
  <c r="AA14" i="21"/>
  <c r="C18" i="9"/>
  <c r="D18" i="9" s="1"/>
  <c r="F34" i="67"/>
  <c r="F62" i="67" s="1"/>
  <c r="M20" i="67"/>
  <c r="F34" i="15"/>
  <c r="F62" i="15" s="1"/>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U25" i="36"/>
  <c r="AB28" i="36"/>
  <c r="AA13"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s="1"/>
  <c r="F29" i="21"/>
  <c r="S29" i="21" s="1"/>
  <c r="F13" i="21"/>
  <c r="AA13" i="21" s="1"/>
  <c r="AC38" i="21"/>
  <c r="H32" i="21"/>
  <c r="U32" i="21" s="1"/>
  <c r="H9" i="21"/>
  <c r="U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12" i="33"/>
  <c r="D68" i="9"/>
  <c r="J32" i="39"/>
  <c r="AC32" i="39" s="1"/>
  <c r="H32" i="39"/>
  <c r="AB32" i="39" s="1"/>
  <c r="AA32" i="39"/>
  <c r="S32" i="39"/>
  <c r="AB21" i="39"/>
  <c r="AA21" i="39"/>
  <c r="AC17" i="37"/>
  <c r="J19" i="37"/>
  <c r="W19" i="37" s="1"/>
  <c r="S19" i="37"/>
  <c r="AA19" i="37"/>
  <c r="AA23" i="37"/>
  <c r="J23" i="37"/>
  <c r="AC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J36" i="33"/>
  <c r="W36" i="33" s="1"/>
  <c r="H36" i="33"/>
  <c r="U36" i="33" s="1"/>
  <c r="S36" i="33"/>
  <c r="W32" i="33"/>
  <c r="AB27" i="33"/>
  <c r="J27" i="33"/>
  <c r="AC27" i="33" s="1"/>
  <c r="U25" i="33"/>
  <c r="AA25" i="33"/>
  <c r="J25" i="33"/>
  <c r="AB23" i="33"/>
  <c r="F23" i="33"/>
  <c r="S23" i="33" s="1"/>
  <c r="W23" i="33"/>
  <c r="H19" i="33"/>
  <c r="U19" i="33" s="1"/>
  <c r="G81" i="33"/>
  <c r="H17" i="33"/>
  <c r="U17" i="33" s="1"/>
  <c r="F17" i="33"/>
  <c r="S17" i="33" s="1"/>
  <c r="W17" i="33"/>
  <c r="S37" i="21"/>
  <c r="AB15" i="21"/>
  <c r="J23" i="21"/>
  <c r="W23" i="21" s="1"/>
  <c r="H23" i="21"/>
  <c r="U23" i="21" s="1"/>
  <c r="AP7" i="1"/>
  <c r="AB9" i="21"/>
  <c r="AA32" i="21"/>
  <c r="W9" i="21"/>
  <c r="AB32" i="21"/>
  <c r="U32" i="39"/>
  <c r="W32" i="39"/>
  <c r="W23" i="37"/>
  <c r="J11" i="37"/>
  <c r="AC11" i="37" s="1"/>
  <c r="J11" i="34"/>
  <c r="W11" i="34" s="1"/>
  <c r="AB36" i="33"/>
  <c r="W27" i="33"/>
  <c r="W25" i="33"/>
  <c r="AC25" i="33"/>
  <c r="AB19" i="33"/>
  <c r="AA17" i="33"/>
  <c r="AC23" i="21"/>
  <c r="H109" i="9"/>
  <c r="H112" i="9"/>
  <c r="D21" i="53" s="1"/>
  <c r="B39" i="72" s="1"/>
  <c r="H111" i="9"/>
  <c r="D126" i="9" s="1"/>
  <c r="AD3" i="71"/>
  <c r="J1" i="7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J15" i="15"/>
  <c r="B12" i="76"/>
  <c r="F40" i="15"/>
  <c r="E12" i="76"/>
  <c r="C76" i="67"/>
  <c r="F37" i="15"/>
  <c r="F42" i="15"/>
  <c r="F40" i="67"/>
  <c r="M6" i="67"/>
  <c r="E2" i="69"/>
  <c r="D34" i="9"/>
  <c r="F38" i="15"/>
  <c r="B13" i="76"/>
  <c r="B10" i="76"/>
  <c r="F13" i="15"/>
  <c r="F26" i="15"/>
  <c r="B8" i="76"/>
  <c r="E8" i="76"/>
  <c r="E7" i="76"/>
  <c r="B9" i="76"/>
  <c r="M9" i="15"/>
  <c r="D7" i="73"/>
  <c r="F20" i="31"/>
  <c r="B7" i="76"/>
  <c r="E13" i="76"/>
  <c r="E2" i="68"/>
  <c r="D4" i="73"/>
  <c r="F8" i="67"/>
  <c r="F9" i="67"/>
  <c r="F3" i="73"/>
  <c r="E9" i="76"/>
  <c r="M26" i="67"/>
  <c r="L47" i="15"/>
  <c r="AO13" i="1"/>
  <c r="F43" i="67"/>
  <c r="M29" i="15"/>
  <c r="F7" i="73"/>
  <c r="E10" i="76"/>
  <c r="F16" i="15"/>
  <c r="F26" i="67"/>
  <c r="F43" i="15"/>
  <c r="F9" i="15"/>
  <c r="L47" i="67"/>
  <c r="B11" i="76"/>
  <c r="D35" i="9"/>
  <c r="M8" i="15"/>
  <c r="M8" i="67"/>
  <c r="D6" i="73"/>
  <c r="E11" i="76"/>
  <c r="F6" i="73"/>
  <c r="F4" i="73"/>
  <c r="F7" i="15"/>
  <c r="F5" i="73"/>
  <c r="AB43" i="33" l="1"/>
  <c r="U43" i="33"/>
  <c r="AZ500" i="3"/>
  <c r="S45" i="33"/>
  <c r="AC13" i="36"/>
  <c r="AB40" i="40"/>
  <c r="U40" i="40"/>
  <c r="AB23" i="21"/>
  <c r="AC19" i="37"/>
  <c r="AB45" i="21"/>
  <c r="S13" i="21"/>
  <c r="AA19" i="33"/>
  <c r="S17" i="37"/>
  <c r="AA29" i="21"/>
  <c r="G29" i="6"/>
  <c r="AZ387" i="3"/>
  <c r="AZ338" i="3"/>
  <c r="AZ327" i="3"/>
  <c r="AZ382" i="3"/>
  <c r="AZ356" i="3"/>
  <c r="AZ347" i="3"/>
  <c r="AZ344" i="3"/>
  <c r="AZ342" i="3"/>
  <c r="AZ336" i="3"/>
  <c r="S14" i="37"/>
  <c r="AA14" i="37"/>
  <c r="W30" i="34"/>
  <c r="AC30" i="34"/>
  <c r="U31" i="33"/>
  <c r="AB31" i="33"/>
  <c r="W28" i="21"/>
  <c r="AC28" i="21"/>
  <c r="W12" i="34"/>
  <c r="AC12" i="34"/>
  <c r="BL398" i="3"/>
  <c r="G399" i="3"/>
  <c r="BL400" i="3"/>
  <c r="G403" i="3"/>
  <c r="G405" i="3"/>
  <c r="BL420" i="3"/>
  <c r="G421" i="3"/>
  <c r="BA422" i="3"/>
  <c r="BL422" i="3"/>
  <c r="G423" i="3"/>
  <c r="BL424" i="3"/>
  <c r="BA440" i="3"/>
  <c r="BL440" i="3"/>
  <c r="BA442" i="3"/>
  <c r="AZ442" i="3" s="1"/>
  <c r="BA443" i="3"/>
  <c r="AZ443" i="3" s="1"/>
  <c r="BL443" i="3"/>
  <c r="BA444" i="3"/>
  <c r="AZ444" i="3" s="1"/>
  <c r="BA446" i="3"/>
  <c r="AZ446" i="3" s="1"/>
  <c r="G449" i="3"/>
  <c r="BA450" i="3"/>
  <c r="BL450" i="3"/>
  <c r="G451" i="3"/>
  <c r="BL452" i="3"/>
  <c r="G453" i="3"/>
  <c r="BA454" i="3"/>
  <c r="BL454" i="3"/>
  <c r="G455" i="3"/>
  <c r="BL456" i="3"/>
  <c r="G459" i="3"/>
  <c r="G461" i="3"/>
  <c r="G463" i="3"/>
  <c r="BA464" i="3"/>
  <c r="G465" i="3"/>
  <c r="BL466" i="3"/>
  <c r="G477" i="3"/>
  <c r="G479" i="3"/>
  <c r="BA480" i="3"/>
  <c r="G481" i="3"/>
  <c r="BA482" i="3"/>
  <c r="G483" i="3"/>
  <c r="BA484" i="3"/>
  <c r="AZ484" i="3" s="1"/>
  <c r="BL484" i="3"/>
  <c r="BA485" i="3"/>
  <c r="AZ485" i="3" s="1"/>
  <c r="BA487" i="3"/>
  <c r="AZ487" i="3" s="1"/>
  <c r="BL489" i="3"/>
  <c r="G490" i="3"/>
  <c r="BL491" i="3"/>
  <c r="G492" i="3"/>
  <c r="BA348" i="3"/>
  <c r="G349" i="3"/>
  <c r="BA350" i="3"/>
  <c r="AZ350" i="3" s="1"/>
  <c r="BL350" i="3"/>
  <c r="BA353" i="3"/>
  <c r="AZ353" i="3" s="1"/>
  <c r="G358" i="3"/>
  <c r="BL359" i="3"/>
  <c r="AZ359" i="3" s="1"/>
  <c r="G362" i="3"/>
  <c r="BA368" i="3"/>
  <c r="G369" i="3"/>
  <c r="BA370" i="3"/>
  <c r="AZ370" i="3" s="1"/>
  <c r="BA374" i="3"/>
  <c r="AZ374" i="3" s="1"/>
  <c r="G213" i="3"/>
  <c r="G215" i="3"/>
  <c r="BA218" i="3"/>
  <c r="G219" i="3"/>
  <c r="BA220" i="3"/>
  <c r="BL220" i="3"/>
  <c r="BA221" i="3"/>
  <c r="AZ221" i="3" s="1"/>
  <c r="BA222" i="3"/>
  <c r="AZ222" i="3" s="1"/>
  <c r="BA223" i="3"/>
  <c r="AZ223" i="3" s="1"/>
  <c r="BA224" i="3"/>
  <c r="AZ224" i="3" s="1"/>
  <c r="BL226" i="3"/>
  <c r="G227" i="3"/>
  <c r="BA228" i="3"/>
  <c r="BL228" i="3"/>
  <c r="BL230" i="3"/>
  <c r="G231" i="3"/>
  <c r="BA232" i="3"/>
  <c r="G233" i="3"/>
  <c r="BA234" i="3"/>
  <c r="G235" i="3"/>
  <c r="BL236" i="3"/>
  <c r="BL238" i="3"/>
  <c r="G241" i="3"/>
  <c r="G245" i="3"/>
  <c r="G286" i="3"/>
  <c r="G288" i="3"/>
  <c r="G294" i="3"/>
  <c r="BL295" i="3"/>
  <c r="BL297" i="3"/>
  <c r="G300" i="3"/>
  <c r="BA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L134" i="3"/>
  <c r="BA136" i="3"/>
  <c r="AZ136" i="3" s="1"/>
  <c r="BL138" i="3"/>
  <c r="D66" i="71"/>
  <c r="O65" i="71"/>
  <c r="O66" i="71"/>
  <c r="AZ537" i="3"/>
  <c r="AZ541" i="3"/>
  <c r="AZ545" i="3"/>
  <c r="AZ510" i="3"/>
  <c r="AA29" i="35"/>
  <c r="S15" i="34"/>
  <c r="AA12" i="36"/>
  <c r="C21" i="39"/>
  <c r="C25" i="39"/>
  <c r="S27" i="35"/>
  <c r="F26" i="33"/>
  <c r="AA26" i="33" s="1"/>
  <c r="U34" i="34"/>
  <c r="B73" i="43"/>
  <c r="B79" i="43"/>
  <c r="B76" i="43"/>
  <c r="B75" i="43"/>
  <c r="F12" i="34"/>
  <c r="F12" i="35"/>
  <c r="J36" i="35"/>
  <c r="J9" i="36"/>
  <c r="G558" i="3"/>
  <c r="G552" i="3"/>
  <c r="BA411" i="3"/>
  <c r="BL411" i="3"/>
  <c r="BL413" i="3"/>
  <c r="G414" i="3"/>
  <c r="BL415" i="3"/>
  <c r="G418" i="3"/>
  <c r="G430" i="3"/>
  <c r="BL431" i="3"/>
  <c r="G434" i="3"/>
  <c r="BA140" i="3"/>
  <c r="AZ140" i="3" s="1"/>
  <c r="BL142" i="3"/>
  <c r="BA144" i="3"/>
  <c r="AZ144" i="3" s="1"/>
  <c r="BL146" i="3"/>
  <c r="BA148" i="3"/>
  <c r="AZ148" i="3" s="1"/>
  <c r="G151" i="3"/>
  <c r="G170" i="3"/>
  <c r="BL173" i="3"/>
  <c r="G176" i="3"/>
  <c r="BL177" i="3"/>
  <c r="G182" i="3"/>
  <c r="BA185" i="3"/>
  <c r="G186" i="3"/>
  <c r="BL187" i="3"/>
  <c r="AZ187" i="3" s="1"/>
  <c r="BL189" i="3"/>
  <c r="G190" i="3"/>
  <c r="G192" i="3"/>
  <c r="BL193" i="3"/>
  <c r="G194" i="3"/>
  <c r="G196" i="3"/>
  <c r="BA197" i="3"/>
  <c r="AZ197" i="3" s="1"/>
  <c r="BL197" i="3"/>
  <c r="BL199" i="3"/>
  <c r="AZ199" i="3" s="1"/>
  <c r="G200" i="3"/>
  <c r="BA202" i="3"/>
  <c r="AZ202" i="3" s="1"/>
  <c r="BL202" i="3"/>
  <c r="BA204" i="3"/>
  <c r="AZ204" i="3" s="1"/>
  <c r="BA205" i="3"/>
  <c r="AZ205" i="3" s="1"/>
  <c r="BA206" i="3"/>
  <c r="AZ206" i="3" s="1"/>
  <c r="BL18" i="3"/>
  <c r="G19" i="3"/>
  <c r="BL20" i="3"/>
  <c r="G21" i="3"/>
  <c r="BA22" i="3"/>
  <c r="BL22" i="3"/>
  <c r="BA23" i="3"/>
  <c r="AZ23" i="3" s="1"/>
  <c r="BA24" i="3"/>
  <c r="AZ24" i="3" s="1"/>
  <c r="BA26" i="3"/>
  <c r="BL26" i="3"/>
  <c r="BA27" i="3"/>
  <c r="AZ27" i="3" s="1"/>
  <c r="BA28" i="3"/>
  <c r="AZ28" i="3" s="1"/>
  <c r="BA29" i="3"/>
  <c r="AZ29" i="3" s="1"/>
  <c r="BA31" i="3"/>
  <c r="AZ31" i="3" s="1"/>
  <c r="BL31" i="3"/>
  <c r="BA33" i="3"/>
  <c r="AZ33" i="3" s="1"/>
  <c r="BL33" i="3"/>
  <c r="G34" i="3"/>
  <c r="BA35" i="3"/>
  <c r="G36" i="3"/>
  <c r="BL37" i="3"/>
  <c r="G38" i="3"/>
  <c r="BA39" i="3"/>
  <c r="G40" i="3"/>
  <c r="BL41" i="3"/>
  <c r="BL43" i="3"/>
  <c r="G46" i="3"/>
  <c r="BL47" i="3"/>
  <c r="G69" i="3"/>
  <c r="G96" i="3"/>
  <c r="BL97" i="3"/>
  <c r="G102" i="3"/>
  <c r="AC21" i="33"/>
  <c r="C29" i="39"/>
  <c r="B68" i="43"/>
  <c r="B77" i="43"/>
  <c r="D67" i="71"/>
  <c r="AA26" i="71"/>
  <c r="X25" i="71"/>
  <c r="AA29" i="71"/>
  <c r="Y35" i="71"/>
  <c r="Z35" i="71" s="1"/>
  <c r="Y36" i="71"/>
  <c r="Z36" i="71" s="1"/>
  <c r="AB36" i="71"/>
  <c r="E55" i="71"/>
  <c r="E56" i="71" s="1"/>
  <c r="U56" i="71" s="1"/>
  <c r="B67" i="71"/>
  <c r="AB13" i="21"/>
  <c r="U13" i="21"/>
  <c r="AB36" i="35"/>
  <c r="U36" i="35"/>
  <c r="AB9" i="36"/>
  <c r="U9" i="36"/>
  <c r="W33" i="40"/>
  <c r="AC33" i="40"/>
  <c r="AZ499" i="3"/>
  <c r="S12" i="21"/>
  <c r="AA12" i="21"/>
  <c r="U27" i="37"/>
  <c r="AB27" i="37"/>
  <c r="H69" i="43"/>
  <c r="AB17" i="33"/>
  <c r="AA23" i="21"/>
  <c r="F54" i="9"/>
  <c r="F28" i="15"/>
  <c r="F32" i="15"/>
  <c r="F60" i="15" s="1"/>
  <c r="F32" i="67"/>
  <c r="F60" i="67" s="1"/>
  <c r="F52" i="9"/>
  <c r="F28" i="67"/>
  <c r="F30" i="68"/>
  <c r="F48" i="68" s="1"/>
  <c r="AC37" i="33"/>
  <c r="U19" i="34"/>
  <c r="AA40" i="34"/>
  <c r="AC20" i="36"/>
  <c r="S20" i="36"/>
  <c r="S23" i="39"/>
  <c r="S31" i="40"/>
  <c r="AB31" i="40"/>
  <c r="AZ17" i="3"/>
  <c r="D120" i="9"/>
  <c r="S43" i="33"/>
  <c r="U42" i="33"/>
  <c r="U28" i="34"/>
  <c r="S43" i="34"/>
  <c r="W41" i="34"/>
  <c r="AA33" i="34"/>
  <c r="U23" i="37"/>
  <c r="AB17" i="37"/>
  <c r="S37" i="37"/>
  <c r="AA38" i="37"/>
  <c r="W27" i="37"/>
  <c r="AA11" i="35"/>
  <c r="AA25" i="35"/>
  <c r="AB14" i="36"/>
  <c r="AA22" i="36"/>
  <c r="U13" i="36"/>
  <c r="AC13" i="39"/>
  <c r="U25" i="39"/>
  <c r="U21" i="40"/>
  <c r="AA32" i="40"/>
  <c r="U35" i="40"/>
  <c r="AA34" i="33"/>
  <c r="AA47" i="34"/>
  <c r="U30" i="33"/>
  <c r="AA39" i="34"/>
  <c r="U13" i="37"/>
  <c r="W37" i="37"/>
  <c r="AC5" i="3"/>
  <c r="AZ343" i="3"/>
  <c r="AZ326" i="3"/>
  <c r="AZ318" i="3"/>
  <c r="AZ310" i="3"/>
  <c r="AZ355" i="3"/>
  <c r="AZ351" i="3"/>
  <c r="AZ313" i="3"/>
  <c r="AZ304" i="3"/>
  <c r="AZ394" i="3"/>
  <c r="S11" i="39"/>
  <c r="AC45" i="33"/>
  <c r="AA13" i="33"/>
  <c r="U14" i="40"/>
  <c r="AZ508" i="3"/>
  <c r="AZ511" i="3"/>
  <c r="AZ515" i="3"/>
  <c r="AZ519" i="3"/>
  <c r="AZ565" i="3"/>
  <c r="AZ569" i="3"/>
  <c r="AZ573" i="3"/>
  <c r="AZ577" i="3"/>
  <c r="AZ518" i="3"/>
  <c r="AZ538" i="3"/>
  <c r="AZ552" i="3"/>
  <c r="AB26" i="33"/>
  <c r="U31" i="34"/>
  <c r="U23" i="40"/>
  <c r="S41" i="33"/>
  <c r="AB23" i="34"/>
  <c r="S26" i="33"/>
  <c r="AB12" i="33"/>
  <c r="S34" i="21"/>
  <c r="S40" i="21"/>
  <c r="U35" i="33"/>
  <c r="W22" i="35"/>
  <c r="AC27" i="35"/>
  <c r="W28" i="36"/>
  <c r="U14" i="37"/>
  <c r="W31" i="37"/>
  <c r="H12" i="21"/>
  <c r="AC41" i="33"/>
  <c r="J9" i="34"/>
  <c r="J23" i="35"/>
  <c r="G566" i="3"/>
  <c r="G562" i="3"/>
  <c r="BL16" i="3"/>
  <c r="AZ16" i="3" s="1"/>
  <c r="AZ558" i="3"/>
  <c r="G398" i="3"/>
  <c r="BA399" i="3"/>
  <c r="BL399" i="3"/>
  <c r="BA400" i="3"/>
  <c r="AZ400" i="3" s="1"/>
  <c r="BA401" i="3"/>
  <c r="AZ401" i="3" s="1"/>
  <c r="BA402" i="3"/>
  <c r="BL402" i="3"/>
  <c r="BA404" i="3"/>
  <c r="BL404" i="3"/>
  <c r="BA405" i="3"/>
  <c r="AZ405" i="3" s="1"/>
  <c r="BA406" i="3"/>
  <c r="AZ406" i="3" s="1"/>
  <c r="BL406" i="3"/>
  <c r="BA407" i="3"/>
  <c r="AZ407" i="3" s="1"/>
  <c r="BA408" i="3"/>
  <c r="AZ408" i="3" s="1"/>
  <c r="BL410" i="3"/>
  <c r="G411" i="3"/>
  <c r="G413" i="3"/>
  <c r="BA414" i="3"/>
  <c r="BL414" i="3"/>
  <c r="BA415" i="3"/>
  <c r="AZ415" i="3" s="1"/>
  <c r="BA417" i="3"/>
  <c r="AZ417" i="3" s="1"/>
  <c r="BL417" i="3"/>
  <c r="G420" i="3"/>
  <c r="BA421" i="3"/>
  <c r="BL421" i="3"/>
  <c r="BA423" i="3"/>
  <c r="BL423" i="3"/>
  <c r="BA424" i="3"/>
  <c r="AZ424" i="3" s="1"/>
  <c r="BL426" i="3"/>
  <c r="G427" i="3"/>
  <c r="G429" i="3"/>
  <c r="BA430" i="3"/>
  <c r="BL430" i="3"/>
  <c r="BA431" i="3"/>
  <c r="AZ431" i="3" s="1"/>
  <c r="BA433" i="3"/>
  <c r="AZ433" i="3" s="1"/>
  <c r="BL433" i="3"/>
  <c r="G436" i="3"/>
  <c r="BL437" i="3"/>
  <c r="G438" i="3"/>
  <c r="BL439" i="3"/>
  <c r="G440" i="3"/>
  <c r="G442" i="3"/>
  <c r="G446" i="3"/>
  <c r="G448" i="3"/>
  <c r="BA449" i="3"/>
  <c r="BL449" i="3"/>
  <c r="G452" i="3"/>
  <c r="BA453" i="3"/>
  <c r="BL453" i="3"/>
  <c r="BA455" i="3"/>
  <c r="BL455" i="3"/>
  <c r="BA456" i="3"/>
  <c r="AZ456" i="3" s="1"/>
  <c r="BA457" i="3"/>
  <c r="AZ457" i="3" s="1"/>
  <c r="BA458" i="3"/>
  <c r="BL458" i="3"/>
  <c r="BA460" i="3"/>
  <c r="BL460" i="3"/>
  <c r="BA461" i="3"/>
  <c r="AZ461" i="3" s="1"/>
  <c r="BA462" i="3"/>
  <c r="AZ462" i="3" s="1"/>
  <c r="BL462" i="3"/>
  <c r="BA463" i="3"/>
  <c r="AZ463" i="3" s="1"/>
  <c r="BA465" i="3"/>
  <c r="BL465" i="3"/>
  <c r="BA466" i="3"/>
  <c r="AZ466" i="3" s="1"/>
  <c r="BL468" i="3"/>
  <c r="G469" i="3"/>
  <c r="BL470" i="3"/>
  <c r="G471" i="3"/>
  <c r="G475" i="3"/>
  <c r="BA476" i="3"/>
  <c r="BL476" i="3"/>
  <c r="BA478" i="3"/>
  <c r="BL478" i="3"/>
  <c r="BA479" i="3"/>
  <c r="AZ479" i="3" s="1"/>
  <c r="BA481" i="3"/>
  <c r="AZ481" i="3" s="1"/>
  <c r="BL483" i="3"/>
  <c r="G484" i="3"/>
  <c r="G487" i="3"/>
  <c r="G489" i="3"/>
  <c r="BL490" i="3"/>
  <c r="G491" i="3"/>
  <c r="BA492" i="3"/>
  <c r="BL492" i="3"/>
  <c r="G307" i="3"/>
  <c r="BL308" i="3"/>
  <c r="AZ308" i="3" s="1"/>
  <c r="G318" i="3"/>
  <c r="BA319" i="3"/>
  <c r="AZ319" i="3" s="1"/>
  <c r="BA323" i="3"/>
  <c r="AZ323" i="3" s="1"/>
  <c r="G331" i="3"/>
  <c r="BL332" i="3"/>
  <c r="BL346" i="3"/>
  <c r="AZ346" i="3" s="1"/>
  <c r="G347" i="3"/>
  <c r="BA349" i="3"/>
  <c r="AZ349" i="3" s="1"/>
  <c r="BL365" i="3"/>
  <c r="AZ365" i="3" s="1"/>
  <c r="G366" i="3"/>
  <c r="BA367" i="3"/>
  <c r="AZ367" i="3" s="1"/>
  <c r="G378" i="3"/>
  <c r="G380" i="3"/>
  <c r="BA388" i="3"/>
  <c r="AZ388" i="3" s="1"/>
  <c r="BA392" i="3"/>
  <c r="AZ392" i="3" s="1"/>
  <c r="G395" i="3"/>
  <c r="BL396" i="3"/>
  <c r="G397" i="3"/>
  <c r="G211" i="3"/>
  <c r="BA212" i="3"/>
  <c r="BL212" i="3"/>
  <c r="BA214" i="3"/>
  <c r="AZ214" i="3" s="1"/>
  <c r="BL214" i="3"/>
  <c r="BL216" i="3"/>
  <c r="G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AZ299" i="3" s="1"/>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AZ150" i="3" s="1"/>
  <c r="BL150" i="3"/>
  <c r="BA152" i="3"/>
  <c r="AZ152" i="3" s="1"/>
  <c r="G155" i="3"/>
  <c r="G166" i="3"/>
  <c r="BA169" i="3"/>
  <c r="BL169" i="3"/>
  <c r="BL171" i="3"/>
  <c r="AZ171" i="3" s="1"/>
  <c r="G172" i="3"/>
  <c r="BA173" i="3"/>
  <c r="AZ173" i="3" s="1"/>
  <c r="BA174" i="3"/>
  <c r="AZ174" i="3" s="1"/>
  <c r="BL175" i="3"/>
  <c r="AZ175" i="3" s="1"/>
  <c r="BA177" i="3"/>
  <c r="AZ177" i="3" s="1"/>
  <c r="BA178" i="3"/>
  <c r="AZ178" i="3" s="1"/>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BA34" i="3"/>
  <c r="BL34" i="3"/>
  <c r="BL36" i="3"/>
  <c r="G37" i="3"/>
  <c r="BA38" i="3"/>
  <c r="AZ38" i="3" s="1"/>
  <c r="BL38" i="3"/>
  <c r="BA40" i="3"/>
  <c r="AZ40" i="3" s="1"/>
  <c r="BA41" i="3"/>
  <c r="AZ41" i="3" s="1"/>
  <c r="BA42" i="3"/>
  <c r="AZ42" i="3" s="1"/>
  <c r="BA43" i="3"/>
  <c r="AZ43" i="3" s="1"/>
  <c r="BA45" i="3"/>
  <c r="AZ45" i="3" s="1"/>
  <c r="BL45" i="3"/>
  <c r="BA46" i="3"/>
  <c r="AZ46" i="3" s="1"/>
  <c r="BA47" i="3"/>
  <c r="AZ47" i="3" s="1"/>
  <c r="BL49" i="3"/>
  <c r="G50" i="3"/>
  <c r="BL51" i="3"/>
  <c r="G52" i="3"/>
  <c r="G54" i="3"/>
  <c r="G57" i="3"/>
  <c r="G61" i="3"/>
  <c r="G65" i="3"/>
  <c r="BL66" i="3"/>
  <c r="G67" i="3"/>
  <c r="BA68" i="3"/>
  <c r="AZ68" i="3" s="1"/>
  <c r="BL68" i="3"/>
  <c r="BL70" i="3"/>
  <c r="G71" i="3"/>
  <c r="BL72" i="3"/>
  <c r="G73" i="3"/>
  <c r="G75" i="3"/>
  <c r="G79" i="3"/>
  <c r="G81" i="3"/>
  <c r="BL82" i="3"/>
  <c r="G83" i="3"/>
  <c r="BL84" i="3"/>
  <c r="G85" i="3"/>
  <c r="BL86" i="3"/>
  <c r="G87" i="3"/>
  <c r="G89" i="3"/>
  <c r="G92" i="3"/>
  <c r="BL93" i="3"/>
  <c r="G94" i="3"/>
  <c r="BA95" i="3"/>
  <c r="BL95" i="3"/>
  <c r="BA96" i="3"/>
  <c r="AZ96" i="3" s="1"/>
  <c r="BA97" i="3"/>
  <c r="AZ97" i="3" s="1"/>
  <c r="BL99" i="3"/>
  <c r="G100" i="3"/>
  <c r="BL103" i="3"/>
  <c r="G104" i="3"/>
  <c r="G106" i="3"/>
  <c r="BL107" i="3"/>
  <c r="G108" i="3"/>
  <c r="G110" i="3"/>
  <c r="G112" i="3"/>
  <c r="E27" i="71"/>
  <c r="E26" i="71" s="1"/>
  <c r="V28" i="71"/>
  <c r="W21" i="21"/>
  <c r="AC21" i="21"/>
  <c r="C27" i="71"/>
  <c r="D28" i="71"/>
  <c r="U28" i="71" s="1"/>
  <c r="T28" i="71"/>
  <c r="T52" i="71"/>
  <c r="P67" i="71"/>
  <c r="C60" i="71"/>
  <c r="AA27" i="71"/>
  <c r="AA25" i="71"/>
  <c r="AB27" i="71"/>
  <c r="AB25" i="71"/>
  <c r="C87" i="71"/>
  <c r="D80" i="71"/>
  <c r="C79" i="71"/>
  <c r="E75" i="71"/>
  <c r="E74" i="71" s="1"/>
  <c r="D72" i="71"/>
  <c r="C71" i="71"/>
  <c r="U68" i="71"/>
  <c r="D38" i="71"/>
  <c r="Y28" i="71"/>
  <c r="Z28" i="71" s="1"/>
  <c r="Y26" i="71"/>
  <c r="Z26" i="71" s="1"/>
  <c r="AA35" i="71"/>
  <c r="AA34" i="71"/>
  <c r="AB33" i="71"/>
  <c r="AA32" i="71"/>
  <c r="AB29" i="71"/>
  <c r="E36" i="71"/>
  <c r="U36" i="71" s="1"/>
  <c r="X26" i="71"/>
  <c r="Y29" i="71"/>
  <c r="Z29" i="71" s="1"/>
  <c r="F31" i="71"/>
  <c r="F32" i="71" s="1"/>
  <c r="V32" i="71" s="1"/>
  <c r="Y30" i="71"/>
  <c r="Z30" i="71" s="1"/>
  <c r="X29" i="71"/>
  <c r="AB35" i="71"/>
  <c r="F39" i="71"/>
  <c r="F40" i="71" s="1"/>
  <c r="V40" i="71" s="1"/>
  <c r="W27" i="21"/>
  <c r="AC27" i="21"/>
  <c r="AB23" i="36"/>
  <c r="U23" i="36"/>
  <c r="AZ495" i="3"/>
  <c r="AZ503" i="3"/>
  <c r="AZ507" i="3"/>
  <c r="AZ523" i="3"/>
  <c r="AZ527" i="3"/>
  <c r="AZ531" i="3"/>
  <c r="AZ535" i="3"/>
  <c r="AZ539" i="3"/>
  <c r="AZ543" i="3"/>
  <c r="AZ547" i="3"/>
  <c r="AZ568" i="3"/>
  <c r="AZ576" i="3"/>
  <c r="AB45" i="33"/>
  <c r="AA14" i="34"/>
  <c r="AB46" i="34"/>
  <c r="W31" i="34"/>
  <c r="AA14" i="33"/>
  <c r="AA44" i="33"/>
  <c r="BL586" i="3"/>
  <c r="AZ586" i="3" s="1"/>
  <c r="BL585" i="3"/>
  <c r="W31" i="35"/>
  <c r="AC31" i="35"/>
  <c r="M50" i="43"/>
  <c r="N50" i="43" s="1"/>
  <c r="K50" i="43"/>
  <c r="J50" i="43" s="1"/>
  <c r="AA23" i="33"/>
  <c r="S32" i="37"/>
  <c r="AA27" i="40"/>
  <c r="AB27" i="40"/>
  <c r="K54" i="43"/>
  <c r="M54" i="43"/>
  <c r="N54" i="43" s="1"/>
  <c r="AZ391" i="3"/>
  <c r="AZ322" i="3"/>
  <c r="AZ311" i="3"/>
  <c r="AZ372" i="3"/>
  <c r="AZ337" i="3"/>
  <c r="AZ320" i="3"/>
  <c r="AZ305" i="3"/>
  <c r="AZ362" i="3"/>
  <c r="J34" i="35"/>
  <c r="F34" i="35"/>
  <c r="J23" i="36"/>
  <c r="F23" i="36"/>
  <c r="BA551" i="3"/>
  <c r="AZ551" i="3" s="1"/>
  <c r="BL548" i="3"/>
  <c r="AZ548" i="3" s="1"/>
  <c r="G570" i="3"/>
  <c r="G556" i="3"/>
  <c r="BL550" i="3"/>
  <c r="BA550" i="3"/>
  <c r="G526" i="3"/>
  <c r="A15" i="62"/>
  <c r="B61" i="72" s="1"/>
  <c r="AZ403" i="3"/>
  <c r="AZ418" i="3"/>
  <c r="AZ422" i="3"/>
  <c r="AZ434" i="3"/>
  <c r="AZ450" i="3"/>
  <c r="AZ454" i="3"/>
  <c r="AZ459" i="3"/>
  <c r="AZ477" i="3"/>
  <c r="G13" i="3"/>
  <c r="F6" i="1"/>
  <c r="I24" i="43" s="1"/>
  <c r="C24" i="43" s="1"/>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AZ474" i="3" s="1"/>
  <c r="BA475" i="3"/>
  <c r="AZ475" i="3" s="1"/>
  <c r="G480" i="3"/>
  <c r="BL480" i="3"/>
  <c r="G482" i="3"/>
  <c r="BL482" i="3"/>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G364" i="3"/>
  <c r="BA366" i="3"/>
  <c r="AZ366"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AZ298" i="3"/>
  <c r="AZ301" i="3"/>
  <c r="P65" i="71"/>
  <c r="P66" i="71"/>
  <c r="D39" i="71"/>
  <c r="C40" i="71"/>
  <c r="C35" i="71"/>
  <c r="D34" i="71"/>
  <c r="D62" i="71"/>
  <c r="C63" i="7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AZ207" i="3" s="1"/>
  <c r="BA18" i="3"/>
  <c r="AZ18" i="3" s="1"/>
  <c r="BA19" i="3"/>
  <c r="AZ19" i="3" s="1"/>
  <c r="BA20" i="3"/>
  <c r="AZ20" i="3" s="1"/>
  <c r="BA21" i="3"/>
  <c r="AZ21" i="3" s="1"/>
  <c r="G24" i="3"/>
  <c r="G25" i="3"/>
  <c r="BL25" i="3"/>
  <c r="G28" i="3"/>
  <c r="G29" i="3"/>
  <c r="G30" i="3"/>
  <c r="BL30" i="3"/>
  <c r="BL32" i="3"/>
  <c r="AZ32"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BL102" i="3"/>
  <c r="AZ102" i="3" s="1"/>
  <c r="BA103" i="3"/>
  <c r="AZ103" i="3" s="1"/>
  <c r="BL105" i="3"/>
  <c r="AZ105" i="3" s="1"/>
  <c r="BA106" i="3"/>
  <c r="AZ106" i="3" s="1"/>
  <c r="BA107" i="3"/>
  <c r="AZ107" i="3" s="1"/>
  <c r="BL109" i="3"/>
  <c r="AZ109" i="3" s="1"/>
  <c r="BL111" i="3"/>
  <c r="AZ111" i="3" s="1"/>
  <c r="BA112" i="3"/>
  <c r="AZ112" i="3" s="1"/>
  <c r="J51" i="15"/>
  <c r="S21" i="34"/>
  <c r="S28" i="71"/>
  <c r="X28" i="71"/>
  <c r="X31" i="71"/>
  <c r="X30" i="71"/>
  <c r="C30" i="71"/>
  <c r="B43" i="71"/>
  <c r="B44" i="71" s="1"/>
  <c r="S44" i="71" s="1"/>
  <c r="B47" i="71"/>
  <c r="B48" i="71" s="1"/>
  <c r="S48" i="71" s="1"/>
  <c r="B51" i="71"/>
  <c r="B52" i="71" s="1"/>
  <c r="S52" i="71" s="1"/>
  <c r="B59" i="71"/>
  <c r="B60" i="71" s="1"/>
  <c r="S60" i="71" s="1"/>
  <c r="V24" i="71"/>
  <c r="C21" i="68"/>
  <c r="C40" i="69"/>
  <c r="G6" i="1"/>
  <c r="D23" i="15"/>
  <c r="G26" i="12"/>
  <c r="G22" i="69"/>
  <c r="BL15" i="3"/>
  <c r="BL5" i="3" s="1"/>
  <c r="H5" i="3"/>
  <c r="BB5" i="3"/>
  <c r="E8" i="6" s="1"/>
  <c r="F27" i="6" s="1"/>
  <c r="B14" i="74" s="1"/>
  <c r="G14" i="3"/>
  <c r="A2" i="9"/>
  <c r="A4" i="52"/>
  <c r="B41" i="72" s="1"/>
  <c r="C28" i="67"/>
  <c r="E19" i="71"/>
  <c r="E18" i="71" s="1"/>
  <c r="E17" i="71" s="1"/>
  <c r="E16" i="71" s="1"/>
  <c r="V20" i="71"/>
  <c r="C16" i="71"/>
  <c r="M23" i="43" s="1"/>
  <c r="D17" i="71"/>
  <c r="D19" i="53"/>
  <c r="B38" i="72" s="1"/>
  <c r="D16" i="53"/>
  <c r="B34" i="72" s="1"/>
  <c r="W17" i="21"/>
  <c r="G28" i="6"/>
  <c r="E28" i="6" s="1"/>
  <c r="K14" i="1" s="1"/>
  <c r="F29" i="6"/>
  <c r="F30" i="6" s="1"/>
  <c r="AA41" i="34"/>
  <c r="AZ557" i="3"/>
  <c r="AZ513" i="3"/>
  <c r="AZ517" i="3"/>
  <c r="AZ567" i="3"/>
  <c r="AZ571" i="3"/>
  <c r="AZ575" i="3"/>
  <c r="AZ579" i="3"/>
  <c r="AZ581" i="3"/>
  <c r="AZ585" i="3"/>
  <c r="AC11" i="35"/>
  <c r="H24" i="36"/>
  <c r="AZ399" i="3"/>
  <c r="AZ404" i="3"/>
  <c r="AZ414" i="3"/>
  <c r="AZ421" i="3"/>
  <c r="AZ430" i="3"/>
  <c r="AZ440" i="3"/>
  <c r="AZ449" i="3"/>
  <c r="AZ453" i="3"/>
  <c r="AZ455" i="3"/>
  <c r="AZ460" i="3"/>
  <c r="AZ471" i="3"/>
  <c r="AZ476" i="3"/>
  <c r="U46" i="33"/>
  <c r="AA13" i="35"/>
  <c r="AZ409" i="3"/>
  <c r="AZ425" i="3"/>
  <c r="AZ432" i="3"/>
  <c r="AZ464" i="3"/>
  <c r="AZ467" i="3"/>
  <c r="AZ480" i="3"/>
  <c r="AZ482" i="3"/>
  <c r="AZ486" i="3"/>
  <c r="AZ397" i="3"/>
  <c r="AZ212" i="3"/>
  <c r="AZ217" i="3"/>
  <c r="AZ220" i="3"/>
  <c r="AZ228" i="3"/>
  <c r="AZ231" i="3"/>
  <c r="AZ244" i="3"/>
  <c r="AZ247" i="3"/>
  <c r="AZ260" i="3"/>
  <c r="AZ264" i="3"/>
  <c r="AZ282" i="3"/>
  <c r="AZ285" i="3"/>
  <c r="AZ290" i="3"/>
  <c r="AZ293" i="3"/>
  <c r="AZ153" i="3"/>
  <c r="AZ169" i="3"/>
  <c r="AZ201" i="3"/>
  <c r="AZ25" i="3"/>
  <c r="AZ30" i="3"/>
  <c r="F25" i="37"/>
  <c r="J25" i="37"/>
  <c r="F26" i="37"/>
  <c r="H26" i="37"/>
  <c r="F44" i="39"/>
  <c r="H38" i="40"/>
  <c r="J38" i="40"/>
  <c r="H39" i="40"/>
  <c r="AZ34" i="3"/>
  <c r="AZ44" i="3"/>
  <c r="AZ56" i="3"/>
  <c r="AZ60" i="3"/>
  <c r="AZ64" i="3"/>
  <c r="AZ78" i="3"/>
  <c r="AZ91" i="3"/>
  <c r="AZ98" i="3"/>
  <c r="AZ104" i="3"/>
  <c r="AZ108" i="3"/>
  <c r="AB21" i="21"/>
  <c r="AC21" i="34"/>
  <c r="D35" i="71"/>
  <c r="C36" i="71"/>
  <c r="C43" i="71"/>
  <c r="D42" i="71"/>
  <c r="C47" i="71"/>
  <c r="D47" i="71" s="1"/>
  <c r="D46" i="71"/>
  <c r="U18" i="36"/>
  <c r="Y9" i="71"/>
  <c r="Z9" i="71" s="1"/>
  <c r="Y10" i="71"/>
  <c r="Z10" i="71" s="1"/>
  <c r="AA9" i="71"/>
  <c r="AB24" i="71"/>
  <c r="Y24" i="71"/>
  <c r="Z24" i="71" s="1"/>
  <c r="AB23" i="71"/>
  <c r="Y21" i="71"/>
  <c r="Z21" i="71" s="1"/>
  <c r="AA21" i="71"/>
  <c r="X21" i="71"/>
  <c r="X17" i="71"/>
  <c r="Y17" i="71"/>
  <c r="Z17" i="71" s="1"/>
  <c r="AA17" i="71"/>
  <c r="AB18" i="71"/>
  <c r="Y14" i="71"/>
  <c r="Z14" i="71" s="1"/>
  <c r="AB14" i="71"/>
  <c r="X9" i="71"/>
  <c r="Y39" i="71"/>
  <c r="Z39" i="71" s="1"/>
  <c r="AA39" i="71"/>
  <c r="AB9" i="71"/>
  <c r="X24" i="71"/>
  <c r="AA24" i="71"/>
  <c r="AA23" i="71"/>
  <c r="AA22" i="71"/>
  <c r="AB21" i="71"/>
  <c r="Y18" i="71"/>
  <c r="Z18" i="71" s="1"/>
  <c r="X18" i="71"/>
  <c r="AA18" i="71"/>
  <c r="Y23" i="71"/>
  <c r="Z23" i="71" s="1"/>
  <c r="Y22" i="71"/>
  <c r="Z22" i="71" s="1"/>
  <c r="X22" i="71"/>
  <c r="X15" i="71"/>
  <c r="AA15" i="71"/>
  <c r="AB11" i="71"/>
  <c r="AB10" i="71"/>
  <c r="AA13" i="71"/>
  <c r="AA12" i="71"/>
  <c r="X12" i="71"/>
  <c r="X10" i="71"/>
  <c r="X14" i="71"/>
  <c r="Y13" i="71"/>
  <c r="Z13" i="71" s="1"/>
  <c r="F67" i="71"/>
  <c r="AB15" i="71"/>
  <c r="AB17" i="71"/>
  <c r="AB13" i="71"/>
  <c r="AB12" i="71"/>
  <c r="AA11" i="71"/>
  <c r="AA10" i="71"/>
  <c r="AA14" i="71"/>
  <c r="X11" i="71"/>
  <c r="X13" i="71"/>
  <c r="Y12" i="71"/>
  <c r="Z12"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G26"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F51" i="67"/>
  <c r="M7" i="15"/>
  <c r="F50" i="15"/>
  <c r="F71" i="15"/>
  <c r="L59" i="15"/>
  <c r="N59" i="15"/>
  <c r="M59" i="15"/>
  <c r="F66" i="15"/>
  <c r="Q71" i="67"/>
  <c r="C27" i="67"/>
  <c r="F71" i="67"/>
  <c r="C27" i="15"/>
  <c r="F65" i="15"/>
  <c r="N59" i="67"/>
  <c r="L59" i="67"/>
  <c r="M59" i="67"/>
  <c r="B13" i="70"/>
  <c r="F68" i="67"/>
  <c r="F68" i="15"/>
  <c r="M22" i="67"/>
  <c r="F13" i="67"/>
  <c r="C36" i="68"/>
  <c r="F6" i="15"/>
  <c r="C16" i="15"/>
  <c r="M29" i="67"/>
  <c r="F27" i="69"/>
  <c r="C76" i="15"/>
  <c r="F7" i="67"/>
  <c r="M24" i="67"/>
  <c r="L48" i="67"/>
  <c r="F38" i="67"/>
  <c r="J15" i="67"/>
  <c r="M22" i="15"/>
  <c r="F6" i="67"/>
  <c r="M6" i="15"/>
  <c r="M26" i="15"/>
  <c r="D9" i="68"/>
  <c r="M28" i="67"/>
  <c r="D5" i="73"/>
  <c r="M9" i="67"/>
  <c r="M23" i="15"/>
  <c r="M28" i="15"/>
  <c r="F37" i="67"/>
  <c r="L48" i="15"/>
  <c r="D3" i="73"/>
  <c r="D9" i="69"/>
  <c r="F16" i="67"/>
  <c r="G1" i="73"/>
  <c r="F36" i="15"/>
  <c r="F42" i="67"/>
  <c r="M24" i="15"/>
  <c r="M23" i="67"/>
  <c r="F36" i="67"/>
  <c r="F8" i="15"/>
  <c r="C36" i="69"/>
  <c r="AC9" i="36" l="1"/>
  <c r="W9" i="36"/>
  <c r="S12" i="35"/>
  <c r="AA12" i="35"/>
  <c r="AZ117" i="3"/>
  <c r="G5" i="3"/>
  <c r="B3" i="3" s="1"/>
  <c r="B66" i="71"/>
  <c r="N67" i="71"/>
  <c r="AZ26" i="3"/>
  <c r="AZ22" i="3"/>
  <c r="AZ411" i="3"/>
  <c r="AC36" i="35"/>
  <c r="W36" i="35"/>
  <c r="S12" i="34"/>
  <c r="AA12" i="34"/>
  <c r="M7" i="67"/>
  <c r="J6" i="67" s="1"/>
  <c r="F50" i="67"/>
  <c r="F64" i="15"/>
  <c r="C6" i="15"/>
  <c r="C6" i="67"/>
  <c r="F64" i="67"/>
  <c r="Q71" i="15"/>
  <c r="F66" i="67"/>
  <c r="J57" i="67"/>
  <c r="J55" i="67" s="1"/>
  <c r="J58" i="67" s="1"/>
  <c r="Q50" i="67" s="1"/>
  <c r="I54" i="67"/>
  <c r="J53" i="67"/>
  <c r="Q52" i="67" s="1"/>
  <c r="L56" i="67"/>
  <c r="L58" i="67"/>
  <c r="Q60" i="67" s="1"/>
  <c r="F65" i="67"/>
  <c r="F51" i="15"/>
  <c r="J6" i="15"/>
  <c r="BA5" i="3"/>
  <c r="D71" i="71"/>
  <c r="C70" i="71"/>
  <c r="D70" i="71" s="1"/>
  <c r="D60" i="71"/>
  <c r="T60" i="71"/>
  <c r="AZ95" i="3"/>
  <c r="AZ186" i="3"/>
  <c r="AZ181" i="3"/>
  <c r="AZ133" i="3"/>
  <c r="AZ287" i="3"/>
  <c r="AZ240" i="3"/>
  <c r="AZ492" i="3"/>
  <c r="AZ478" i="3"/>
  <c r="AZ465" i="3"/>
  <c r="AZ458" i="3"/>
  <c r="AZ423" i="3"/>
  <c r="AZ402" i="3"/>
  <c r="AC23" i="35"/>
  <c r="W23" i="35"/>
  <c r="D79" i="71"/>
  <c r="C78" i="71"/>
  <c r="D78" i="71" s="1"/>
  <c r="D87" i="71"/>
  <c r="C86" i="71"/>
  <c r="D86" i="71" s="1"/>
  <c r="D27" i="71"/>
  <c r="C26" i="71"/>
  <c r="D26" i="71" s="1"/>
  <c r="AC9" i="34"/>
  <c r="W9" i="34"/>
  <c r="AB12" i="21"/>
  <c r="U12" i="21"/>
  <c r="D121" i="9"/>
  <c r="D7" i="52" s="1"/>
  <c r="D6" i="52"/>
  <c r="J53" i="15"/>
  <c r="L56" i="15" s="1"/>
  <c r="I54" i="15"/>
  <c r="L58" i="15"/>
  <c r="Q73" i="15" s="1"/>
  <c r="J57" i="15"/>
  <c r="J55" i="15" s="1"/>
  <c r="J58" i="15" s="1"/>
  <c r="Q50" i="15" s="1"/>
  <c r="M53" i="43"/>
  <c r="N53" i="43" s="1"/>
  <c r="K53" i="43"/>
  <c r="K52" i="43"/>
  <c r="M52" i="43"/>
  <c r="N52" i="43" s="1"/>
  <c r="K56" i="43"/>
  <c r="M56" i="43"/>
  <c r="N56" i="43" s="1"/>
  <c r="M58" i="43"/>
  <c r="N58" i="43" s="1"/>
  <c r="K58" i="43"/>
  <c r="J58" i="43" s="1"/>
  <c r="AZ451" i="3"/>
  <c r="AZ438" i="3"/>
  <c r="AZ435" i="3"/>
  <c r="AZ419" i="3"/>
  <c r="AZ550" i="3"/>
  <c r="AA23" i="36"/>
  <c r="S23" i="36"/>
  <c r="AA34" i="35"/>
  <c r="S34" i="35"/>
  <c r="J54" i="43"/>
  <c r="D54" i="43"/>
  <c r="K57" i="43"/>
  <c r="J57" i="43" s="1"/>
  <c r="D57" i="43" s="1"/>
  <c r="M57" i="43"/>
  <c r="N57" i="43" s="1"/>
  <c r="M55" i="43"/>
  <c r="N55" i="43" s="1"/>
  <c r="K55" i="43"/>
  <c r="K51" i="43"/>
  <c r="M51" i="43"/>
  <c r="N51" i="43" s="1"/>
  <c r="D30" i="71"/>
  <c r="C31" i="71"/>
  <c r="D63" i="71"/>
  <c r="C64" i="71"/>
  <c r="T40" i="71"/>
  <c r="D40" i="71"/>
  <c r="AC23" i="36"/>
  <c r="W23" i="36"/>
  <c r="AC34" i="35"/>
  <c r="W34" i="35"/>
  <c r="N370" i="46"/>
  <c r="F26" i="43"/>
  <c r="N94" i="46"/>
  <c r="E26" i="43"/>
  <c r="J26" i="43"/>
  <c r="E444" i="3"/>
  <c r="E334" i="3"/>
  <c r="E164" i="3"/>
  <c r="E29" i="6"/>
  <c r="K15" i="1" s="1"/>
  <c r="E480" i="3"/>
  <c r="E166" i="3"/>
  <c r="P6" i="3"/>
  <c r="E32" i="3"/>
  <c r="E30" i="3"/>
  <c r="E316" i="3"/>
  <c r="E88" i="3"/>
  <c r="E558" i="3"/>
  <c r="AG6" i="3"/>
  <c r="E236" i="3"/>
  <c r="E394" i="3"/>
  <c r="E583" i="3"/>
  <c r="X6" i="3"/>
  <c r="E336" i="3"/>
  <c r="E246" i="3"/>
  <c r="E293" i="3"/>
  <c r="E385" i="3"/>
  <c r="E518" i="3"/>
  <c r="AI6" i="3"/>
  <c r="E578" i="3"/>
  <c r="E423" i="3"/>
  <c r="E382" i="3"/>
  <c r="E263" i="3"/>
  <c r="E245" i="3"/>
  <c r="E191"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14" i="6"/>
  <c r="E16" i="6" s="1"/>
  <c r="E109" i="3"/>
  <c r="E572" i="3"/>
  <c r="E377" i="3"/>
  <c r="E295" i="3"/>
  <c r="E121" i="3"/>
  <c r="E404" i="3"/>
  <c r="E581" i="3"/>
  <c r="E443" i="3"/>
  <c r="E448" i="3"/>
  <c r="E576" i="3"/>
  <c r="E252" i="3"/>
  <c r="I6" i="3"/>
  <c r="E580" i="3"/>
  <c r="E214" i="3"/>
  <c r="E315" i="3"/>
  <c r="E362" i="3"/>
  <c r="E74" i="3"/>
  <c r="E227" i="3"/>
  <c r="E368" i="3"/>
  <c r="E89" i="3"/>
  <c r="E204" i="3"/>
  <c r="E327" i="3"/>
  <c r="Z6" i="3"/>
  <c r="AO6" i="3"/>
  <c r="E485" i="3"/>
  <c r="E400" i="3"/>
  <c r="E345" i="3"/>
  <c r="E557" i="3"/>
  <c r="E531" i="3"/>
  <c r="E489" i="3"/>
  <c r="E28" i="3"/>
  <c r="E70" i="3"/>
  <c r="E182" i="3"/>
  <c r="E211" i="3"/>
  <c r="E273"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AZ15" i="3"/>
  <c r="AZ5" i="3"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296" i="3"/>
  <c r="E369" i="3"/>
  <c r="E534" i="3"/>
  <c r="E456" i="3"/>
  <c r="E408" i="3"/>
  <c r="E556" i="3"/>
  <c r="E13" i="3"/>
  <c r="E452" i="3"/>
  <c r="E420" i="3"/>
  <c r="E104" i="3"/>
  <c r="E198" i="3"/>
  <c r="E225" i="3"/>
  <c r="E243" i="3"/>
  <c r="E391" i="3"/>
  <c r="E42" i="3"/>
  <c r="E75" i="3"/>
  <c r="E484" i="3"/>
  <c r="E425" i="3"/>
  <c r="E467" i="3"/>
  <c r="E64" i="3"/>
  <c r="E46" i="3"/>
  <c r="E103" i="3"/>
  <c r="E160" i="3"/>
  <c r="E142" i="3"/>
  <c r="E200" i="3"/>
  <c r="E209" i="3"/>
  <c r="E266" i="3"/>
  <c r="E307" i="3"/>
  <c r="E386" i="3"/>
  <c r="E354" i="3"/>
  <c r="E584" i="3"/>
  <c r="E84" i="3"/>
  <c r="E67" i="3"/>
  <c r="E33" i="3"/>
  <c r="E144" i="3"/>
  <c r="E184" i="3"/>
  <c r="E233" i="3"/>
  <c r="E355" i="3"/>
  <c r="E381" i="3"/>
  <c r="E68"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140" i="3"/>
  <c r="E197" i="3"/>
  <c r="E173" i="3"/>
  <c r="E525" i="3"/>
  <c r="T6" i="3"/>
  <c r="E405" i="3"/>
  <c r="E469" i="3"/>
  <c r="E512" i="3"/>
  <c r="E451" i="3"/>
  <c r="E360" i="3"/>
  <c r="E497" i="3"/>
  <c r="E494" i="3"/>
  <c r="E470" i="3"/>
  <c r="E26" i="3"/>
  <c r="E41" i="3"/>
  <c r="E115" i="3"/>
  <c r="E139" i="3"/>
  <c r="E281" i="3"/>
  <c r="E332" i="3"/>
  <c r="E356" i="3"/>
  <c r="AL6" i="3"/>
  <c r="E94" i="3"/>
  <c r="E428" i="3"/>
  <c r="E521" i="3"/>
  <c r="E446" i="3"/>
  <c r="E47" i="3"/>
  <c r="E98" i="3"/>
  <c r="E65" i="3"/>
  <c r="E138" i="3"/>
  <c r="E195" i="3"/>
  <c r="E163" i="3"/>
  <c r="E248" i="3"/>
  <c r="E267" i="3"/>
  <c r="E249" i="3"/>
  <c r="E300" i="3"/>
  <c r="E371" i="3"/>
  <c r="E310" i="3"/>
  <c r="E492" i="3"/>
  <c r="E23" i="3"/>
  <c r="E66" i="3"/>
  <c r="E24" i="3"/>
  <c r="E48" i="3"/>
  <c r="E87" i="3"/>
  <c r="E127" i="3"/>
  <c r="E250" i="3"/>
  <c r="E284" i="3"/>
  <c r="E341" i="3"/>
  <c r="Y6" i="3"/>
  <c r="E51"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K16" i="1"/>
  <c r="F7" i="36"/>
  <c r="J7" i="37"/>
  <c r="AC7" i="37" s="1"/>
  <c r="V42" i="37" s="1"/>
  <c r="I42" i="37" s="1"/>
  <c r="H7" i="36"/>
  <c r="B15" i="71"/>
  <c r="B14" i="71" s="1"/>
  <c r="B13" i="71" s="1"/>
  <c r="B12" i="71" s="1"/>
  <c r="S16" i="71"/>
  <c r="D43" i="71"/>
  <c r="C44" i="71"/>
  <c r="AC38" i="40"/>
  <c r="W38" i="40"/>
  <c r="AA44" i="39"/>
  <c r="S44" i="39"/>
  <c r="AA26" i="37"/>
  <c r="S26" i="37"/>
  <c r="AA25" i="37"/>
  <c r="S25" i="37"/>
  <c r="F66" i="71"/>
  <c r="Q67" i="71"/>
  <c r="T36" i="71"/>
  <c r="D36" i="71"/>
  <c r="U39" i="40"/>
  <c r="AB39" i="40"/>
  <c r="AB38" i="40"/>
  <c r="U38" i="40"/>
  <c r="AB26" i="37"/>
  <c r="U26" i="37"/>
  <c r="AC25" i="37"/>
  <c r="W25" i="37"/>
  <c r="AB24" i="36"/>
  <c r="U24" i="36"/>
  <c r="C15" i="71"/>
  <c r="T16" i="7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73" i="67"/>
  <c r="M11" i="67"/>
  <c r="J10" i="67" s="1"/>
  <c r="F11" i="15"/>
  <c r="M11" i="15"/>
  <c r="J10" i="15" s="1"/>
  <c r="J5" i="15" s="1"/>
  <c r="J24" i="15" s="1"/>
  <c r="F11" i="67"/>
  <c r="Q52" i="15"/>
  <c r="J18" i="67"/>
  <c r="C32" i="15"/>
  <c r="F1" i="67"/>
  <c r="Q61" i="67"/>
  <c r="Q74" i="67"/>
  <c r="Q74" i="15"/>
  <c r="Q61" i="15"/>
  <c r="AE11" i="1"/>
  <c r="AE9" i="1"/>
  <c r="AE7" i="1"/>
  <c r="AE8" i="1"/>
  <c r="AE12" i="1"/>
  <c r="AE10" i="1"/>
  <c r="F27" i="68"/>
  <c r="C16" i="67"/>
  <c r="E274" i="3" l="1"/>
  <c r="E217" i="3"/>
  <c r="E268" i="3"/>
  <c r="AJ6" i="3"/>
  <c r="E579" i="3"/>
  <c r="E247" i="3"/>
  <c r="E311" i="3"/>
  <c r="E570" i="3"/>
  <c r="AB6" i="3"/>
  <c r="E335" i="3"/>
  <c r="E189" i="3"/>
  <c r="E278" i="3"/>
  <c r="E172" i="3"/>
  <c r="E535" i="3"/>
  <c r="E135" i="3"/>
  <c r="E159" i="3"/>
  <c r="E303" i="3"/>
  <c r="E402" i="3"/>
  <c r="AN6" i="3"/>
  <c r="E353" i="3"/>
  <c r="E280" i="3"/>
  <c r="AA6" i="3"/>
  <c r="E256" i="3"/>
  <c r="E526" i="3"/>
  <c r="E322" i="3"/>
  <c r="E509" i="3"/>
  <c r="E431" i="3"/>
  <c r="E201" i="3"/>
  <c r="E514" i="3"/>
  <c r="M6" i="3"/>
  <c r="H6" i="3" s="1"/>
  <c r="E6" i="3" s="1"/>
  <c r="E387" i="3"/>
  <c r="E215" i="3"/>
  <c r="E69" i="3"/>
  <c r="E563" i="3"/>
  <c r="E445" i="3"/>
  <c r="E161" i="3"/>
  <c r="E134" i="3"/>
  <c r="E301" i="3"/>
  <c r="E350" i="3"/>
  <c r="E586" i="3"/>
  <c r="E495" i="3"/>
  <c r="E124" i="3"/>
  <c r="E399" i="3"/>
  <c r="E347" i="3"/>
  <c r="N66" i="71"/>
  <c r="N65" i="71"/>
  <c r="J5" i="67"/>
  <c r="W7" i="37"/>
  <c r="Q60" i="15"/>
  <c r="F1" i="15"/>
  <c r="D51" i="43"/>
  <c r="J51" i="43"/>
  <c r="J53" i="43"/>
  <c r="D53" i="43"/>
  <c r="F67" i="39"/>
  <c r="D64" i="71"/>
  <c r="T64" i="71"/>
  <c r="D31" i="71"/>
  <c r="C32" i="71"/>
  <c r="J55" i="43"/>
  <c r="D55" i="43"/>
  <c r="J56" i="43"/>
  <c r="D56" i="43"/>
  <c r="J52" i="43"/>
  <c r="D52" i="43"/>
  <c r="AC6" i="3"/>
  <c r="E63" i="39"/>
  <c r="E59" i="40"/>
  <c r="E3" i="6"/>
  <c r="AY6" i="3"/>
  <c r="AY87" i="3" s="1"/>
  <c r="E65" i="39"/>
  <c r="T44" i="71"/>
  <c r="D44" i="71"/>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66" i="3"/>
  <c r="AY176" i="3"/>
  <c r="AY115" i="3"/>
  <c r="AY188" i="3"/>
  <c r="AY276" i="3"/>
  <c r="AY297"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15"/>
  <c r="F41" i="15"/>
  <c r="M27" i="67"/>
  <c r="T32" i="71" l="1"/>
  <c r="D32" i="71"/>
  <c r="E50" i="43"/>
  <c r="B48" i="43" s="1"/>
  <c r="C28" i="43" s="1"/>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58" i="3"/>
  <c r="AY131" i="3"/>
  <c r="AY59" i="3"/>
  <c r="AY155" i="3"/>
  <c r="AY23" i="3"/>
  <c r="AY83"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C17" i="67"/>
  <c r="C34" i="69"/>
  <c r="D10" i="69"/>
  <c r="C17" i="15"/>
  <c r="C14" i="67"/>
  <c r="F41" i="67"/>
  <c r="D10" i="68"/>
  <c r="F69" i="67" l="1"/>
  <c r="T13" i="43"/>
  <c r="V13" i="43" s="1"/>
  <c r="T9" i="43"/>
  <c r="V9" i="43" s="1"/>
  <c r="T16" i="43"/>
  <c r="V16" i="43" s="1"/>
  <c r="T12" i="43"/>
  <c r="V12" i="43" s="1"/>
  <c r="T8" i="43"/>
  <c r="V8" i="43" s="1"/>
  <c r="T3" i="43"/>
  <c r="T6" i="43"/>
  <c r="V6" i="43" s="1"/>
  <c r="C33" i="43"/>
  <c r="E33" i="43" s="1"/>
  <c r="C37" i="43"/>
  <c r="C39" i="43"/>
  <c r="T15" i="43"/>
  <c r="V15" i="43" s="1"/>
  <c r="T11" i="43"/>
  <c r="V11" i="43" s="1"/>
  <c r="T7" i="43"/>
  <c r="V7" i="43" s="1"/>
  <c r="T14" i="43"/>
  <c r="V14" i="43" s="1"/>
  <c r="T10" i="43"/>
  <c r="V10" i="43" s="1"/>
  <c r="T4" i="43"/>
  <c r="V4" i="43" s="1"/>
  <c r="T2" i="43"/>
  <c r="V2" i="43" s="1"/>
  <c r="T5" i="43"/>
  <c r="V5" i="43" s="1"/>
  <c r="C40" i="43"/>
  <c r="C41" i="43"/>
  <c r="C42" i="43"/>
  <c r="C38" i="43"/>
  <c r="H25" i="6"/>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3" i="43" l="1"/>
  <c r="C6" i="68" s="1"/>
  <c r="C6" i="69"/>
  <c r="C7" i="69" s="1"/>
  <c r="C34" i="43"/>
  <c r="E34" i="43" s="1"/>
  <c r="G38" i="43"/>
  <c r="I38" i="43" s="1"/>
  <c r="E38" i="43"/>
  <c r="E41" i="43"/>
  <c r="G41" i="43"/>
  <c r="I41" i="43" s="1"/>
  <c r="E39" i="43"/>
  <c r="G39" i="43"/>
  <c r="I39" i="43" s="1"/>
  <c r="E42" i="43"/>
  <c r="G42" i="43"/>
  <c r="I42" i="43" s="1"/>
  <c r="E40" i="43"/>
  <c r="G40" i="43"/>
  <c r="I40" i="43" s="1"/>
  <c r="E37" i="43"/>
  <c r="G37" i="43"/>
  <c r="I37"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7" i="21" l="1"/>
  <c r="C5" i="69"/>
  <c r="C23" i="69" s="1"/>
  <c r="C31" i="43"/>
  <c r="C7" i="68"/>
  <c r="C5" i="68" s="1"/>
  <c r="C23" i="68" s="1"/>
  <c r="C30" i="43"/>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E6" i="76"/>
  <c r="W7" i="21" l="1"/>
  <c r="C20" i="68"/>
  <c r="C28" i="68" s="1"/>
  <c r="C27" i="68" s="1"/>
  <c r="E2" i="76"/>
  <c r="B2" i="43"/>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15"/>
  <c r="F35" i="15"/>
  <c r="M21" i="67"/>
  <c r="B6" i="76"/>
  <c r="F35" i="67"/>
  <c r="C25" i="68" l="1"/>
  <c r="C22" i="68" s="1"/>
  <c r="C31" i="68" s="1"/>
  <c r="B2" i="76"/>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3" i="68"/>
  <c r="C19" i="9"/>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9" i="1"/>
  <c r="AO11" i="1"/>
  <c r="AO10"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42" i="40"/>
  <c r="C43" i="40"/>
  <c r="E47" i="40"/>
  <c r="F47" i="40" s="1"/>
  <c r="E46" i="40"/>
  <c r="F46" i="40" s="1"/>
  <c r="I47" i="40"/>
  <c r="J47" i="40" s="1"/>
  <c r="C32" i="9" l="1"/>
  <c r="C35" i="9" s="1"/>
  <c r="C34" i="9" s="1"/>
  <c r="E14" i="74"/>
  <c r="D14" i="74" s="1"/>
  <c r="G14" i="74"/>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I118" i="9"/>
  <c r="H102" i="9" l="1"/>
  <c r="D7" i="53" s="1"/>
  <c r="B21" i="72" s="1"/>
  <c r="H118" i="9"/>
  <c r="G4" i="52"/>
  <c r="B52" i="72" s="1"/>
  <c r="F118" i="9"/>
  <c r="E118" i="9"/>
  <c r="C105" i="9"/>
  <c r="I4" i="52"/>
  <c r="C5" i="74" l="1"/>
  <c r="E4" i="52"/>
  <c r="B48" i="72" s="1"/>
  <c r="D118" i="9"/>
  <c r="F4" i="52"/>
  <c r="B51" i="72" s="1"/>
  <c r="F119" i="9"/>
  <c r="F5" i="52" s="1"/>
  <c r="B53" i="72" s="1"/>
  <c r="C104" i="9"/>
  <c r="H101" i="9"/>
  <c r="H4" i="52"/>
  <c r="H119" i="9"/>
  <c r="H5" i="52" s="1"/>
  <c r="D5" i="53" l="1"/>
  <c r="H107" i="9"/>
  <c r="M48" i="9"/>
  <c r="D45" i="9"/>
  <c r="D4" i="52"/>
  <c r="B47" i="72" s="1"/>
  <c r="D119" i="9"/>
  <c r="D5" i="52" s="1"/>
  <c r="B49" i="72" s="1"/>
  <c r="D6" i="53" l="1"/>
  <c r="B22" i="72" s="1"/>
  <c r="B20" i="72"/>
  <c r="C78" i="9"/>
  <c r="C73" i="9" s="1"/>
  <c r="C72" i="9"/>
  <c r="C93" i="9"/>
  <c r="C86" i="9" s="1"/>
  <c r="D52" i="9"/>
  <c r="D53" i="9"/>
  <c r="C85" i="9"/>
  <c r="D55" i="9"/>
  <c r="M53" i="9" s="1"/>
  <c r="C64" i="9"/>
  <c r="C63" i="9" s="1"/>
  <c r="C67" i="9" s="1"/>
  <c r="H108" i="9"/>
  <c r="M49" i="9"/>
  <c r="D13" i="53"/>
  <c r="D122" i="9"/>
  <c r="D14" i="53" l="1"/>
  <c r="B32" i="72" s="1"/>
  <c r="B30" i="72"/>
  <c r="C6" i="74"/>
  <c r="D15" i="53"/>
  <c r="B31" i="72" s="1"/>
  <c r="D8" i="52"/>
  <c r="D123" i="9"/>
  <c r="D9" i="52" s="1"/>
  <c r="L68" i="9"/>
  <c r="M68" i="9" s="1"/>
  <c r="L63" i="9"/>
  <c r="M63" i="9" s="1"/>
  <c r="L65" i="9"/>
  <c r="M65" i="9" s="1"/>
  <c r="L66" i="9"/>
  <c r="M66" i="9" s="1"/>
  <c r="L64" i="9"/>
  <c r="M64" i="9" s="1"/>
  <c r="L67" i="9"/>
  <c r="M67" i="9" s="1"/>
  <c r="C68" i="9"/>
  <c r="D54" i="9" s="1"/>
  <c r="D59" i="9"/>
  <c r="M55" i="9" s="1"/>
  <c r="C95" i="9"/>
  <c r="C79" i="9"/>
  <c r="C80" i="9" l="1"/>
  <c r="E80" i="9" s="1"/>
  <c r="E81" i="9" s="1"/>
  <c r="M69" i="9"/>
  <c r="N69" i="9" s="1"/>
  <c r="C96" i="9"/>
  <c r="E96" i="9" s="1"/>
  <c r="E97" i="9" s="1"/>
  <c r="C97" i="9" l="1"/>
  <c r="D58" i="9" s="1"/>
  <c r="D56" i="9" s="1"/>
  <c r="M54" i="9" s="1"/>
  <c r="N57" i="9" s="1"/>
  <c r="P57" i="9" s="1"/>
  <c r="C81" i="9"/>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<sst xmlns="http://schemas.openxmlformats.org/spreadsheetml/2006/main" count="7847" uniqueCount="3437">
  <si>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</si>
  <si>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</si>
  <si>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</si>
  <si>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</si>
  <si>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</si>
  <si>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</si>
  <si>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</si>
  <si>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</si>
  <si>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</si>
  <si>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</si>
  <si>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</si>
  <si>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</si>
  <si>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</si>
  <si>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</si>
  <si>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</si>
  <si>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</si>
  <si>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</si>
  <si>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</si>
  <si>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</si>
  <si>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</si>
  <si>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</si>
  <si>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</si>
  <si>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</si>
  <si>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</si>
  <si>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</si>
  <si>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</si>
  <si>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</si>
  <si>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</si>
  <si>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</si>
  <si>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</si>
  <si>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</si>
  <si>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</si>
  <si>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</si>
  <si>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</si>
  <si>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</si>
  <si>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</si>
  <si>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</si>
  <si>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</si>
  <si>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</si>
  <si>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</si>
  <si>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</si>
  <si>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</si>
  <si>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</si>
  <si>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</si>
  <si>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</si>
  <si>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</si>
  <si>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</si>
  <si>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</si>
  <si>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</si>
  <si>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</si>
  <si>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</si>
  <si>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</si>
  <si>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</si>
  <si>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</si>
  <si>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</si>
  <si>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</si>
  <si>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</si>
  <si>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</si>
  <si>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</si>
  <si>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</si>
  <si>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</si>
  <si>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</si>
  <si>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</si>
  <si>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</si>
  <si>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</si>
  <si>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</si>
  <si>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</si>
  <si>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</si>
  <si>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</si>
  <si>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</si>
  <si>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</si>
  <si>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</si>
  <si>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</si>
  <si>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</si>
  <si>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</si>
  <si>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</si>
  <si>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</si>
  <si>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</si>
  <si>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</si>
  <si>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</si>
  <si>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</si>
  <si>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</si>
  <si>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</si>
  <si>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</si>
  <si>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</si>
  <si>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</si>
  <si>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</si>
  <si>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</si>
  <si>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</si>
  <si>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</si>
  <si>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</si>
  <si>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</si>
  <si>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</si>
  <si>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</si>
  <si>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</si>
  <si>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</si>
  <si>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</si>
  <si>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</si>
  <si>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</si>
  <si>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</si>
  <si>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</si>
  <si>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</si>
  <si>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</si>
  <si>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</si>
  <si>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</si>
  <si>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</si>
  <si>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</si>
  <si>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</si>
  <si>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</si>
  <si>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</si>
  <si>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</si>
  <si>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</si>
  <si>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</si>
  <si>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</si>
  <si>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</si>
  <si>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</si>
  <si>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</si>
  <si>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</si>
  <si>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</si>
  <si>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</si>
  <si>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</si>
  <si>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</si>
  <si>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</si>
  <si>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</si>
  <si>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</si>
  <si>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</si>
  <si>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</si>
  <si>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</si>
  <si>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</si>
  <si>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</si>
  <si>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</si>
  <si>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</si>
  <si>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</si>
  <si>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</si>
  <si>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</si>
  <si>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</si>
  <si>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</si>
  <si>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</si>
  <si>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</si>
  <si>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</si>
  <si>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</si>
  <si>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</si>
  <si>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</si>
  <si>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</si>
  <si>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</si>
  <si>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</si>
  <si>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</si>
  <si>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</si>
  <si>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</si>
  <si>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</si>
  <si>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</si>
  <si>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</si>
  <si>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</si>
  <si>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</si>
  <si>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</si>
  <si>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</si>
  <si>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</si>
  <si>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</si>
  <si>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</si>
  <si>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</si>
  <si>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</si>
  <si>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</si>
  <si>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</si>
  <si>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</si>
  <si>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</si>
  <si>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</si>
  <si>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</si>
  <si>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</si>
  <si>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</si>
  <si>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</si>
  <si>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</si>
  <si>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</si>
  <si>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</si>
  <si>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</si>
  <si>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</si>
  <si>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</si>
  <si>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</si>
  <si>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</si>
  <si>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</si>
  <si>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</si>
  <si>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</si>
  <si>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</si>
  <si>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</si>
  <si>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</si>
  <si>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</si>
  <si>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</si>
  <si>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</si>
  <si>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</si>
  <si>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</si>
  <si>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</si>
  <si>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</si>
  <si>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</si>
  <si>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</si>
  <si>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</si>
  <si>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</si>
  <si>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</si>
  <si>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</si>
  <si>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</si>
  <si>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</si>
  <si>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</si>
  <si>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</si>
  <si>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</si>
  <si>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</si>
  <si>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</si>
  <si>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</si>
  <si>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</si>
  <si>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</si>
  <si>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</si>
  <si>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</si>
  <si>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</si>
  <si>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</si>
  <si>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</si>
  <si>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</si>
  <si>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</si>
  <si>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</si>
  <si>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</si>
  <si>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</si>
  <si>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</si>
  <si>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</si>
  <si>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</si>
  <si>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</si>
  <si>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</si>
  <si>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</si>
  <si>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</si>
  <si>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</si>
  <si>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</si>
  <si>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</si>
  <si>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</si>
  <si>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</si>
  <si>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</si>
  <si>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</si>
  <si>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</si>
  <si>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</si>
  <si>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</si>
  <si>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</si>
  <si>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</si>
  <si>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</si>
  <si>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</si>
  <si>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</si>
  <si>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</si>
  <si>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</si>
  <si>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</si>
  <si>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</si>
  <si>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</si>
  <si>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</si>
  <si>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</si>
  <si>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</si>
  <si>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</si>
  <si>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</si>
  <si>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</si>
  <si>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</si>
  <si>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</si>
  <si>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</si>
  <si>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</si>
  <si>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</si>
  <si>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</si>
  <si>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</si>
  <si>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</si>
  <si>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</si>
  <si>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</si>
  <si>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</si>
  <si>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</si>
  <si>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</si>
  <si>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</si>
  <si>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</si>
  <si>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</si>
  <si>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</si>
  <si>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</si>
  <si>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</si>
  <si>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</si>
  <si>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</si>
  <si>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</si>
  <si>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</si>
  <si>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</si>
  <si>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</si>
  <si>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</si>
  <si>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</si>
  <si>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</si>
  <si>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</si>
  <si>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</si>
  <si>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</si>
  <si>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</si>
  <si>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</si>
  <si>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</si>
  <si>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</si>
  <si>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</si>
  <si>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</si>
  <si>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</si>
  <si>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</si>
  <si>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</si>
  <si>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</si>
  <si>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</si>
  <si>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</si>
  <si>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</si>
  <si>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</si>
  <si>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</si>
  <si>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</si>
  <si>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</si>
  <si>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</si>
  <si>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</si>
  <si>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</si>
  <si>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</si>
  <si>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</si>
  <si>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</si>
  <si>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</si>
  <si>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</si>
  <si>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</si>
  <si>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</si>
  <si>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</si>
  <si>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</si>
  <si>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</si>
  <si>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</si>
  <si>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</si>
  <si>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</si>
  <si>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</si>
  <si>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</si>
  <si>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</si>
  <si>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</si>
  <si>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</si>
  <si>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</si>
  <si>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</si>
  <si>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</si>
  <si>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</si>
  <si>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</si>
  <si>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</si>
  <si>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</si>
  <si>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</si>
  <si>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</si>
  <si>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</si>
  <si>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</si>
  <si>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</si>
  <si>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</si>
  <si>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</si>
  <si>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</si>
  <si>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</si>
  <si>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</si>
  <si>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</si>
  <si>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</si>
  <si>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</si>
  <si>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</si>
  <si>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</si>
  <si>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</si>
  <si>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</si>
  <si>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</si>
  <si>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</si>
  <si>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</si>
  <si>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</si>
  <si>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</si>
  <si>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</si>
  <si>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</si>
  <si>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</si>
  <si>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</si>
  <si>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</si>
  <si>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</si>
  <si>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</si>
  <si>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</si>
  <si>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</si>
  <si>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</si>
  <si>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</si>
  <si>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</si>
  <si>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</si>
  <si>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</si>
  <si>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</si>
  <si>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</si>
  <si>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</si>
  <si>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</si>
  <si>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</si>
  <si>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</si>
  <si>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</si>
  <si>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</si>
  <si>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</si>
  <si>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</si>
  <si>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</si>
  <si>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</si>
  <si>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</si>
  <si>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</si>
  <si>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</si>
  <si>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</si>
  <si>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</si>
  <si>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</si>
  <si>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</si>
  <si>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</si>
  <si>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</si>
  <si>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</si>
  <si>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</si>
  <si>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</si>
  <si>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</si>
  <si>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</si>
  <si>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</si>
  <si>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</si>
  <si>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</si>
  <si>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</si>
  <si>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</si>
  <si>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</si>
  <si>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</si>
  <si>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</si>
  <si>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</si>
  <si>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</si>
  <si>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</si>
  <si>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</si>
  <si>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</si>
  <si>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</si>
  <si>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</si>
  <si>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</si>
  <si>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</si>
  <si>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</si>
  <si>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</si>
  <si>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</si>
  <si>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</si>
  <si>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</si>
  <si>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</si>
  <si>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</si>
  <si>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</si>
  <si>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</si>
  <si>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</si>
  <si>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</si>
  <si>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</si>
  <si>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</si>
  <si>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</si>
  <si>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</si>
  <si>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</si>
  <si>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</si>
  <si>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</si>
  <si>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</si>
  <si>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</si>
  <si>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</si>
  <si>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</si>
  <si>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</si>
  <si>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</si>
  <si>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</si>
  <si>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</si>
  <si>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</si>
  <si>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</si>
  <si>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</si>
  <si>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</si>
  <si>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</si>
  <si>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</si>
  <si>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</si>
  <si>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</si>
  <si>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</si>
  <si>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</si>
  <si>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</si>
  <si>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</si>
  <si>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</si>
  <si>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</si>
  <si>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</si>
  <si>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</si>
  <si>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</si>
  <si>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</si>
  <si>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</si>
  <si>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</si>
  <si>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</si>
  <si>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</si>
  <si>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</si>
  <si>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</si>
  <si>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</si>
  <si>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</si>
  <si>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</si>
  <si>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</si>
  <si>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</si>
  <si>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</si>
  <si>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</si>
  <si>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</si>
  <si>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</si>
  <si>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</si>
  <si>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</si>
  <si>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</si>
  <si>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</si>
  <si>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</si>
  <si>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</si>
  <si>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</si>
  <si>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</si>
  <si>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</si>
  <si>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</si>
  <si>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</si>
  <si>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</si>
  <si>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</si>
  <si>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</si>
  <si>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</si>
  <si>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</si>
  <si>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</si>
  <si>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</si>
  <si>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</si>
  <si>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</si>
  <si>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</si>
  <si>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</si>
  <si>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</si>
  <si>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</si>
  <si>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</si>
  <si>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</si>
  <si>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</si>
  <si>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</si>
  <si>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</si>
  <si>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</si>
  <si>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</si>
  <si>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</si>
  <si>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</si>
  <si>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</si>
  <si>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</si>
  <si>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</si>
  <si>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</si>
  <si>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</si>
  <si>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</si>
  <si>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</si>
  <si>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</si>
  <si>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</si>
  <si>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</si>
  <si>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</si>
  <si>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</si>
  <si>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</si>
  <si>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</si>
  <si>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</si>
  <si>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</si>
  <si>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</si>
  <si>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</si>
  <si>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</si>
  <si>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</si>
  <si>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</si>
  <si>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</si>
  <si>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</si>
  <si>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</si>
  <si>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</si>
  <si>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</si>
  <si>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</si>
  <si>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</si>
  <si>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</si>
  <si>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</si>
  <si>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</si>
  <si>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</si>
  <si>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</si>
  <si>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</si>
  <si>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</si>
  <si>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</si>
  <si>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</si>
  <si>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</si>
  <si>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</si>
  <si>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</si>
  <si>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</si>
  <si>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</si>
  <si>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</si>
  <si>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</si>
  <si>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</si>
  <si>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</si>
  <si>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</si>
  <si>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</si>
  <si>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</si>
  <si>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</si>
  <si>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</si>
  <si>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</si>
  <si>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</si>
  <si>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</si>
  <si>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</si>
  <si>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</si>
  <si>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</si>
  <si>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</si>
  <si>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</si>
  <si>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</si>
  <si>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</si>
  <si>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</si>
  <si>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</si>
  <si>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</si>
  <si>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</si>
  <si>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</si>
  <si>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</si>
  <si>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</si>
  <si>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</si>
  <si>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</si>
  <si>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</si>
  <si>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</si>
  <si>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</si>
  <si>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</si>
  <si>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</si>
  <si>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</si>
  <si>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</si>
  <si>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</si>
  <si>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</si>
  <si>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</si>
  <si>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</si>
  <si>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</si>
  <si>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</si>
  <si>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</si>
  <si>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</si>
  <si>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</si>
  <si>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</si>
  <si>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</si>
  <si>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</si>
  <si>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</si>
  <si>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</si>
  <si>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</si>
  <si>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</si>
  <si>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</si>
  <si>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</si>
  <si>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</si>
  <si>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</si>
  <si>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</si>
  <si>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</si>
  <si>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</si>
  <si>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</si>
  <si>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</si>
  <si>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</si>
  <si>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</si>
  <si>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</si>
  <si>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</si>
  <si>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</si>
  <si>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</si>
  <si>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</si>
  <si>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</si>
  <si>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</si>
  <si>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</si>
  <si>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</si>
  <si>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</si>
  <si>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</si>
  <si>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</si>
  <si>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</si>
  <si>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</si>
  <si>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</si>
  <si>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</si>
  <si>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</si>
  <si>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</si>
  <si>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</si>
  <si>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</si>
  <si>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</si>
  <si>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</si>
  <si>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</si>
  <si>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</si>
  <si>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</si>
  <si>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</si>
  <si>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</si>
  <si>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</si>
  <si>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</si>
  <si>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</si>
  <si>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</si>
  <si>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</si>
  <si>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</si>
  <si>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</si>
  <si>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</si>
  <si>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</si>
  <si>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</si>
  <si>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</si>
  <si>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</si>
  <si>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</si>
  <si>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</si>
  <si>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</si>
  <si>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</si>
  <si>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</si>
  <si>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</si>
  <si>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</si>
  <si>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</si>
  <si>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</si>
  <si>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</si>
  <si>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</si>
  <si>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</si>
  <si>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</si>
  <si>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</si>
  <si>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</si>
  <si>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</si>
  <si>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</si>
  <si>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</si>
  <si>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</si>
  <si>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</si>
  <si>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</si>
  <si>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</si>
  <si>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</si>
  <si>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</si>
  <si>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</si>
  <si>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</si>
  <si>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</si>
  <si>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</si>
  <si>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</si>
  <si>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</si>
  <si>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</si>
  <si>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</si>
  <si>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</si>
  <si>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</si>
  <si>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</si>
  <si>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</si>
  <si>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</si>
  <si>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</si>
  <si>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</si>
  <si>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</si>
  <si>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</si>
  <si>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</si>
  <si>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</si>
  <si>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</si>
  <si>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</si>
  <si>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</si>
  <si>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</si>
  <si>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</si>
  <si>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</si>
  <si>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</si>
  <si>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</si>
  <si>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</si>
  <si>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</si>
  <si>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</si>
  <si>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</si>
  <si>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</si>
  <si>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</si>
  <si>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</si>
  <si>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</si>
  <si>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</si>
  <si>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</si>
  <si>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</si>
  <si>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</si>
  <si>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</si>
  <si>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</si>
  <si>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</si>
  <si>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</si>
  <si>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</si>
  <si>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</si>
  <si>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</si>
  <si>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</si>
  <si>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</si>
  <si>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</si>
  <si>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</si>
  <si>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</si>
  <si>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</si>
  <si>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</si>
  <si>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</si>
  <si>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</si>
  <si>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</si>
  <si>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</si>
  <si>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</si>
  <si>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</si>
  <si>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</si>
  <si>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</si>
  <si>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</si>
  <si>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</si>
  <si>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</si>
  <si>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</si>
  <si>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</si>
  <si>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</si>
  <si>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</si>
  <si>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</si>
  <si>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</si>
  <si>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</si>
  <si>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</si>
  <si>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</si>
  <si>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</si>
  <si>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</si>
  <si>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</si>
  <si>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</si>
  <si>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</si>
  <si>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</si>
  <si>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</si>
  <si>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</si>
  <si>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</si>
  <si>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</si>
  <si>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</si>
  <si>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</si>
  <si>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</si>
  <si>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</si>
  <si>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</si>
  <si>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</si>
  <si>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</si>
  <si>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</si>
  <si>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</si>
  <si>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</si>
  <si>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</si>
  <si>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</si>
  <si>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</si>
  <si>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</si>
  <si>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</si>
  <si>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</si>
  <si>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</si>
  <si>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</si>
  <si>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</si>
  <si>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</si>
  <si>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</si>
  <si>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</si>
  <si>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</si>
  <si>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</si>
  <si>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</si>
  <si>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</si>
  <si>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</si>
  <si>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</si>
  <si>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</si>
  <si>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</si>
  <si>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</si>
  <si>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</si>
  <si>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</si>
  <si>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</si>
  <si>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</si>
  <si>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</si>
  <si>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</si>
  <si>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</si>
  <si>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</si>
  <si>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</si>
  <si>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</si>
  <si>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</si>
  <si>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</si>
  <si>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</si>
  <si>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</si>
  <si>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</si>
  <si>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</si>
  <si>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</si>
  <si>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</si>
  <si>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</si>
  <si>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</si>
  <si>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</si>
  <si>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</si>
  <si>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</si>
  <si>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</si>
  <si>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</si>
  <si>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</si>
  <si>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</si>
  <si>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</si>
  <si>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</si>
  <si>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</si>
  <si>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</si>
  <si>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</si>
  <si>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</si>
  <si>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</si>
  <si>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</si>
  <si>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</si>
  <si>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</si>
  <si>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</si>
  <si>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</si>
  <si>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</si>
  <si>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</si>
  <si>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</si>
  <si>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</si>
  <si>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</si>
  <si>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</si>
  <si>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</si>
  <si>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</si>
  <si>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</si>
  <si>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</si>
  <si>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</si>
  <si>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</si>
  <si>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</si>
  <si>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</si>
  <si>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</si>
  <si>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</si>
  <si>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</si>
  <si>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</si>
  <si>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</si>
  <si>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</si>
  <si>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</si>
  <si>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</si>
  <si>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</si>
  <si>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</si>
  <si>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</si>
  <si>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</si>
  <si>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</si>
  <si>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</si>
  <si>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</si>
  <si>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</si>
  <si>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</si>
  <si>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</si>
  <si>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</si>
  <si>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</si>
  <si>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</si>
  <si>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</si>
  <si>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</si>
  <si>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</si>
  <si>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</si>
  <si>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</si>
  <si>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</si>
  <si>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</si>
  <si>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</si>
  <si>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</si>
  <si>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</si>
  <si>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</si>
  <si>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</si>
  <si>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</si>
  <si>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</si>
  <si>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</si>
  <si>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</si>
  <si>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</si>
  <si>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</si>
  <si>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</si>
  <si>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</si>
  <si>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</si>
  <si>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</si>
  <si>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</si>
  <si>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</si>
  <si>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</si>
  <si>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</si>
  <si>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</si>
  <si>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</si>
  <si>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</si>
  <si>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</si>
  <si>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</si>
  <si>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</si>
  <si>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</si>
  <si>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</si>
  <si>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</si>
  <si>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</si>
  <si>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</si>
  <si>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</si>
  <si>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</si>
  <si>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</si>
  <si>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</si>
  <si>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</si>
  <si>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</si>
  <si>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</si>
  <si>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</si>
  <si>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</si>
  <si>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</si>
  <si>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</si>
  <si>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</si>
  <si>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</si>
  <si>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</si>
  <si>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</si>
  <si>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</si>
  <si>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</si>
  <si>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</si>
  <si>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</si>
  <si>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</si>
  <si>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</si>
  <si>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</si>
  <si>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</si>
  <si>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</si>
  <si>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</si>
  <si>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</si>
  <si>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</si>
  <si>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</si>
  <si>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</si>
  <si>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</si>
  <si>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</si>
  <si>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</si>
  <si>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</si>
  <si>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</si>
  <si>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</si>
  <si>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</si>
  <si>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</si>
  <si>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</si>
  <si>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</si>
  <si>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</si>
  <si>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</si>
  <si>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</si>
  <si>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</si>
  <si>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</si>
  <si>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</si>
  <si>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</si>
  <si>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</si>
  <si>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</si>
  <si>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</si>
  <si>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</si>
  <si>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</si>
  <si>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</si>
  <si>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</si>
  <si>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</si>
  <si>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</si>
  <si>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</si>
  <si>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</si>
  <si>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</si>
  <si>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</si>
  <si>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</si>
  <si>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</si>
  <si>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</si>
  <si>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</si>
  <si>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</si>
  <si>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</si>
  <si>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</si>
  <si>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</si>
  <si>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</si>
  <si>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</si>
  <si>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</si>
  <si>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</si>
  <si>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</si>
  <si>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</si>
  <si>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</si>
  <si>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</si>
  <si>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</si>
  <si>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</si>
  <si>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</si>
  <si>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</si>
  <si>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</si>
  <si>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</si>
  <si>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</si>
  <si>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</si>
  <si>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</si>
  <si>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</si>
  <si>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</si>
  <si>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</si>
  <si>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</si>
  <si>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</si>
  <si>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</si>
  <si>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</si>
  <si>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</si>
  <si>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</si>
  <si>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</si>
  <si>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</si>
  <si>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</si>
  <si>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</si>
  <si>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</si>
  <si>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</si>
  <si>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</si>
  <si>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</si>
  <si>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</si>
  <si>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</si>
  <si>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</si>
  <si>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</si>
  <si>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</si>
  <si>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</si>
  <si>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</si>
  <si>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</si>
  <si>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</si>
  <si>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</si>
  <si>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</si>
  <si>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</si>
  <si>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</si>
  <si>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</si>
  <si>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</si>
  <si>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</si>
  <si>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</si>
  <si>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</si>
  <si>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</si>
  <si>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</si>
  <si>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</si>
  <si>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</si>
  <si>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</si>
  <si>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</si>
  <si>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</si>
  <si>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</si>
  <si>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</si>
  <si>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</si>
  <si>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</si>
  <si>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</si>
  <si>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</si>
  <si>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</si>
  <si>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</si>
  <si>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</si>
  <si>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</si>
  <si>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</si>
  <si>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</si>
  <si>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</si>
  <si>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</si>
  <si>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</si>
  <si>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</si>
  <si>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</si>
  <si>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</si>
  <si>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</si>
  <si>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</si>
  <si>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</si>
  <si>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</si>
  <si>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</si>
  <si>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</si>
  <si>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</si>
  <si>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</si>
  <si>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</si>
  <si>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</si>
  <si>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</si>
  <si>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</si>
  <si>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</si>
  <si>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</si>
  <si>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</si>
  <si>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</si>
  <si>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</si>
  <si>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</si>
  <si>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</si>
  <si>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</si>
  <si>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</si>
  <si>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</si>
  <si>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</si>
  <si>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</si>
  <si>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</si>
  <si>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</si>
  <si>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</si>
  <si>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</si>
  <si>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</si>
  <si>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</si>
  <si>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</si>
  <si>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</si>
  <si>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</si>
  <si>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</si>
  <si>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</si>
  <si>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</si>
  <si>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</si>
  <si>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</si>
  <si>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</si>
  <si>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</si>
  <si>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</si>
  <si>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</si>
  <si>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</si>
  <si>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</si>
  <si>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</si>
  <si>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</si>
  <si>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</si>
  <si>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</si>
  <si>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</si>
  <si>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</si>
  <si>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</si>
  <si>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</si>
  <si>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</si>
  <si>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</si>
  <si>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</si>
  <si>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</si>
  <si>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</si>
  <si>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</si>
  <si>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</si>
  <si>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</si>
  <si>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</si>
  <si>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</si>
  <si>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</si>
  <si>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</si>
  <si>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</si>
  <si>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</si>
  <si>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</si>
  <si>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</si>
  <si>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</si>
  <si>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</si>
  <si>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</si>
  <si>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</si>
  <si>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</si>
  <si>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</si>
  <si>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</si>
  <si>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</si>
  <si>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</si>
  <si>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</si>
  <si>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</si>
  <si>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</si>
  <si>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</si>
  <si>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</si>
  <si>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</si>
  <si>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</si>
  <si>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</si>
  <si>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</si>
  <si>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</si>
  <si>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</si>
  <si>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</si>
  <si>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</si>
  <si>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</si>
  <si>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</si>
  <si>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</si>
  <si>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</si>
  <si>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</si>
  <si>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</si>
  <si>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</si>
  <si>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</si>
  <si>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</si>
  <si>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</si>
  <si>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</si>
  <si>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</si>
  <si>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</si>
  <si>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</si>
  <si>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</si>
  <si>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</si>
  <si>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</si>
  <si>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</si>
  <si>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</si>
  <si>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</si>
  <si>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</si>
  <si>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</si>
  <si>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</si>
  <si>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</si>
  <si>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</si>
  <si>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</si>
  <si>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</si>
  <si>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</si>
  <si>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</si>
  <si>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</si>
  <si>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</si>
  <si>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</si>
  <si>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</si>
  <si>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</si>
  <si>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</si>
  <si>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</si>
  <si>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</si>
  <si>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</si>
  <si>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</si>
  <si>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</si>
  <si>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</si>
  <si>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</si>
  <si>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</si>
  <si>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</si>
  <si>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</si>
  <si>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</si>
  <si>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</si>
  <si>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</si>
  <si>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</si>
  <si>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</si>
  <si>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</si>
  <si>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</si>
  <si>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</si>
  <si>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</si>
  <si>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</si>
  <si>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</si>
  <si>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</si>
  <si>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</si>
  <si>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</si>
  <si>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</si>
  <si>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</si>
  <si>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</si>
  <si>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</si>
  <si>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</si>
  <si>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</si>
  <si>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</si>
  <si>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</si>
  <si>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</si>
  <si>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</si>
  <si>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</si>
  <si>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</si>
  <si>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</si>
  <si>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</si>
  <si>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</si>
  <si>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</si>
  <si>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</si>
  <si>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</si>
  <si>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</si>
  <si>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</si>
  <si>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</si>
  <si>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</si>
  <si>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</si>
  <si>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</si>
  <si>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</si>
  <si>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</si>
  <si>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</si>
  <si>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</si>
  <si>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</si>
  <si>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</si>
  <si>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</si>
  <si>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</si>
  <si>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</si>
  <si>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</si>
  <si>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</si>
  <si>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</si>
  <si>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</si>
  <si>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</si>
  <si>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</si>
  <si>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</si>
  <si>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</si>
  <si>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</si>
  <si>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</si>
  <si>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</si>
  <si>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</si>
  <si>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</si>
  <si>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</si>
  <si>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</si>
  <si>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</si>
  <si>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</si>
  <si>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</si>
  <si>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</si>
  <si>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</si>
  <si>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</si>
  <si>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</si>
  <si>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</si>
  <si>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</si>
  <si>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</si>
  <si>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</si>
  <si>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</si>
  <si>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</si>
  <si>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</si>
  <si>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</si>
  <si>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</si>
  <si>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</si>
  <si>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</si>
  <si>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</si>
  <si>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</si>
  <si>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</si>
  <si>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</si>
  <si>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</si>
  <si>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</si>
  <si>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</si>
  <si>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</si>
  <si>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</si>
  <si>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</si>
  <si>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</si>
  <si>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</si>
  <si>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</si>
  <si>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</si>
  <si>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</si>
  <si>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</si>
  <si>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</si>
  <si>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</si>
  <si>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</si>
  <si>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</si>
  <si>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</si>
  <si>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</si>
  <si>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</si>
  <si>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</si>
  <si>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</si>
  <si>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</si>
  <si>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</si>
  <si>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</si>
  <si>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</si>
  <si>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</si>
  <si>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</si>
  <si>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</si>
  <si>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</si>
  <si>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</si>
  <si>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</si>
  <si>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</si>
  <si>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</si>
  <si>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</si>
  <si>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</si>
  <si>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</si>
  <si>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</si>
  <si>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</si>
  <si>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</si>
  <si>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</si>
  <si>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</si>
  <si>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</si>
  <si>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</si>
  <si>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</si>
  <si>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</si>
  <si>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</si>
  <si>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</si>
  <si>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</si>
  <si>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</si>
  <si>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</si>
  <si>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</si>
  <si>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</si>
  <si>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</si>
  <si>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</si>
  <si>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</si>
  <si>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</si>
  <si>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</si>
  <si>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</si>
  <si>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</si>
  <si>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</si>
  <si>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</si>
  <si>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</si>
  <si>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</si>
  <si>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</si>
  <si>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</si>
  <si>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</si>
  <si>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</si>
  <si>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</si>
  <si>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</si>
  <si>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</si>
  <si>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</si>
  <si>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</si>
  <si>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</si>
  <si>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</si>
  <si>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</si>
  <si>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</si>
  <si>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</si>
  <si>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</si>
  <si>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</si>
  <si>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</si>
  <si>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</si>
  <si>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</si>
  <si>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</si>
  <si>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</si>
  <si>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</si>
  <si>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</si>
  <si>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</si>
  <si>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</si>
  <si>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</si>
  <si>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</si>
  <si>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</si>
  <si>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</si>
  <si>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</si>
  <si>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</si>
  <si>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</si>
  <si>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</si>
  <si>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</si>
  <si>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</si>
  <si>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</si>
  <si>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</si>
  <si>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</si>
  <si>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</si>
  <si>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</si>
  <si>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</si>
  <si>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</si>
  <si>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</si>
  <si>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</si>
  <si>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</si>
  <si>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</si>
  <si>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</si>
  <si>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</si>
  <si>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</si>
  <si>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</si>
  <si>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</si>
  <si>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</si>
  <si>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</si>
  <si>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</si>
  <si>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</si>
  <si>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</si>
  <si>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</si>
  <si>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</si>
  <si>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</si>
  <si>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</si>
  <si>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</si>
  <si>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</si>
  <si>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</si>
  <si>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</si>
  <si>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</si>
  <si>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</si>
  <si>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</si>
  <si>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</si>
  <si>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</si>
  <si>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</si>
  <si>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</si>
  <si>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</si>
  <si>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</si>
  <si>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</si>
  <si>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</si>
  <si>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</si>
  <si>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</si>
  <si>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</si>
  <si>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</si>
  <si>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</si>
  <si>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</si>
  <si>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</si>
  <si>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</si>
  <si>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</si>
  <si>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</si>
  <si>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</si>
  <si>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</si>
  <si>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</si>
  <si>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</si>
  <si>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</si>
  <si>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</si>
  <si>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</si>
  <si>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</si>
  <si>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</si>
  <si>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</si>
  <si>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</si>
  <si>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</si>
  <si>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</si>
  <si>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</si>
  <si>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</si>
  <si>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</si>
  <si>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</si>
  <si>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</si>
  <si>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</si>
  <si>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</si>
  <si>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</si>
  <si>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</si>
  <si>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</si>
  <si>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</si>
  <si>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</si>
  <si>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</si>
  <si>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</si>
  <si>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</si>
  <si>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</si>
  <si>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</si>
  <si>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</si>
  <si>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</si>
  <si>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</si>
  <si>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</si>
  <si>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</si>
  <si>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</si>
  <si>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</si>
  <si>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</si>
  <si>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</si>
  <si>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</si>
  <si>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</si>
  <si>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</si>
  <si>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</si>
  <si>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</si>
  <si>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</si>
  <si>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</si>
  <si>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</si>
  <si>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</si>
  <si>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</si>
  <si>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</si>
  <si>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</si>
  <si>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</si>
  <si>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</si>
  <si>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</si>
  <si>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</si>
  <si>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</si>
  <si>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</si>
  <si>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</si>
  <si>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</si>
  <si>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</si>
  <si>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</si>
  <si>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</si>
  <si>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</si>
  <si>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</si>
  <si>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</si>
  <si>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</si>
  <si>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</si>
  <si>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</si>
  <si>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</si>
  <si>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</si>
  <si>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</si>
  <si>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</si>
  <si>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</si>
  <si>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</si>
  <si>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</si>
  <si>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</si>
  <si>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</si>
  <si>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</si>
  <si>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</si>
  <si>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</si>
  <si>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</si>
  <si>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</si>
  <si>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</si>
  <si>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</si>
  <si>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</si>
  <si>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</si>
  <si>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</si>
  <si>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</si>
  <si>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</si>
  <si>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</si>
  <si>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</si>
  <si>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</si>
  <si>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</si>
  <si>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</si>
  <si>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</si>
  <si>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</si>
  <si>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</si>
  <si>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</si>
  <si>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</si>
  <si>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</si>
  <si>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</si>
  <si>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</si>
  <si>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</si>
  <si>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</si>
  <si>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</si>
  <si>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</si>
  <si>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</si>
  <si>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</si>
  <si>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</si>
  <si>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</si>
  <si>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</si>
  <si>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</si>
  <si>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</si>
  <si>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</si>
  <si>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</si>
  <si>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</si>
  <si>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</si>
  <si>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</si>
  <si>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</si>
  <si>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</si>
  <si>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</si>
  <si>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</si>
  <si>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</si>
  <si>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</si>
  <si>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</si>
  <si>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</si>
  <si>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</si>
  <si>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</si>
  <si>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</si>
  <si>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</si>
  <si>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</si>
  <si>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</si>
  <si>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</si>
  <si>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</si>
  <si>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</si>
  <si>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</si>
  <si>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</si>
  <si>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</si>
  <si>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</si>
  <si>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</si>
  <si>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</si>
  <si>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</si>
  <si>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</si>
  <si>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</si>
  <si>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</si>
  <si>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</si>
  <si>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</si>
  <si>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</si>
  <si>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</si>
  <si>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</si>
  <si>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</si>
  <si>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</si>
  <si>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</si>
  <si>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</si>
  <si>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</si>
  <si>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</si>
  <si>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</si>
  <si>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</si>
  <si>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</si>
  <si>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</si>
  <si>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</si>
  <si>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</si>
  <si>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</si>
  <si>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</si>
  <si>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</si>
  <si>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</si>
  <si>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</si>
  <si>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</si>
  <si>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</si>
  <si>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</si>
  <si>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</si>
  <si>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</si>
  <si>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</si>
  <si>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</si>
  <si>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</si>
  <si>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</si>
  <si>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</si>
  <si>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</si>
  <si>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</si>
  <si>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</si>
  <si>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</si>
  <si>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</si>
  <si>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</si>
  <si>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</si>
  <si>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</si>
  <si>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</si>
  <si>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</si>
  <si>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</si>
  <si>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</si>
  <si>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</si>
  <si>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</si>
  <si>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</si>
  <si>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</si>
  <si>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</si>
  <si>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</si>
  <si>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</si>
  <si>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</si>
  <si>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</si>
  <si>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</si>
  <si>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</si>
  <si>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</si>
  <si>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</si>
  <si>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</si>
  <si>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</si>
  <si>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</si>
  <si>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</si>
  <si>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</si>
  <si>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</si>
  <si>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</si>
  <si>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</si>
  <si>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</si>
  <si>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</si>
  <si>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</si>
  <si>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</si>
  <si>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</si>
  <si>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</si>
  <si>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</si>
  <si>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</si>
  <si>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</si>
  <si>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</si>
  <si>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</si>
  <si>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</si>
  <si>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</si>
  <si>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</si>
  <si>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</si>
  <si>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</si>
  <si>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</si>
  <si>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</si>
  <si>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</si>
  <si>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</si>
  <si>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</si>
  <si>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</si>
  <si>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</si>
  <si>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</si>
  <si>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</si>
  <si>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</si>
  <si>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</si>
  <si>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</si>
  <si>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</si>
  <si>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</si>
  <si>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</si>
  <si>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</si>
  <si>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</si>
  <si>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</si>
  <si>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</si>
  <si>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</si>
  <si>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</si>
  <si>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</si>
  <si>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</si>
  <si>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</si>
  <si>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</si>
  <si>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</si>
  <si>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</si>
  <si>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</si>
  <si>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</si>
  <si>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</si>
  <si>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</si>
  <si>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</si>
  <si>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</si>
  <si>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</si>
  <si>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</si>
  <si>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</si>
  <si>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</si>
  <si>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</si>
  <si>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</si>
  <si>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</si>
  <si>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</si>
  <si>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</si>
  <si>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</si>
  <si>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</si>
  <si>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</si>
  <si>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</si>
  <si>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</si>
  <si>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</si>
  <si>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</si>
  <si>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</si>
  <si>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</si>
  <si>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</si>
  <si>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</si>
  <si>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</si>
  <si>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</si>
  <si>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</si>
  <si>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</si>
  <si>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</si>
  <si>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</si>
  <si>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</si>
  <si>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</si>
  <si>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</si>
  <si>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</si>
  <si>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</si>
  <si>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</si>
  <si>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</si>
  <si>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</si>
  <si>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</si>
  <si>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</si>
  <si>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</si>
  <si>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</si>
  <si>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</si>
  <si>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</si>
  <si>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</si>
  <si>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</si>
  <si>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</si>
  <si>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</si>
  <si>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</si>
  <si>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</si>
  <si>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</si>
  <si>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</si>
  <si>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</si>
  <si>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</si>
  <si>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</si>
  <si>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</si>
  <si>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</si>
  <si>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</si>
  <si>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</si>
  <si>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</si>
  <si>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</si>
  <si>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</si>
  <si>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</si>
  <si>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</si>
  <si>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</si>
  <si>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</si>
  <si>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</si>
  <si>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</si>
  <si>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</si>
  <si>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</si>
  <si>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</si>
  <si>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</si>
  <si>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</si>
  <si>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</si>
  <si>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</si>
  <si>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</si>
  <si>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</si>
  <si>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</si>
  <si>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</si>
  <si>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</si>
  <si>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</si>
  <si>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</si>
  <si>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</si>
  <si>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</si>
  <si>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</si>
  <si>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</si>
  <si>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</si>
  <si>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</si>
  <si>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</si>
  <si>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</si>
  <si>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</si>
  <si>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</si>
  <si>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</si>
  <si>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</si>
  <si>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</si>
  <si>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</si>
  <si>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</si>
  <si>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</si>
  <si>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</si>
  <si>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</si>
  <si>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</si>
  <si>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</si>
  <si>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</si>
  <si>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</si>
  <si>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</si>
  <si>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</si>
  <si>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</si>
  <si>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</si>
  <si>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</si>
  <si>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</si>
  <si>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</si>
  <si>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</si>
  <si>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</si>
  <si>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</si>
  <si>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</si>
  <si>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</si>
  <si>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</si>
  <si>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</si>
  <si>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</si>
  <si>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</si>
  <si>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</si>
  <si>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</si>
  <si>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</si>
  <si>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</si>
  <si>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</si>
  <si>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</si>
  <si>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</si>
  <si>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</si>
  <si>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</si>
  <si>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</si>
  <si>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</si>
  <si>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</si>
  <si>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</si>
  <si>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</si>
  <si>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</si>
  <si>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</si>
  <si>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</si>
  <si>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</si>
  <si>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</si>
  <si>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</si>
  <si>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</si>
  <si>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</si>
  <si>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</si>
  <si>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</si>
  <si>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</si>
  <si>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</si>
  <si>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</si>
  <si>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</si>
  <si>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</si>
  <si>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</si>
  <si>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</si>
  <si>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</si>
  <si>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</si>
  <si>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</si>
  <si>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</si>
  <si>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</si>
  <si>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</si>
  <si>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</si>
  <si>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</si>
  <si>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</si>
  <si>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</si>
  <si>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</si>
  <si>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</si>
  <si>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</si>
  <si>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</si>
  <si>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</si>
  <si>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</si>
  <si>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</si>
  <si>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</si>
  <si>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</si>
  <si>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</si>
  <si>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</si>
  <si>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</si>
  <si>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</si>
  <si>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</si>
  <si>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</si>
  <si>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</si>
  <si>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</si>
  <si>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</si>
  <si>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</si>
  <si>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</si>
  <si>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</si>
  <si>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</si>
  <si>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</si>
  <si>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</si>
  <si>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</si>
  <si>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</si>
  <si>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</si>
  <si>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</si>
  <si>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</si>
  <si>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</si>
  <si>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</si>
  <si>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</si>
  <si>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</si>
  <si>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</si>
  <si>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</si>
  <si>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</si>
  <si>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</si>
  <si>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</si>
  <si>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</si>
  <si>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</si>
  <si>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</si>
  <si>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</si>
  <si>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</si>
  <si>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</si>
  <si>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</si>
  <si>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</si>
  <si>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</si>
  <si>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</si>
  <si>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</si>
  <si>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</si>
  <si>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</si>
  <si>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</si>
  <si>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</si>
  <si>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</si>
  <si>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</si>
  <si>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</si>
  <si>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</si>
  <si>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</si>
  <si>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</si>
  <si>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</si>
  <si>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</si>
  <si>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</si>
  <si>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</si>
  <si>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</si>
  <si>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</si>
  <si>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</si>
  <si>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</si>
  <si>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</si>
  <si>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</si>
  <si>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</si>
  <si>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</si>
  <si>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</si>
  <si>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</si>
  <si>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</si>
  <si>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</si>
  <si>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</si>
  <si>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</si>
  <si>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</si>
  <si>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</si>
  <si>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</si>
  <si>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</si>
  <si>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</si>
  <si>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</si>
  <si>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</si>
  <si>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</si>
  <si>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</si>
  <si>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</si>
  <si>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</si>
  <si>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</si>
  <si>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</si>
  <si>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</si>
  <si>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</si>
  <si>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</si>
  <si>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</si>
  <si>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</si>
  <si>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</si>
  <si>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</si>
  <si>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</si>
  <si>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</si>
  <si>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</si>
  <si>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</si>
  <si>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</si>
  <si>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</si>
  <si>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</si>
  <si>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</si>
  <si>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</si>
  <si>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</si>
  <si>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</si>
  <si>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</si>
  <si>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</si>
  <si>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</si>
  <si>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</si>
  <si>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</si>
  <si>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</si>
  <si>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</si>
  <si>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</si>
  <si>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</si>
  <si>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</si>
  <si>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</si>
  <si>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</si>
  <si>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</si>
  <si>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</si>
  <si>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</si>
  <si>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</si>
  <si>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</si>
  <si>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</si>
  <si>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</si>
  <si>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</si>
  <si>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</si>
  <si>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</si>
  <si>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</si>
  <si>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</si>
  <si>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</si>
  <si>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</si>
  <si>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</si>
  <si>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</si>
  <si>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</si>
  <si>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</si>
  <si>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</si>
  <si>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</si>
  <si>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</si>
  <si>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</si>
  <si>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</si>
  <si>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</si>
  <si>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</si>
  <si>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</si>
  <si>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</si>
  <si>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</si>
  <si>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</si>
  <si>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</si>
  <si>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</si>
  <si>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</si>
  <si>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</si>
  <si>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</si>
  <si>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</si>
  <si>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</si>
  <si>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</si>
  <si>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</si>
  <si>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</si>
  <si>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</si>
  <si>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</si>
  <si>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</si>
  <si>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</si>
  <si>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</si>
  <si>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</si>
  <si>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</si>
  <si>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</si>
  <si>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</si>
  <si>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</si>
  <si>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</si>
  <si>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</si>
  <si>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</si>
  <si>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</si>
  <si>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</si>
  <si>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</si>
  <si>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</si>
  <si>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</si>
  <si>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</si>
  <si>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</si>
  <si>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</si>
  <si>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</si>
  <si>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</si>
  <si>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</si>
  <si>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</si>
  <si>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</si>
  <si>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</si>
  <si>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</si>
  <si>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</si>
  <si>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</si>
  <si>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</si>
  <si>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</si>
  <si>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</si>
  <si>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</si>
  <si>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</si>
  <si>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</si>
  <si>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</si>
  <si>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</si>
  <si>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</si>
  <si>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</si>
  <si>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</si>
  <si>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</si>
  <si>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</si>
  <si>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</si>
  <si>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</si>
  <si>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</si>
  <si>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</si>
  <si>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</si>
  <si>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</si>
  <si>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</si>
  <si>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</si>
  <si>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</si>
  <si>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</si>
  <si>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</si>
  <si>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</si>
  <si>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</si>
  <si>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</si>
  <si>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</si>
  <si>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</si>
  <si>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</si>
  <si>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</si>
  <si>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</si>
  <si>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</si>
  <si>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</si>
  <si>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</si>
  <si>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</si>
  <si>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</si>
  <si>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</si>
  <si>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</si>
  <si>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</si>
  <si>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</si>
  <si>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</si>
  <si>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</si>
  <si>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</si>
  <si>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</si>
  <si>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</si>
  <si>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</si>
  <si>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</si>
  <si>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</si>
  <si>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</si>
  <si>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</si>
  <si>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</si>
  <si>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</si>
  <si>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</si>
  <si>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</si>
  <si>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</si>
  <si>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</si>
  <si>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</si>
  <si>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</si>
  <si>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</si>
  <si>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</si>
  <si>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</si>
  <si>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</si>
  <si>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</si>
  <si>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</si>
  <si>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</si>
  <si>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</si>
  <si>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</si>
  <si>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</si>
  <si>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</si>
  <si>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</si>
  <si>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</si>
  <si>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</si>
  <si>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</si>
  <si>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</si>
  <si>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</si>
  <si>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</si>
  <si>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</si>
  <si>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</si>
  <si>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</si>
  <si>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</si>
  <si>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</si>
  <si>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</si>
  <si>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</si>
  <si>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</si>
  <si>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</si>
  <si>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</si>
  <si>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</si>
  <si>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</si>
  <si>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</si>
  <si>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</si>
  <si>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</si>
  <si>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</si>
  <si>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</si>
  <si>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</si>
  <si>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</si>
  <si>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</si>
  <si>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</si>
  <si>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</si>
  <si>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</si>
  <si>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</si>
  <si>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</si>
  <si>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</si>
  <si>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</si>
  <si>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</si>
  <si>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</si>
  <si>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</si>
  <si>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</si>
  <si>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</si>
  <si>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</si>
  <si>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</si>
  <si>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</si>
  <si>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</si>
  <si>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</si>
  <si>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</si>
  <si>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</si>
  <si>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</si>
  <si>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</si>
  <si>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</si>
  <si>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</si>
  <si>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</si>
  <si>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</si>
  <si>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</si>
  <si>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</si>
  <si>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</si>
  <si>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</si>
  <si>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</si>
  <si>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</si>
  <si>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</si>
  <si>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</si>
  <si>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</si>
  <si>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</si>
  <si>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</si>
  <si>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</si>
  <si>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</si>
  <si>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</si>
  <si>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</si>
  <si>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</si>
  <si>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</si>
  <si>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</si>
  <si>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</si>
  <si>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</si>
  <si>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</si>
  <si>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</si>
  <si>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</si>
  <si>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</si>
  <si>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</si>
  <si>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</si>
  <si>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</si>
  <si>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</si>
  <si>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</si>
  <si>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</si>
  <si>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</si>
  <si>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</si>
  <si>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</si>
  <si>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</si>
  <si>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</si>
  <si>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</si>
  <si>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</si>
  <si>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</si>
  <si>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</si>
  <si>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</si>
  <si>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</si>
  <si>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</si>
  <si>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</si>
  <si>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</si>
  <si>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</si>
  <si>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</si>
  <si>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</si>
  <si>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</si>
  <si>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</si>
  <si>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</si>
  <si>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</si>
  <si>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</si>
  <si>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</si>
  <si>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</si>
  <si>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</si>
  <si>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</si>
  <si>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</si>
  <si>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</si>
  <si>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</si>
  <si>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</si>
  <si>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</si>
  <si>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</si>
  <si>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</si>
  <si>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</si>
  <si>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</si>
  <si>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</si>
  <si>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</si>
  <si>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</si>
  <si>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</si>
  <si>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</si>
  <si>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</si>
  <si>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</si>
  <si>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</si>
  <si>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</si>
  <si>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</si>
  <si>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</si>
  <si>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</si>
  <si>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</si>
  <si>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</si>
  <si>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</si>
  <si>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</si>
  <si>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</si>
  <si>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</si>
  <si>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</si>
  <si>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</si>
  <si>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</si>
  <si>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</si>
  <si>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</si>
  <si>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</si>
  <si>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</si>
  <si>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</si>
  <si>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</si>
  <si>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</si>
  <si>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</si>
  <si>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</si>
  <si>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</si>
  <si>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</si>
  <si>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</si>
  <si>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</si>
  <si>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</si>
  <si>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</si>
  <si>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</si>
  <si>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</si>
  <si>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</si>
  <si>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</si>
  <si>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</si>
  <si>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</si>
  <si>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</si>
  <si>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</si>
  <si>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</si>
  <si>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</si>
  <si>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</si>
  <si>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</si>
  <si>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</si>
  <si>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</si>
  <si>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</si>
  <si>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</si>
  <si>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</si>
  <si>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</si>
  <si>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</si>
  <si>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</si>
  <si>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</si>
  <si>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</si>
  <si>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</si>
  <si>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</si>
  <si>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</si>
  <si>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</si>
  <si>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</si>
  <si>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</si>
  <si>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</si>
  <si>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</si>
  <si>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</si>
  <si>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</si>
  <si>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</si>
  <si>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</si>
  <si>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</si>
  <si>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</si>
  <si>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</si>
  <si>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</si>
  <si>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</si>
  <si>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</si>
  <si>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</si>
  <si>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</si>
  <si>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</si>
  <si>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</si>
  <si>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</si>
  <si>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</si>
  <si>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</si>
  <si>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</si>
  <si>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</si>
  <si>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</si>
  <si>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</si>
  <si>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</si>
  <si>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</si>
  <si>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</si>
  <si>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</si>
  <si>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</si>
  <si>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</si>
  <si>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</si>
  <si>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</si>
  <si>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</si>
  <si>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</si>
  <si>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</si>
  <si>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</si>
  <si>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</si>
  <si>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</si>
  <si>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</si>
  <si>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</si>
  <si>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</si>
  <si>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</si>
  <si>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</si>
  <si>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</si>
  <si>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</si>
  <si>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</si>
  <si>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</si>
  <si>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</si>
  <si>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</si>
  <si>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</si>
  <si>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</si>
  <si>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</si>
  <si>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</si>
  <si>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</si>
  <si>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</si>
  <si>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</si>
  <si>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</si>
  <si>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</si>
  <si>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</si>
  <si>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</si>
  <si>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</si>
  <si>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</si>
  <si>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</si>
  <si>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</si>
  <si>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</si>
  <si>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</si>
  <si>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</si>
  <si>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</si>
  <si>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</si>
  <si>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</si>
  <si>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</si>
  <si>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</si>
  <si>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</si>
  <si>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</si>
  <si>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</si>
  <si>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</si>
  <si>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</si>
  <si>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</si>
  <si>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</si>
  <si>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</si>
  <si>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</si>
  <si>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</si>
  <si>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</si>
  <si>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</si>
  <si>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</si>
  <si>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</si>
  <si>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</si>
  <si>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</si>
  <si>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</si>
  <si>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</si>
  <si>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</si>
  <si>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</si>
  <si>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</si>
  <si>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</si>
  <si>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</si>
  <si>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</si>
  <si>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</si>
  <si>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</si>
  <si>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</si>
  <si>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</si>
  <si>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</si>
  <si>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</si>
  <si>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</si>
  <si>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</si>
  <si>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</si>
  <si>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</si>
  <si>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</si>
  <si>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</si>
  <si>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</si>
  <si>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</si>
  <si>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</si>
  <si>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</si>
  <si>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</si>
  <si>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</si>
  <si>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</si>
  <si>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</si>
  <si>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</si>
  <si>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</si>
  <si>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</si>
  <si>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</si>
  <si>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</si>
  <si>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</si>
  <si>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</si>
  <si>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</si>
  <si>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</si>
  <si>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</si>
  <si>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</si>
  <si>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</si>
  <si>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</si>
  <si>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</si>
  <si>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</si>
  <si>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</si>
  <si>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</si>
  <si>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</si>
  <si>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</si>
  <si>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</si>
  <si>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</si>
  <si>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</si>
  <si>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</si>
  <si>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</si>
  <si>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</si>
  <si>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</si>
  <si>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</si>
  <si>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</si>
  <si>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</si>
  <si>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</si>
  <si>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</si>
  <si>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</si>
  <si>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</si>
  <si>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</si>
  <si>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</si>
  <si>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</si>
  <si>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</si>
  <si>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</si>
  <si>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</si>
  <si>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</si>
  <si>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</si>
  <si>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</si>
  <si>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</si>
  <si>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</si>
  <si>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</si>
  <si>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</si>
  <si>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</si>
  <si>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</si>
  <si>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</si>
  <si>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</si>
  <si>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</si>
  <si>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</si>
  <si>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</si>
  <si>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</si>
  <si>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</si>
  <si>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</si>
  <si>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</si>
  <si>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</si>
  <si>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</si>
  <si>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</si>
  <si>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</si>
  <si>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</si>
  <si>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</si>
  <si>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</si>
  <si>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</si>
  <si>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</si>
  <si>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</si>
  <si>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</si>
  <si>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</si>
  <si>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</si>
  <si>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</si>
  <si>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</si>
  <si>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</si>
  <si>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</si>
  <si>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</si>
  <si>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</si>
  <si>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</si>
  <si>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</si>
  <si>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</si>
  <si>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</si>
  <si>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</si>
  <si>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</si>
  <si>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</si>
  <si>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</si>
  <si>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</si>
  <si>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</si>
  <si>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</si>
  <si>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</si>
  <si>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</si>
  <si>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</si>
  <si>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</si>
  <si>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</si>
  <si>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</si>
  <si>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</si>
  <si>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</si>
  <si>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</si>
  <si>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</si>
  <si>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</si>
  <si>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</si>
  <si>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</si>
  <si>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</si>
  <si>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</si>
  <si>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</si>
  <si>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</si>
  <si>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</si>
  <si>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</si>
  <si>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</si>
  <si>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</si>
  <si>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</si>
  <si>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</si>
  <si>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</si>
  <si>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</si>
  <si>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</si>
  <si>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</si>
  <si>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</si>
  <si>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</si>
  <si>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</si>
  <si>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</si>
  <si>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</si>
  <si>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</si>
  <si>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</si>
  <si>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</si>
  <si>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</si>
  <si>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</si>
  <si>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</si>
  <si>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</si>
  <si>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</si>
  <si>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</si>
  <si>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</si>
  <si>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</si>
  <si>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</si>
  <si>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</si>
  <si>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</si>
  <si>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</si>
  <si>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</si>
  <si>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</si>
  <si>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</si>
  <si>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</si>
  <si>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</si>
  <si>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</si>
  <si>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</si>
  <si>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</si>
  <si>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</si>
  <si>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</si>
  <si>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</si>
  <si>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</si>
  <si>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</si>
  <si>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</si>
  <si>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</si>
  <si>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</si>
  <si>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</si>
  <si>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</si>
  <si>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</si>
  <si>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</si>
  <si>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</si>
  <si>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</si>
  <si>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</si>
  <si>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</si>
  <si>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</si>
  <si>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</si>
  <si>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</si>
  <si>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</si>
  <si>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</si>
  <si>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</si>
  <si>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</si>
  <si>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</si>
  <si>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</si>
  <si>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</si>
  <si>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</si>
  <si>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</si>
  <si>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</si>
  <si>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</si>
  <si>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</si>
  <si>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</si>
  <si>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</si>
  <si>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</si>
  <si>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</si>
  <si>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</si>
  <si>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</si>
  <si>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</si>
  <si>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</si>
  <si>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</si>
  <si>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</si>
  <si>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</si>
  <si>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</si>
  <si>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</si>
  <si>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</si>
  <si>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</si>
  <si>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</si>
  <si>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</si>
  <si>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</si>
  <si>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</si>
  <si>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</si>
  <si>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</si>
  <si>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</si>
  <si>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</si>
  <si>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</si>
  <si>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</si>
  <si>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</si>
  <si>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</si>
  <si>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</si>
  <si>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</si>
  <si>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</si>
  <si>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</si>
  <si>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</si>
  <si>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</si>
  <si>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</si>
  <si>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</si>
  <si>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</si>
  <si>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</si>
  <si>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</si>
  <si>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</si>
  <si>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</si>
  <si>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</si>
  <si>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</si>
  <si>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</si>
  <si>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</si>
  <si>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</si>
  <si>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</si>
  <si>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</si>
  <si>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</si>
  <si>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</si>
  <si>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</si>
  <si>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</si>
  <si>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</si>
  <si>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</si>
  <si>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</si>
  <si>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</si>
  <si>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</si>
  <si>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</si>
  <si>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</si>
  <si>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</si>
  <si>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</si>
  <si>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</si>
  <si>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</si>
  <si>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</si>
  <si>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</si>
  <si>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</si>
  <si>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</si>
  <si>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</si>
  <si>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</si>
  <si>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</si>
  <si>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</si>
  <si>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</si>
  <si>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</si>
  <si>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</si>
  <si>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</si>
  <si>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</si>
  <si>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</si>
  <si>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</si>
  <si>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</si>
  <si>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</si>
  <si>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</si>
  <si>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</si>
  <si>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</si>
  <si>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</si>
  <si>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</si>
  <si>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</si>
  <si>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</si>
  <si>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</si>
  <si>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</si>
  <si>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</si>
  <si>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</si>
  <si>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</si>
  <si>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</si>
  <si>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</si>
  <si>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</si>
  <si>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</si>
  <si>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</si>
  <si>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</si>
  <si>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</si>
  <si>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</si>
  <si>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</si>
  <si>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</si>
  <si>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</si>
  <si>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</si>
  <si>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</si>
  <si>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</si>
  <si>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</si>
  <si>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</si>
  <si>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</si>
  <si>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</si>
  <si>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</si>
  <si>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</si>
  <si>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</si>
  <si>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</si>
  <si>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</si>
  <si>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</si>
  <si>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</si>
  <si>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</si>
  <si>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</si>
  <si>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</si>
  <si>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</si>
  <si>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</si>
  <si>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</si>
  <si>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</si>
  <si>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</si>
  <si>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</si>
  <si>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</si>
  <si>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</si>
  <si>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</si>
  <si>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</si>
  <si>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</si>
  <si>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</si>
  <si>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</si>
  <si>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</si>
  <si>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</si>
  <si>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</si>
  <si>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</si>
  <si>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</si>
  <si>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</si>
  <si>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</si>
  <si>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</si>
  <si>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</si>
  <si>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</si>
  <si>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</si>
  <si>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</si>
  <si>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</si>
  <si>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</si>
  <si>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</si>
  <si>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</si>
  <si>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</si>
  <si>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</si>
  <si>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</si>
  <si>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</si>
  <si>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</si>
  <si>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</si>
  <si>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</si>
  <si>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</si>
  <si>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</si>
  <si>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</si>
  <si>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</si>
  <si>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</si>
  <si>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</si>
  <si>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</si>
  <si>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</si>
  <si>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</si>
  <si>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</si>
  <si>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</si>
  <si>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</si>
  <si>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</si>
  <si>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</si>
  <si>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</si>
  <si>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</si>
  <si>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</si>
  <si>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</si>
  <si>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</si>
  <si>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</si>
  <si>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</si>
  <si>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</si>
  <si>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</si>
  <si>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</si>
  <si>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</si>
  <si>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</si>
  <si>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</si>
  <si>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</si>
  <si>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</si>
  <si>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</si>
  <si>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</si>
  <si>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</si>
  <si>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</si>
  <si>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</si>
  <si>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</si>
  <si>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</si>
  <si>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</si>
  <si>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</si>
  <si>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</si>
  <si>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</si>
  <si>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</si>
  <si>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</si>
  <si>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</si>
  <si>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</si>
  <si>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</si>
  <si>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</si>
  <si>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</si>
  <si>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</si>
  <si>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</si>
  <si>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</si>
  <si>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</si>
  <si>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</si>
  <si>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</si>
  <si>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</si>
  <si>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</si>
  <si>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</si>
  <si>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</si>
  <si>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</si>
  <si>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</si>
  <si>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</si>
  <si>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</si>
  <si>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</si>
  <si>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</si>
  <si>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</si>
  <si>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</si>
  <si>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</si>
  <si>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</si>
  <si>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</si>
  <si>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</si>
  <si>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</si>
  <si>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</si>
  <si>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</si>
  <si>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</si>
  <si>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</si>
  <si>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</si>
  <si>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</si>
  <si>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</si>
  <si>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</si>
  <si>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</si>
  <si>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</si>
  <si>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</si>
  <si>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</si>
  <si>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</si>
  <si>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</si>
  <si>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</si>
  <si>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</si>
  <si>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</si>
  <si>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</si>
  <si>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</si>
  <si>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</si>
  <si>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</si>
  <si>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</si>
  <si>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</si>
  <si>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</si>
  <si>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</si>
  <si>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</si>
  <si>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</si>
  <si>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</si>
  <si>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</si>
  <si>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</si>
  <si>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</si>
  <si>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</si>
  <si>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</si>
  <si>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</si>
  <si>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</si>
  <si>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</si>
  <si>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</si>
  <si>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</si>
  <si>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</si>
  <si>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</si>
  <si>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</si>
  <si>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</si>
  <si>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</si>
  <si>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</si>
  <si>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</si>
  <si>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</si>
  <si>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</si>
  <si>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</si>
  <si>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</si>
  <si>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</si>
  <si>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</si>
  <si>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</si>
  <si>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</si>
  <si>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</si>
  <si>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</si>
  <si>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</si>
  <si>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</si>
  <si>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</si>
  <si>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</si>
  <si>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</si>
  <si>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</si>
  <si>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</si>
  <si>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</si>
  <si>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</si>
  <si>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</si>
  <si>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</si>
  <si>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</si>
  <si>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</si>
  <si>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</si>
  <si>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</si>
  <si>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</si>
  <si>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</si>
  <si>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</si>
  <si>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</si>
  <si>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</si>
  <si>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</si>
  <si>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</si>
  <si>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</si>
  <si>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</si>
  <si>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</si>
  <si>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</si>
  <si>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</si>
  <si>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</si>
  <si>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</si>
  <si>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</si>
  <si>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</si>
  <si>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</si>
  <si>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</si>
  <si>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</si>
  <si>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</si>
  <si>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</si>
  <si>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</si>
  <si>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</si>
  <si>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</si>
  <si>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</si>
  <si>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</si>
  <si>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</si>
  <si>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</si>
  <si>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</si>
  <si>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</si>
  <si>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</si>
  <si>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</si>
  <si>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</si>
  <si>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</si>
  <si>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</si>
  <si>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</si>
  <si>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</si>
  <si>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</si>
  <si>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</si>
  <si>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</si>
  <si>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</si>
  <si>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</si>
  <si>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</si>
  <si>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</si>
  <si>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</si>
  <si>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</si>
  <si>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</si>
  <si>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</si>
  <si>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</si>
  <si>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</si>
  <si>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</si>
  <si>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</si>
  <si>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</si>
  <si>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</si>
  <si>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</si>
  <si>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</si>
  <si>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</si>
  <si>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</si>
  <si>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</si>
  <si>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</si>
  <si>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</si>
  <si>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</si>
  <si>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</si>
  <si>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</si>
  <si>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</si>
  <si>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</si>
  <si>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</si>
  <si>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</si>
  <si>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</si>
  <si>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</si>
  <si>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</si>
  <si>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</si>
  <si>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</si>
  <si>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</si>
  <si>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</si>
  <si>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</si>
  <si>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</si>
  <si>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</si>
  <si>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</si>
  <si>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</si>
  <si>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</si>
  <si>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</si>
  <si>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</si>
  <si>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</si>
  <si>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</si>
  <si>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</si>
  <si>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</si>
  <si>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</si>
  <si>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</si>
  <si>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</si>
  <si>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</si>
  <si>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</si>
  <si>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</si>
  <si>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</si>
  <si>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</si>
  <si>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</si>
  <si>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</si>
  <si>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</si>
  <si>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</si>
  <si>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</si>
  <si>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</si>
  <si>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</si>
  <si>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</si>
  <si>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</si>
  <si>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</si>
  <si>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</si>
  <si>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</si>
  <si>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</si>
  <si>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</si>
  <si>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</si>
  <si>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</si>
  <si>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</si>
  <si>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</si>
  <si>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</si>
  <si>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</si>
  <si>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</si>
  <si>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</si>
  <si>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</si>
  <si>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</si>
  <si>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</si>
  <si>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</si>
  <si>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</si>
  <si>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</si>
  <si>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</si>
  <si>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</si>
  <si>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</si>
  <si>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</si>
  <si>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</si>
  <si>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</si>
  <si>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</si>
  <si>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</si>
  <si>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</si>
  <si>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</si>
  <si>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</si>
  <si>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</si>
  <si>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</si>
  <si>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</si>
  <si>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</si>
  <si>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</si>
  <si>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</si>
  <si>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</si>
  <si>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</si>
  <si>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</si>
  <si>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</si>
  <si>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</si>
  <si>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</si>
  <si>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</si>
  <si>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</si>
  <si>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</si>
  <si>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</si>
  <si>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</si>
  <si>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</si>
  <si>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</si>
  <si>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</si>
  <si>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</si>
  <si>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</si>
  <si>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</si>
  <si>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</si>
  <si>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</si>
  <si>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</si>
  <si>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</si>
  <si>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</si>
  <si>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</si>
  <si>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</si>
  <si>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</si>
  <si>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</si>
  <si>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</si>
  <si>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</si>
  <si>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</si>
  <si>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</si>
  <si>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</si>
  <si>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</si>
  <si>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</si>
  <si>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</si>
  <si>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</si>
  <si>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</si>
  <si>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</si>
  <si>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</si>
  <si>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</si>
  <si>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</si>
  <si>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</si>
  <si>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</si>
  <si>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</si>
  <si>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</si>
  <si>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</si>
  <si>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</si>
  <si>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</si>
  <si>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</si>
  <si>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</si>
  <si>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</si>
  <si>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</si>
  <si>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</si>
  <si>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</si>
  <si>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</si>
  <si>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</si>
  <si>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</si>
  <si>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</si>
  <si>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</si>
  <si>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</si>
  <si>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</si>
  <si>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</si>
  <si>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</si>
  <si>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</si>
  <si>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</si>
  <si>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</si>
  <si>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</si>
  <si>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</si>
  <si>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</si>
  <si>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</si>
  <si>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</si>
  <si>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</si>
  <si>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</si>
  <si>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</si>
  <si>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</si>
  <si>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</si>
  <si>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</si>
  <si>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</si>
  <si>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</si>
  <si>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</si>
  <si>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</si>
  <si>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</si>
  <si>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</si>
  <si>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</si>
  <si>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</si>
  <si>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</si>
  <si>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</si>
  <si>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</si>
  <si>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</si>
  <si>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</si>
  <si>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</si>
  <si>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</si>
  <si>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</si>
  <si>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</si>
  <si>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</si>
  <si>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</si>
  <si>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</si>
  <si>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</si>
  <si>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</si>
  <si>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</si>
  <si>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</si>
  <si>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</si>
  <si>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</si>
  <si>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</si>
  <si>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</si>
  <si>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</si>
  <si>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</si>
  <si>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</si>
  <si>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</si>
  <si>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</si>
  <si>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</si>
  <si>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</si>
  <si>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</si>
  <si>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</si>
  <si>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</si>
  <si>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</si>
  <si>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</si>
  <si>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</si>
  <si>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</si>
  <si>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</si>
  <si>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</si>
  <si>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</si>
  <si>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</si>
  <si>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</si>
  <si>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</si>
  <si>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</si>
  <si>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</si>
  <si>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</si>
  <si>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</si>
  <si>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</si>
  <si>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</si>
  <si>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</si>
  <si>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</si>
  <si>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</si>
  <si>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</si>
  <si>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</si>
  <si>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</si>
  <si>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</si>
  <si>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</si>
  <si>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</si>
  <si>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</si>
  <si>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</si>
  <si>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</si>
  <si>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</si>
  <si>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</si>
  <si>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</si>
  <si>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</si>
  <si>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</si>
  <si>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</si>
  <si>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</si>
  <si>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</si>
  <si>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</si>
  <si>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</si>
  <si>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</si>
  <si>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</si>
  <si>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</si>
  <si>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</si>
  <si>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</si>
  <si>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</si>
  <si>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</si>
  <si>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</si>
  <si>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</si>
  <si>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</si>
  <si>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</si>
  <si>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</si>
  <si>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</si>
  <si>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</si>
  <si>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</si>
  <si>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</si>
  <si>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</si>
  <si>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</si>
  <si>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</si>
  <si>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</si>
  <si>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</si>
  <si>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</si>
  <si>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</si>
  <si>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</si>
  <si>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</si>
  <si>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</si>
  <si>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</si>
  <si>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</si>
  <si>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</si>
  <si>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</si>
  <si>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</si>
  <si>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</si>
  <si>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</si>
  <si>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</si>
  <si>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</si>
  <si>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</si>
  <si>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</si>
  <si>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</si>
  <si>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</si>
  <si>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</si>
  <si>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</si>
  <si>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</si>
  <si>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</si>
  <si>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</si>
  <si>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</si>
  <si>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</si>
  <si>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</si>
  <si>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</si>
  <si>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</si>
  <si>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</si>
  <si>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</si>
  <si>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</si>
  <si>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</si>
  <si>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</si>
  <si>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</si>
  <si>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</si>
  <si>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</si>
  <si>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</si>
  <si>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</si>
  <si>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</si>
  <si>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</si>
  <si>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</si>
  <si>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</si>
  <si>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</si>
  <si>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</si>
  <si>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</si>
  <si>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</si>
  <si>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</si>
  <si>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</si>
  <si>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</si>
  <si>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</si>
  <si>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</si>
  <si>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</si>
  <si>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</si>
  <si>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</si>
  <si>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</si>
  <si>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</si>
  <si>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</si>
  <si>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</si>
  <si>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</si>
  <si>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</si>
  <si>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</si>
  <si>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</si>
  <si>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</si>
  <si>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</si>
  <si>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</si>
  <si>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</si>
  <si>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</si>
  <si>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</si>
  <si>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</si>
  <si>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</si>
  <si>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</si>
  <si>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</si>
  <si>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</si>
  <si>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</si>
  <si>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</si>
  <si>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</si>
  <si>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</si>
  <si>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</si>
  <si>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</si>
  <si>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</si>
  <si>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</si>
  <si>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</si>
  <si>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</si>
  <si>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</si>
  <si>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</si>
  <si>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</si>
  <si>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</si>
  <si>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</si>
  <si>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</si>
  <si>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</si>
  <si>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</si>
  <si>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</si>
  <si>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</si>
  <si>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</si>
  <si>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</si>
  <si>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</si>
  <si>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</si>
  <si>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</si>
  <si>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</si>
  <si>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</si>
  <si>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</si>
  <si>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</si>
  <si>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</si>
  <si>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</si>
  <si>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</si>
  <si>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</si>
  <si>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</si>
  <si>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</si>
  <si>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</si>
  <si>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</si>
  <si>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</si>
  <si>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</si>
  <si>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</si>
  <si>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</si>
  <si>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</si>
  <si>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</si>
  <si>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</si>
  <si>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</si>
  <si>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</si>
  <si>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</si>
  <si>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</si>
  <si>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</si>
  <si>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</si>
  <si>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</si>
  <si>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</si>
  <si>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</si>
  <si>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</si>
  <si>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</si>
  <si>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</si>
  <si>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</si>
  <si>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</si>
  <si>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</si>
  <si>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</si>
  <si>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</si>
  <si>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</si>
  <si>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</si>
  <si>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</si>
  <si>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</si>
  <si>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</si>
  <si>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</si>
  <si>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</si>
  <si>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</si>
  <si>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</si>
  <si>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</si>
  <si>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</si>
  <si>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</si>
  <si>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</si>
  <si>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</si>
  <si>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</si>
  <si>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</si>
  <si>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</si>
  <si>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</si>
  <si>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</si>
  <si>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</si>
  <si>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</si>
  <si>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</si>
  <si>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</si>
  <si>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</si>
  <si>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</si>
  <si>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</si>
  <si>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</si>
  <si>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</si>
  <si>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</si>
  <si>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</si>
  <si>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</si>
  <si>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</si>
  <si>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</si>
  <si>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</si>
  <si>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</si>
  <si>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</si>
  <si>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</si>
  <si>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</si>
  <si>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</si>
  <si>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</si>
  <si>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</si>
  <si>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</si>
  <si>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</si>
  <si>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</si>
  <si>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</si>
  <si>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</si>
  <si>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</si>
  <si>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</si>
  <si>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</si>
  <si>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</si>
  <si>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</si>
  <si>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</si>
  <si>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</si>
  <si>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</si>
  <si>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</si>
  <si>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</si>
  <si>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</si>
  <si>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</si>
  <si>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</si>
  <si>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</si>
  <si>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</si>
  <si>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</si>
  <si>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</si>
  <si>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</si>
  <si>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</si>
  <si>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</si>
  <si>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</si>
  <si>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</si>
  <si>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</si>
  <si>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</si>
  <si>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</si>
  <si>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</si>
  <si>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</si>
  <si>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</si>
  <si>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</si>
  <si>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</si>
  <si>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</si>
  <si>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</si>
  <si>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</si>
  <si>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</si>
  <si>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</si>
  <si>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</si>
  <si>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</si>
  <si>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</si>
  <si>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</si>
  <si>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</si>
  <si>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</si>
  <si>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</si>
  <si>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</si>
  <si>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</si>
  <si>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</si>
  <si>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</si>
  <si>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</si>
  <si>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</si>
  <si>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</si>
  <si>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</si>
  <si>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Ⅶ-房1</t>
  </si>
  <si>
    <t>1层</t>
    <phoneticPr fontId="134" type="noConversion"/>
  </si>
  <si>
    <t>2层</t>
    <phoneticPr fontId="134" type="noConversion"/>
  </si>
  <si>
    <t>3层</t>
    <phoneticPr fontId="134" type="noConversion"/>
  </si>
  <si>
    <t>4层</t>
    <phoneticPr fontId="134" type="noConversion"/>
  </si>
  <si>
    <t>（-1）层</t>
    <phoneticPr fontId="134" type="noConversion"/>
  </si>
  <si>
    <t>（-2）层</t>
    <phoneticPr fontId="134" type="noConversion"/>
  </si>
  <si>
    <t>自定义容积率</t>
  </si>
  <si>
    <t>不临65条商业街</t>
  </si>
  <si>
    <t>通路</t>
  </si>
  <si>
    <t>通电</t>
  </si>
  <si>
    <t>通讯</t>
  </si>
  <si>
    <t>通上水</t>
  </si>
  <si>
    <t>通下水</t>
  </si>
  <si>
    <t>平整</t>
  </si>
  <si>
    <t>中心城区以外</t>
  </si>
  <si>
    <t>楼层修正</t>
  </si>
  <si>
    <t>是</t>
  </si>
  <si>
    <t>3号楼</t>
  </si>
  <si>
    <t>3号楼</t>
    <phoneticPr fontId="7" type="noConversion"/>
  </si>
  <si>
    <t>成新度</t>
  </si>
  <si>
    <t>收益法</t>
  </si>
  <si>
    <t>未包含在土地购买价格中</t>
  </si>
  <si>
    <t>全部缴纳</t>
  </si>
  <si>
    <t>已包含在土地取得成本中</t>
  </si>
  <si>
    <t>押一</t>
  </si>
  <si>
    <t>钢混</t>
  </si>
  <si>
    <t>非生产用房</t>
  </si>
  <si>
    <t>否</t>
  </si>
  <si>
    <t>与级别开发程度一致</t>
  </si>
  <si>
    <t>较好</t>
  </si>
  <si>
    <t>一般</t>
  </si>
  <si>
    <t>好</t>
  </si>
  <si>
    <t>楼层</t>
    <phoneticPr fontId="134" type="noConversion"/>
  </si>
  <si>
    <t>单价（元/㎡）</t>
    <phoneticPr fontId="134" type="noConversion"/>
  </si>
  <si>
    <t>总价（万元）</t>
    <phoneticPr fontId="134" type="noConversion"/>
  </si>
  <si>
    <t>合计</t>
    <phoneticPr fontId="134" type="noConversion"/>
  </si>
  <si>
    <t>——</t>
    <phoneticPr fontId="134" type="noConversion"/>
  </si>
  <si>
    <t>收益法租金水平</t>
    <phoneticPr fontId="134" type="noConversion"/>
  </si>
  <si>
    <t>（-1）层</t>
    <phoneticPr fontId="134" type="noConversion"/>
  </si>
  <si>
    <t>（-2）层</t>
    <phoneticPr fontId="134" type="noConversion"/>
  </si>
  <si>
    <t>增长率2，空置率10</t>
    <phoneticPr fontId="134" type="noConversion"/>
  </si>
  <si>
    <t>增长率2.5，空置率5</t>
    <phoneticPr fontId="134" type="noConversion"/>
  </si>
  <si>
    <t>地上</t>
  </si>
  <si>
    <t>吴薇</t>
  </si>
  <si>
    <t>郑燚</t>
  </si>
  <si>
    <t>合同租金</t>
    <phoneticPr fontId="134" type="noConversion"/>
  </si>
  <si>
    <t>市场租金</t>
    <phoneticPr fontId="134" type="noConversion"/>
  </si>
  <si>
    <t>楼层</t>
    <phoneticPr fontId="134" type="noConversion"/>
  </si>
  <si>
    <t>建筑面积</t>
    <phoneticPr fontId="134" type="noConversion"/>
  </si>
  <si>
    <t>楼层系数</t>
    <phoneticPr fontId="134" type="noConversion"/>
  </si>
  <si>
    <t>面积（㎡）</t>
    <phoneticPr fontId="134" type="noConversion"/>
  </si>
  <si>
    <t>成本法 (元)</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</si>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</sst>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0" borderId="1" xfId="0" applyFont="1" applyBorder="1" applyAlignment="1">
      <alignment horizontal="left" vertical="center"/>
    </xf>
    <xf numFmtId="0" fontId="269" fillId="9" borderId="1" xfId="0" applyFont="1" applyFill="1" applyBorder="1" applyAlignment="1">
      <alignment horizontal="left" vertical="center"/>
    </xf>
    <xf numFmtId="0" fontId="269" fillId="9" borderId="0" xfId="0" applyFont="1" applyFill="1" applyAlignment="1">
      <alignment horizontal="left" vertical="center"/>
    </xf>
    <xf numFmtId="0" fontId="269" fillId="21" borderId="1" xfId="0" applyFont="1" applyFill="1" applyBorder="1" applyAlignment="1">
      <alignment horizontal="left" vertical="center"/>
    </xf>
    <xf numFmtId="181" fontId="44" fillId="18" borderId="1" xfId="0" applyNumberFormat="1" applyFont="1" applyFill="1" applyBorder="1" applyAlignment="1" applyProtection="1">
      <alignment vertical="center"/>
      <protection locked="0"/>
    </xf>
    <xf numFmtId="179" fontId="44" fillId="18"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估价对象为北京市房地产，为所有。根据《国有土地使用证》[]，估价对象（分摊）出让国有建设用地使用权面积为0平方米，建筑面积为797.64平方米。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估价对象为北京市房地产,属开发建设的，该项目尚在开发建设中。根据《国有土地使用证》[]，估价对象（分摊）出让国有建设用地使用权面积为0平方米，规划建筑面积为797.64平方米。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2023年9月21日（评估专业人员实地查勘之日）</v>
      </c>
    </row>
    <row r="13" spans="1:2" s="1203" customFormat="1">
      <c r="A13" s="1201" t="s">
        <v>529</v>
      </c>
      <c r="B13" s="1202"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1715</v>
      </c>
    </row>
    <row r="21" spans="1:2" s="1203" customFormat="1">
      <c r="A21" s="1201" t="s">
        <v>537</v>
      </c>
      <c r="B21" s="1202">
        <f ca="1">'预评函-2'!D7</f>
        <v>21499</v>
      </c>
    </row>
    <row r="22" spans="1:2" s="1203" customFormat="1">
      <c r="A22" s="1201" t="s">
        <v>538</v>
      </c>
      <c r="B22" s="1202" t="str">
        <f ca="1">'预评函-2'!D6</f>
        <v>壹仟柒佰壹拾伍万元整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1715</v>
      </c>
    </row>
    <row r="31" spans="1:2" s="1203" customFormat="1">
      <c r="A31" s="1201" t="s">
        <v>576</v>
      </c>
      <c r="B31" s="1202">
        <f ca="1">'预评函-2'!D15</f>
        <v>21499</v>
      </c>
    </row>
    <row r="32" spans="1:2" s="1203" customFormat="1">
      <c r="A32" s="1201" t="s">
        <v>543</v>
      </c>
      <c r="B32" s="1202" t="str">
        <f ca="1">'预评函-2'!D14</f>
        <v>壹仟柒佰壹拾伍万元整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797.64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8" t="s">
        <v>2584</v>
      </c>
      <c r="J2" s="3498"/>
      <c r="K2" s="3498"/>
      <c r="L2" s="3498"/>
      <c r="M2" s="3498"/>
      <c r="N2" s="3498"/>
      <c r="O2" s="3498"/>
      <c r="P2" s="3498"/>
      <c r="Q2" s="3498"/>
      <c r="R2" s="3498"/>
    </row>
    <row r="3" spans="1:18">
      <c r="A3" s="3020" t="s">
        <v>2505</v>
      </c>
      <c r="B3" s="3021">
        <f>项目基本情况!D3</f>
        <v>45190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3.24</v>
      </c>
      <c r="D5" s="3025">
        <f>IF(ISERROR(ROUND(POWER(1+E5,A5-C5)*(POWER(1+E5,C5)-1)/(POWER(1+E5,A5)-1),3)),0,ROUND(POWER(1+E5,A5-C5)*(POWER(1+E5,C5)-1)/(POWER(1+E5,A5)-1),4))</f>
        <v>0.1507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13.25</v>
      </c>
      <c r="D6" s="3025">
        <f>IF(ISERROR(ROUND(POWER(1+E6,A6-C6)*(POWER(1+E6,C6)-1)/(POWER(1+E6,A6)-1),3)),0,ROUND(POWER(1+E6,A6-C6)*(POWER(1+E6,C6)-1)/(POWER(1+E6,A6)-1),4))</f>
        <v>0.47170000000000001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33.26</v>
      </c>
      <c r="D7" s="3025">
        <f>IF(ISERROR(ROUND(POWER(1+E7,A7-C7)*(POWER(1+E7,C7)-1)/(POWER(1+E7,A7)-1),3)),0,ROUND(POWER(1+E7,A7-C7)*(POWER(1+E7,C7)-1)/(POWER(1+E7,A7)-1),4))</f>
        <v>0.77869999999999995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45190</v>
      </c>
      <c r="C3" s="2374" t="s">
        <v>2171</v>
      </c>
      <c r="D3" s="2373">
        <f>B3</f>
        <v>45190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3426</v>
      </c>
      <c r="C4" s="2376">
        <f ca="1">SUMIF(注册房地产估价师,B4,估价师及机构信息!B3:B24)</f>
        <v>1419970001</v>
      </c>
      <c r="D4" s="2375" t="s">
        <v>3427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0"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11"/>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797.64</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797.64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797.64</v>
      </c>
      <c r="H5" s="13">
        <f t="shared" ref="H5:AT5" si="0">SUM(H13:H656)</f>
        <v>797.64</v>
      </c>
      <c r="I5" s="13">
        <f t="shared" si="0"/>
        <v>797.64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797.64</v>
      </c>
      <c r="BA5" s="15">
        <f t="shared" si="1"/>
        <v>797.64</v>
      </c>
      <c r="BB5" s="15">
        <f t="shared" si="1"/>
        <v>797.64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3399</v>
      </c>
      <c r="E13" s="13">
        <f>IF($C$3="是",ROUND($A$3*G13/$B$3,2),ROUND($A$3*(G13-AT13)/$B$3,2))</f>
        <v>0</v>
      </c>
      <c r="F13" s="29"/>
      <c r="G13" s="30">
        <f>H13+AC13+AT13</f>
        <v>797.64</v>
      </c>
      <c r="H13" s="17">
        <f>SUMIF(I$12:AB$12,"总值",I13:AB13)</f>
        <v>797.64</v>
      </c>
      <c r="I13" s="1626">
        <f>Sheet1!F8</f>
        <v>797.64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797.64</v>
      </c>
      <c r="BA13" s="13">
        <f>SUM(BB13:BK13)</f>
        <v>797.64</v>
      </c>
      <c r="BB13" s="13">
        <f>IF($D13="是",I13-J13,0)</f>
        <v>797.64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797.64</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797.64</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797.64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797.64</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3401</v>
      </c>
      <c r="D19" s="45">
        <f>ROUND($D$3*E19/$E$3,2)</f>
        <v>0</v>
      </c>
      <c r="E19" s="53">
        <f t="shared" ref="E19:E26" si="1">SUM(F19:G19)</f>
        <v>797.64</v>
      </c>
      <c r="F19" s="2795">
        <f>'数据-基础表'!I13</f>
        <v>797.64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797.64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797.64</v>
      </c>
      <c r="F27" s="1140">
        <f>IF(SUM(F19:F26)=E8,SUM(F19:F26),"地上面积有误")</f>
        <v>797.64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797.64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797.64</v>
      </c>
      <c r="F31" s="677">
        <f>F27+F30</f>
        <v>797.64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3号楼</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34.19</v>
      </c>
      <c r="G6" s="65">
        <f>IF(ISERROR(ROUND(POWER(1+H6,D6-F6)*(POWER(1+H6,F6)-1)/(POWER(1+H6,D6)-1),3)),0,ROUND(POWER(1+H6,D6-F6)*(POWER(1+H6,F6)-1)/(POWER(1+H6,D6)-1),3))</f>
        <v>0.94599999999999995</v>
      </c>
      <c r="H6" s="732">
        <v>0.05</v>
      </c>
      <c r="I6" s="732">
        <v>5.5E-2</v>
      </c>
      <c r="J6" s="66">
        <v>7.0000000000000007E-2</v>
      </c>
      <c r="K6" s="1030">
        <f>SUMIF('数据-汇总表'!C$19:C$33,A6,'数据-汇总表'!E$19:E$33)</f>
        <v>797.64</v>
      </c>
      <c r="L6" s="733">
        <v>3500</v>
      </c>
      <c r="M6" s="67">
        <f t="shared" ref="M6:M14" si="0">ROUND(K6*L6/10000,0)</f>
        <v>279</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6">
        <v>4</v>
      </c>
      <c r="V6" s="70">
        <v>2.5000000000000001E-2</v>
      </c>
      <c r="W6" s="3455">
        <v>0.1</v>
      </c>
      <c r="X6" s="1040"/>
      <c r="Y6" s="71">
        <f>N6</f>
        <v>0.95</v>
      </c>
      <c r="Z6" s="72"/>
      <c r="AA6" s="66"/>
      <c r="AB6" s="66"/>
      <c r="AC6" s="1040"/>
      <c r="AD6" s="73"/>
      <c r="AE6" s="1041">
        <f ca="1">IF(AN6="",0,SUMIF(INDIRECT("'"&amp;AN6&amp;"'"&amp;"!E:E"),$AE$5,INDIRECT("'"&amp;AN6&amp;"'"&amp;"!F:F")))</f>
        <v>34.19</v>
      </c>
      <c r="AF6" s="1348"/>
      <c r="AG6" s="138">
        <f>IF(AF6="",0,AE6-AF6)</f>
        <v>0</v>
      </c>
      <c r="AH6" s="74"/>
      <c r="AI6" s="76">
        <v>365</v>
      </c>
      <c r="AJ6" s="77"/>
      <c r="AK6" s="78">
        <v>5.0000000000000001E-3</v>
      </c>
      <c r="AL6" s="79">
        <v>1E-3</v>
      </c>
      <c r="AM6" s="80">
        <v>5.0000000000000001E-3</v>
      </c>
      <c r="AN6" s="1715" t="s">
        <v>3403</v>
      </c>
      <c r="AO6" s="52">
        <f ca="1">SUMIF(INDIRECT("'"&amp;AN6&amp;"'"&amp;"!A:A"),"总价",INDIRECT("'"&amp;AN6&amp;"'"&amp;"!B:B"))</f>
        <v>1770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797.64</v>
      </c>
      <c r="L16" s="93">
        <f>ROUND(M16*10000/SUM(K6:K14),0)</f>
        <v>3498</v>
      </c>
      <c r="M16" s="93">
        <f>SUM(M6:M14)</f>
        <v>279</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23"/>
  <sheetViews>
    <sheetView workbookViewId="0">
      <selection activeCell="H25" sqref="H25"/>
    </sheetView>
  </sheetViews>
  <sheetFormatPr defaultColWidth="9" defaultRowHeight="14.25"/>
  <cols>
    <col min="1" max="7" width="9" style="3450"/>
    <col min="8" max="8" width="10.875" style="3450" customWidth="1"/>
    <col min="9" max="9" width="10.75" style="3450" customWidth="1"/>
    <col min="10" max="10" width="11" style="3450" customWidth="1"/>
    <col min="11" max="16384" width="9" style="3450"/>
  </cols>
  <sheetData>
    <row r="5" spans="5:9">
      <c r="E5" s="3451" t="s">
        <v>3430</v>
      </c>
      <c r="F5" s="3451" t="s">
        <v>3431</v>
      </c>
      <c r="G5" s="3451" t="s">
        <v>3432</v>
      </c>
      <c r="H5" s="3451" t="s">
        <v>3429</v>
      </c>
      <c r="I5" s="3451" t="s">
        <v>3428</v>
      </c>
    </row>
    <row r="6" spans="5:9">
      <c r="E6" s="3451" t="s">
        <v>3386</v>
      </c>
      <c r="F6" s="3451">
        <v>736.78</v>
      </c>
      <c r="G6" s="3451">
        <v>0.4</v>
      </c>
      <c r="H6" s="3451">
        <f>H9*G6</f>
        <v>2.4000000000000004</v>
      </c>
      <c r="I6" s="3451">
        <v>3.5</v>
      </c>
    </row>
    <row r="7" spans="5:9">
      <c r="E7" s="3451" t="s">
        <v>3385</v>
      </c>
      <c r="F7" s="3451">
        <v>797.64</v>
      </c>
      <c r="G7" s="3451">
        <v>0.5</v>
      </c>
      <c r="H7" s="3451">
        <f>G7*H9</f>
        <v>3</v>
      </c>
      <c r="I7" s="3451">
        <v>3.5</v>
      </c>
    </row>
    <row r="8" spans="5:9">
      <c r="E8" s="3454" t="s">
        <v>3384</v>
      </c>
      <c r="F8" s="3454">
        <v>797.64</v>
      </c>
      <c r="G8" s="3454">
        <v>0.6</v>
      </c>
      <c r="H8" s="3454">
        <f>H9*G8</f>
        <v>3.5999999999999996</v>
      </c>
      <c r="I8" s="3454">
        <v>3.5</v>
      </c>
    </row>
    <row r="9" spans="5:9">
      <c r="E9" s="3454" t="s">
        <v>3383</v>
      </c>
      <c r="F9" s="3454">
        <v>531.75</v>
      </c>
      <c r="G9" s="3454">
        <v>1</v>
      </c>
      <c r="H9" s="3454">
        <v>6</v>
      </c>
      <c r="I9" s="3454">
        <v>7.5</v>
      </c>
    </row>
    <row r="10" spans="5:9">
      <c r="E10" s="3454" t="s">
        <v>3387</v>
      </c>
      <c r="F10" s="3454">
        <v>709.9</v>
      </c>
      <c r="G10" s="3454">
        <v>0.4</v>
      </c>
      <c r="H10" s="3454">
        <f>H9*G10</f>
        <v>2.4000000000000004</v>
      </c>
      <c r="I10" s="3454">
        <v>7.5</v>
      </c>
    </row>
    <row r="11" spans="5:9">
      <c r="E11" s="3451" t="s">
        <v>3388</v>
      </c>
      <c r="F11" s="3451">
        <v>597.73</v>
      </c>
      <c r="G11" s="3451">
        <v>0.3</v>
      </c>
      <c r="H11" s="3451">
        <f>H9*G11</f>
        <v>1.7999999999999998</v>
      </c>
      <c r="I11" s="3451">
        <v>3</v>
      </c>
    </row>
    <row r="12" spans="5:9">
      <c r="E12" s="3451"/>
      <c r="F12" s="3451">
        <f>SUM(F6:F11)</f>
        <v>4171.4400000000005</v>
      </c>
      <c r="G12" s="3451"/>
      <c r="H12" s="3451"/>
      <c r="I12" s="3451"/>
    </row>
    <row r="17" spans="5:11">
      <c r="E17" s="3451" t="s">
        <v>3415</v>
      </c>
      <c r="F17" s="3451" t="s">
        <v>3433</v>
      </c>
      <c r="G17" s="3451" t="s">
        <v>3416</v>
      </c>
      <c r="H17" s="3451" t="s">
        <v>3417</v>
      </c>
      <c r="I17" s="3450" t="s">
        <v>3420</v>
      </c>
    </row>
    <row r="18" spans="5:11">
      <c r="E18" s="3452" t="s">
        <v>3383</v>
      </c>
      <c r="F18" s="3452">
        <v>531.75</v>
      </c>
      <c r="G18" s="3452">
        <v>30142</v>
      </c>
      <c r="H18" s="3452">
        <v>1603</v>
      </c>
      <c r="I18" s="3453">
        <v>5.5</v>
      </c>
      <c r="J18" s="3453" t="s">
        <v>3424</v>
      </c>
      <c r="K18" s="3453"/>
    </row>
    <row r="19" spans="5:11">
      <c r="E19" s="3452" t="s">
        <v>3384</v>
      </c>
      <c r="F19" s="3452">
        <v>797.64</v>
      </c>
      <c r="G19" s="3452">
        <v>20912</v>
      </c>
      <c r="H19" s="3452">
        <v>1668</v>
      </c>
      <c r="I19" s="3453">
        <v>3.6</v>
      </c>
      <c r="J19" s="3453" t="s">
        <v>3424</v>
      </c>
      <c r="K19" s="3453"/>
    </row>
    <row r="20" spans="5:11">
      <c r="E20" s="3451" t="s">
        <v>3385</v>
      </c>
      <c r="F20" s="3451">
        <v>797.64</v>
      </c>
      <c r="G20" s="3451">
        <v>17897</v>
      </c>
      <c r="H20" s="3451">
        <v>1428</v>
      </c>
      <c r="I20" s="3450">
        <v>3</v>
      </c>
      <c r="J20" s="3450" t="s">
        <v>3424</v>
      </c>
    </row>
    <row r="21" spans="5:11">
      <c r="E21" s="3452" t="s">
        <v>3421</v>
      </c>
      <c r="F21" s="3452">
        <v>709.9</v>
      </c>
      <c r="G21" s="3452">
        <v>12706</v>
      </c>
      <c r="H21" s="3452">
        <v>902</v>
      </c>
      <c r="I21" s="3453">
        <v>2.4</v>
      </c>
      <c r="J21" s="3453" t="s">
        <v>3423</v>
      </c>
      <c r="K21" s="3453"/>
    </row>
    <row r="22" spans="5:11">
      <c r="E22" s="3451" t="s">
        <v>3422</v>
      </c>
      <c r="F22" s="3451">
        <v>597.73</v>
      </c>
      <c r="G22" s="3451">
        <v>9135</v>
      </c>
      <c r="H22" s="3451">
        <v>546</v>
      </c>
      <c r="I22" s="3450">
        <v>1.8</v>
      </c>
      <c r="J22" s="3450" t="s">
        <v>3423</v>
      </c>
    </row>
    <row r="23" spans="5:11">
      <c r="E23" s="3451" t="s">
        <v>3418</v>
      </c>
      <c r="F23" s="3451">
        <f>SUM(F18:F22)</f>
        <v>3434.66</v>
      </c>
      <c r="G23" s="3451" t="s">
        <v>3419</v>
      </c>
      <c r="H23" s="3451">
        <f>SUM(H18:H22)</f>
        <v>6147</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797.64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45190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1715</v>
      </c>
      <c r="C5" s="2512">
        <f ca="1">IF(B5=D14,结果表!H102,ROUND(B5*10000/$B$1,0))</f>
        <v>21499</v>
      </c>
      <c r="D5" s="2512" t="e">
        <f ca="1">ROUND(B5*10000/$B$2,0)</f>
        <v>#DIV/0!</v>
      </c>
      <c r="E5" s="2686"/>
      <c r="F5" s="2687"/>
      <c r="G5" s="2687"/>
      <c r="H5" s="2688"/>
      <c r="I5" s="2688"/>
      <c r="J5" s="2688"/>
      <c r="K5" s="2688"/>
    </row>
    <row r="6" spans="1:11" ht="16.5">
      <c r="A6" s="2512" t="s">
        <v>656</v>
      </c>
      <c r="B6" s="2512">
        <f ca="1">SUM(G14:G23)</f>
        <v>1715</v>
      </c>
      <c r="C6" s="2512">
        <f ca="1">IF(B6=G14,结果表!H108,ROUND(B6*10000/$B$1,0))</f>
        <v>21499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'数据-汇总表'!F27</f>
        <v>797.64</v>
      </c>
      <c r="C14" s="2518"/>
      <c r="D14" s="2518">
        <f ca="1">ROUND(B14*E14/10000,0)</f>
        <v>1715</v>
      </c>
      <c r="E14" s="2518">
        <f ca="1">结果表!G20</f>
        <v>21499</v>
      </c>
      <c r="F14" s="2518" t="e">
        <f ca="1">ROUND(D14*10000/C14,0)</f>
        <v>#DIV/0!</v>
      </c>
      <c r="G14" s="2518">
        <f ca="1">D14</f>
        <v>1715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 zoomScaleNormal="100" zoomScaleSheetLayoutView="100"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3434</v>
      </c>
      <c r="D4" s="1756" t="s">
        <v>3435</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5</v>
      </c>
      <c r="D14" s="3583">
        <v>5</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0" t="s">
        <v>2131</v>
      </c>
      <c r="F18" s="3571"/>
      <c r="G18" s="3571"/>
      <c r="H18" s="3571"/>
      <c r="I18" s="3571"/>
      <c r="K18" s="302" t="s">
        <v>1289</v>
      </c>
      <c r="L18" s="302">
        <f>IF(C1="",'数据-汇总表'!E3,SUMIF(项目类型,C1,'数据-汇总表'!E17:E26)+SUMIF(项目类型,C1,'数据-汇总表'!I17:I26))</f>
        <v>797.64</v>
      </c>
      <c r="M18" s="302">
        <f>IF(C1="",'数据-汇总表'!E3,SUMIF(项目类型,C1,'数据-汇总表'!E17:E26))</f>
        <v>797.64</v>
      </c>
    </row>
    <row r="19" spans="1:36" ht="15">
      <c r="A19" s="1761" t="s">
        <v>1290</v>
      </c>
      <c r="B19" s="1762" t="s">
        <v>1291</v>
      </c>
      <c r="C19" s="134">
        <f ca="1">SUMIF(INDIRECT("'"&amp;C4&amp;"'"&amp;"!A:A"),结果表!B19,INDIRECT("'"&amp;C4&amp;"'"&amp;"!B:B"))</f>
        <v>1651.2107000000001</v>
      </c>
      <c r="D19" s="135">
        <f ca="1">SUMIF(INDIRECT("'"&amp;D4&amp;"'"&amp;"!A:A"),结果表!B19,INDIRECT("'"&amp;D4&amp;"'"&amp;"!B:B"))</f>
        <v>1778.4292</v>
      </c>
      <c r="E19" s="1761" t="s">
        <v>1292</v>
      </c>
      <c r="F19" s="1762" t="s">
        <v>1291</v>
      </c>
      <c r="G19" s="136">
        <f ca="1">ROUND(C19*$C$18+D19*$D$18,0)</f>
        <v>1715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20701</v>
      </c>
      <c r="D20" s="138">
        <f ca="1">SUMIF(INDIRECT("'"&amp;D4&amp;"'"&amp;"!A:A"),结果表!B20,INDIRECT("'"&amp;D4&amp;"'"&amp;"!B:B"))</f>
        <v>22296</v>
      </c>
      <c r="E20" s="1764"/>
      <c r="F20" s="1026" t="s">
        <v>1295</v>
      </c>
      <c r="G20" s="139">
        <f ca="1">ROUND(C20*$C$18+D20*$D$18,0)</f>
        <v>21499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7.704558842793352E-2</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21499</v>
      </c>
      <c r="D32" s="1775" t="s">
        <v>3436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1715</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45190</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0" t="s">
        <v>1340</v>
      </c>
      <c r="L48" s="3610"/>
      <c r="M48" s="3632">
        <f ca="1">H101</f>
        <v>1715</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1715</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f ca="1">ROUND(D45*'数据-取费表'!B41/(1+'数据-取费表'!C42),0)</f>
        <v>90</v>
      </c>
      <c r="E52" s="2334" t="s">
        <v>1354</v>
      </c>
      <c r="F52" s="2554">
        <f>'数据-取费表'!B41</f>
        <v>5.5000000000000007E-2</v>
      </c>
      <c r="G52" s="2555"/>
      <c r="H52" s="2544"/>
      <c r="I52" s="1807"/>
      <c r="J52" s="2523">
        <v>1</v>
      </c>
      <c r="K52" s="3611" t="s">
        <v>1355</v>
      </c>
      <c r="L52" s="3611"/>
      <c r="M52" s="2525" t="b">
        <f>D48</f>
        <v>0</v>
      </c>
      <c r="N52" s="2523" t="str">
        <f>E48</f>
        <v>销售额×税（费）率</v>
      </c>
      <c r="O52" s="2526">
        <f>F48</f>
        <v>5.5000000000000007E-2</v>
      </c>
    </row>
    <row r="53" spans="1:35" ht="12" customHeight="1">
      <c r="A53" s="2335" t="s">
        <v>1356</v>
      </c>
      <c r="B53" s="3572" t="s">
        <v>2291</v>
      </c>
      <c r="C53" s="3573"/>
      <c r="D53" s="1087">
        <f ca="1">ROUND(D45*'数据-取费表'!B41/(1+'数据-取费表'!C42),0)</f>
        <v>90</v>
      </c>
      <c r="E53" s="2334" t="s">
        <v>1354</v>
      </c>
      <c r="F53" s="2554">
        <f>'数据-取费表'!B41</f>
        <v>5.5000000000000007E-2</v>
      </c>
      <c r="G53" s="2555"/>
      <c r="H53" s="2544"/>
      <c r="I53" s="1807"/>
      <c r="J53" s="2523">
        <v>2</v>
      </c>
      <c r="K53" s="3611" t="s">
        <v>1357</v>
      </c>
      <c r="L53" s="3611"/>
      <c r="M53" s="2525">
        <f t="shared" ref="M53:O54" ca="1" si="0">D55</f>
        <v>1</v>
      </c>
      <c r="N53" s="2523" t="str">
        <f t="shared" si="0"/>
        <v>销售额×税（费）率</v>
      </c>
      <c r="O53" s="2526" t="str">
        <f t="shared" si="0"/>
        <v>免征</v>
      </c>
    </row>
    <row r="54" spans="1:35" ht="12" customHeight="1">
      <c r="A54" s="2335" t="s">
        <v>1358</v>
      </c>
      <c r="B54" s="3572" t="s">
        <v>2292</v>
      </c>
      <c r="C54" s="3573"/>
      <c r="D54" s="1087">
        <f ca="1">C68</f>
        <v>90</v>
      </c>
      <c r="E54" s="327" t="s">
        <v>1359</v>
      </c>
      <c r="F54" s="2554">
        <f>'数据-取费表'!B41</f>
        <v>5.5000000000000007E-2</v>
      </c>
      <c r="G54" s="2555"/>
      <c r="H54" s="2556"/>
      <c r="I54" s="1807"/>
      <c r="J54" s="2523">
        <v>3</v>
      </c>
      <c r="K54" s="3611" t="s">
        <v>1360</v>
      </c>
      <c r="L54" s="3611"/>
      <c r="M54" s="2525">
        <f t="shared" ca="1" si="0"/>
        <v>972</v>
      </c>
      <c r="N54" s="2523" t="str">
        <f t="shared" si="0"/>
        <v>增值额×税（费）率</v>
      </c>
      <c r="O54" s="2527" t="str">
        <f t="shared" si="0"/>
        <v>免征</v>
      </c>
    </row>
    <row r="55" spans="1:35" ht="24" customHeight="1">
      <c r="A55" s="3561" t="s">
        <v>1361</v>
      </c>
      <c r="B55" s="3562"/>
      <c r="C55" s="3562"/>
      <c r="D55" s="2324">
        <f ca="1">IF(H55="个人住宅",0,ROUND(D45*I55,0))</f>
        <v>1</v>
      </c>
      <c r="E55" s="2334" t="s">
        <v>1362</v>
      </c>
      <c r="F55" s="2554" t="str">
        <f>IF(H55="正常",I55,"免征")</f>
        <v>免征</v>
      </c>
      <c r="G55" s="2555"/>
      <c r="H55" s="2550"/>
      <c r="I55" s="165">
        <f>'数据-取费表'!B49</f>
        <v>5.0000000000000001E-4</v>
      </c>
      <c r="J55" s="2523">
        <f>IF(H59="非个人房产","",4)</f>
        <v>4</v>
      </c>
      <c r="K55" s="3611" t="str">
        <f>IF(H59="非个人房产","——","个人所得税")</f>
        <v>个人所得税</v>
      </c>
      <c r="L55" s="3611"/>
      <c r="M55" s="2528">
        <f ca="1">D59</f>
        <v>16</v>
      </c>
      <c r="N55" s="2040" t="str">
        <f>E59</f>
        <v>差额计税</v>
      </c>
      <c r="O55" s="2529">
        <f>F59</f>
        <v>0.01</v>
      </c>
    </row>
    <row r="56" spans="1:35" ht="24.75">
      <c r="A56" s="3561" t="s">
        <v>1363</v>
      </c>
      <c r="B56" s="3562"/>
      <c r="C56" s="3562"/>
      <c r="D56" s="2324">
        <f ca="1">IF(H56="个人住宅",D57,D58)</f>
        <v>972</v>
      </c>
      <c r="E56" s="2334" t="s">
        <v>1364</v>
      </c>
      <c r="F56" s="2554" t="str">
        <f>IF(H56="正常",F58,"免征")</f>
        <v>免征</v>
      </c>
      <c r="G56" s="2557" t="s">
        <v>1365</v>
      </c>
      <c r="H56" s="2558"/>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5</v>
      </c>
      <c r="K57" s="3611" t="s">
        <v>1367</v>
      </c>
      <c r="L57" s="2530" t="s">
        <v>1368</v>
      </c>
      <c r="M57" s="2531"/>
      <c r="N57" s="2532">
        <f ca="1">SUMIF(M52:M56,"&lt;9e307")</f>
        <v>989</v>
      </c>
      <c r="O57" s="2533"/>
      <c r="P57" s="2690">
        <f ca="1">N57/M49</f>
        <v>0.57667638483965011</v>
      </c>
    </row>
    <row r="58" spans="1:35" ht="24.75">
      <c r="A58" s="2335" t="s">
        <v>1352</v>
      </c>
      <c r="B58" s="3572" t="s">
        <v>1369</v>
      </c>
      <c r="C58" s="3546"/>
      <c r="D58" s="2324">
        <f ca="1">IF(H58="转让取得",C81,C97)</f>
        <v>972</v>
      </c>
      <c r="E58" s="2334" t="s">
        <v>1364</v>
      </c>
      <c r="F58" s="302" t="s">
        <v>28</v>
      </c>
      <c r="G58" s="2555"/>
      <c r="H58" s="2558"/>
      <c r="I58" s="1808"/>
      <c r="J58" s="3611"/>
      <c r="K58" s="3611"/>
      <c r="L58" s="2530" t="s">
        <v>1370</v>
      </c>
      <c r="M58" s="2534"/>
      <c r="N58" s="2535" t="str">
        <f ca="1">NUMBERSTRING(INT(N57*10000),2)&amp;"元整"</f>
        <v>玖佰捌拾玖万元整</v>
      </c>
      <c r="O58" s="2536"/>
    </row>
    <row r="59" spans="1:35" ht="24.75" thickBot="1">
      <c r="A59" s="3614" t="s">
        <v>1371</v>
      </c>
      <c r="B59" s="3615"/>
      <c r="C59" s="3615"/>
      <c r="D59" s="2560">
        <f ca="1">IF(H59="非个人房产","——",IF(H59="个人住宅（满五唯一有凭证）",0,IF(H59="个人其他（无凭证）",ROUND(D45*F59,0),ROUND(C67*F59,0))))</f>
        <v>16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2">
        <f>J57+1</f>
        <v>6</v>
      </c>
      <c r="K59" s="3611" t="s">
        <v>1372</v>
      </c>
      <c r="L59" s="2523" t="s">
        <v>1368</v>
      </c>
      <c r="M59" s="2537"/>
      <c r="N59" s="2538">
        <f ca="1">M49-N57</f>
        <v>726</v>
      </c>
      <c r="O59" s="2539"/>
    </row>
    <row r="60" spans="1:35" ht="12" customHeight="1">
      <c r="A60" s="1809"/>
      <c r="B60" s="1747"/>
      <c r="C60" s="1747"/>
      <c r="D60" s="1747"/>
      <c r="E60" s="1578"/>
      <c r="F60" s="1808"/>
      <c r="G60" s="1808"/>
      <c r="H60" s="1810"/>
      <c r="I60" s="129"/>
      <c r="J60" s="3613"/>
      <c r="K60" s="3611"/>
      <c r="L60" s="2530" t="s">
        <v>1370</v>
      </c>
      <c r="M60" s="2534"/>
      <c r="N60" s="2535" t="str">
        <f ca="1">NUMBERSTRING(INT(N59*10000),2)&amp;"元整"</f>
        <v>柒佰贰拾陆万元整</v>
      </c>
      <c r="O60" s="2536"/>
    </row>
    <row r="61" spans="1:35" ht="13.5" thickBot="1">
      <c r="A61" s="3559" t="s">
        <v>1373</v>
      </c>
      <c r="B61" s="3559"/>
      <c r="C61" s="3559"/>
      <c r="D61" s="3559"/>
      <c r="E61" s="3559"/>
      <c r="F61" s="1808"/>
      <c r="G61" s="1808"/>
      <c r="H61" s="1810"/>
      <c r="I61" s="129"/>
      <c r="J61" s="2523">
        <f>J59+1</f>
        <v>7</v>
      </c>
      <c r="K61" s="3611" t="s">
        <v>1374</v>
      </c>
      <c r="L61" s="3611"/>
      <c r="M61" s="2540"/>
      <c r="N61" s="2541">
        <f ca="1">ROUND(N59*10000/'数据-汇总表'!E3,0)</f>
        <v>9102</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f ca="1">ROUND((C64+C65)/(1+'数据-取费表'!C42),0)</f>
        <v>1633</v>
      </c>
      <c r="D63" s="167"/>
      <c r="E63" s="168"/>
      <c r="F63" s="1808"/>
      <c r="G63" s="1808"/>
      <c r="H63" s="1810"/>
      <c r="I63" s="129"/>
      <c r="J63" s="3636" t="s">
        <v>1379</v>
      </c>
      <c r="K63" s="1332" t="s">
        <v>1380</v>
      </c>
      <c r="L63" s="1332">
        <f ca="1">IF(M49&gt;10000,M49*0.5%,IF(AND(M49&gt;1000,M49&lt;=10000),M49*1%,IF(AND(M49&gt;100,M49&lt;=1000),M49*3%,IF(AND(M49&gt;10,M49&lt;=100),M49*5%,M49*8%))))</f>
        <v>17.150000000000002</v>
      </c>
      <c r="M63" s="302">
        <f ca="1">ROUND(L63,1)</f>
        <v>17.2</v>
      </c>
      <c r="N63" s="2543"/>
      <c r="Z63" s="1752"/>
      <c r="AI63" s="1753"/>
    </row>
    <row r="64" spans="1:35" ht="14.25" customHeight="1">
      <c r="A64" s="169" t="s">
        <v>325</v>
      </c>
      <c r="B64" s="170" t="s">
        <v>1381</v>
      </c>
      <c r="C64" s="2565">
        <f ca="1">D45</f>
        <v>1715</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10.290000000000001</v>
      </c>
      <c r="M64" s="302">
        <f t="shared" ref="M64:M65" ca="1" si="1">ROUND(L64,1)</f>
        <v>10.3</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f ca="1">IF(M49&gt;1000,M49*0.1%,IF(AND(M49&gt;500,M49&lt;=1000),M49*0.5%,IF(AND(M49&gt;50,M49&lt;=500),M49*1%,IF(AND(M49&gt;1,M49&lt;=50),M49*1.5%))))</f>
        <v>1.7150000000000001</v>
      </c>
      <c r="M65" s="302">
        <f t="shared" ca="1" si="1"/>
        <v>1.7</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f ca="1">M49*0.5%</f>
        <v>8.5750000000000011</v>
      </c>
      <c r="M66" s="302">
        <f ca="1">IF(L66&gt;0.5,0.5,ROUND(L66,0))</f>
        <v>0.5</v>
      </c>
      <c r="N66" s="2544" t="s">
        <v>1388</v>
      </c>
      <c r="Z66" s="1752"/>
      <c r="AI66" s="1753"/>
    </row>
    <row r="67" spans="1:35" ht="14.25" customHeight="1">
      <c r="A67" s="173" t="s">
        <v>328</v>
      </c>
      <c r="B67" s="174" t="s">
        <v>1389</v>
      </c>
      <c r="C67" s="2568">
        <f ca="1">C63-C66</f>
        <v>1633</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3.8224999999999998</v>
      </c>
      <c r="M67" s="302">
        <f ca="1">ROUND(L67*0.9,1)</f>
        <v>3.4</v>
      </c>
      <c r="N67" s="2543"/>
      <c r="Z67" s="1752"/>
      <c r="AI67" s="1753"/>
    </row>
    <row r="68" spans="1:35" ht="14.25" customHeight="1" thickBot="1">
      <c r="A68" s="176" t="s">
        <v>329</v>
      </c>
      <c r="B68" s="177" t="s">
        <v>1391</v>
      </c>
      <c r="C68" s="2569">
        <f ca="1">IF(C67&lt;=0,0,ROUND(C67*D68,0))</f>
        <v>90</v>
      </c>
      <c r="D68" s="2570">
        <f>'数据-取费表'!B41</f>
        <v>5.5000000000000007E-2</v>
      </c>
      <c r="E68" s="178"/>
      <c r="F68" s="1808"/>
      <c r="G68" s="1808"/>
      <c r="H68" s="1810"/>
      <c r="I68" s="129"/>
      <c r="J68" s="3636"/>
      <c r="K68" s="1332" t="s">
        <v>1392</v>
      </c>
      <c r="L68" s="1332">
        <f ca="1">IF(M49&gt;10000,M49*0.5%,IF(AND(M49&gt;5000,M49&lt;=10000),M49*1%,IF(AND(M49&gt;1000,M49&lt;=5000),M49*2%,IF(AND(M49&gt;200,M49&lt;=1000),M49*3%,M49*5%))))</f>
        <v>34.300000000000004</v>
      </c>
      <c r="M68" s="302">
        <f ca="1">ROUND(L68,1)</f>
        <v>34.299999999999997</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67</v>
      </c>
      <c r="N69" s="2545">
        <f ca="1">M69/M49</f>
        <v>3.9067055393586007E-2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v>
      </c>
      <c r="D78" s="2577">
        <f>'数据-取费表'!B43</f>
        <v>5.000000000000001E-3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v>
      </c>
      <c r="D93" s="2577">
        <f>'数据-取费表'!B43</f>
        <v>5.000000000000001E-3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1625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成本法 (元)</v>
      </c>
      <c r="D101" s="2586" t="str">
        <f>D4</f>
        <v>收益法 (元)</v>
      </c>
      <c r="E101" s="3633" t="s">
        <v>1431</v>
      </c>
      <c r="F101" s="3590"/>
      <c r="G101" s="1827" t="s">
        <v>1432</v>
      </c>
      <c r="H101" s="2595">
        <f ca="1">H118</f>
        <v>1715</v>
      </c>
      <c r="I101" s="129"/>
    </row>
    <row r="102" spans="1:35" ht="18.75" customHeight="1">
      <c r="A102" s="3592" t="s">
        <v>1433</v>
      </c>
      <c r="B102" s="2584" t="s">
        <v>1432</v>
      </c>
      <c r="C102" s="2585">
        <f ca="1">IF(D32="楼面单价",ROUND(C19,0),C19)</f>
        <v>1651</v>
      </c>
      <c r="D102" s="2586">
        <f ca="1">IF(D32="楼面单价",ROUND(D19,0),D19)</f>
        <v>1778</v>
      </c>
      <c r="E102" s="3633"/>
      <c r="F102" s="3590"/>
      <c r="G102" s="1827" t="s">
        <v>1434</v>
      </c>
      <c r="H102" s="2555">
        <f ca="1">I118</f>
        <v>21499</v>
      </c>
      <c r="I102" s="129"/>
    </row>
    <row r="103" spans="1:35" ht="42.75" customHeight="1">
      <c r="A103" s="3592"/>
      <c r="B103" s="2584" t="s">
        <v>1434</v>
      </c>
      <c r="C103" s="2587">
        <f ca="1">C20</f>
        <v>20701</v>
      </c>
      <c r="D103" s="2588">
        <f ca="1">D20</f>
        <v>22296</v>
      </c>
      <c r="E103" s="3627" t="s">
        <v>1435</v>
      </c>
      <c r="F103" s="3628"/>
      <c r="G103" s="1828" t="s">
        <v>1436</v>
      </c>
      <c r="H103" s="2595">
        <f>IF(D36="正常操作",H104+H105+H106,H105+H106)</f>
        <v>0</v>
      </c>
      <c r="I103" s="129"/>
    </row>
    <row r="104" spans="1:35" ht="18.75" customHeight="1">
      <c r="A104" s="3592" t="s">
        <v>1437</v>
      </c>
      <c r="B104" s="2589" t="s">
        <v>1432</v>
      </c>
      <c r="C104" s="2590">
        <f ca="1">H118</f>
        <v>1715</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21499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f ca="1">IF(E107="——","——",H101-H103)</f>
        <v>1715</v>
      </c>
      <c r="I107" s="129"/>
    </row>
    <row r="108" spans="1:35" ht="18.75" customHeight="1">
      <c r="A108" s="129"/>
      <c r="B108" s="129"/>
      <c r="C108" s="129"/>
      <c r="D108" s="129"/>
      <c r="E108" s="3589"/>
      <c r="F108" s="3590"/>
      <c r="G108" s="1827" t="s">
        <v>1434</v>
      </c>
      <c r="H108" s="2555">
        <f ca="1">IF(H107=H101,H102,ROUND(H107*10000/'数据-汇总表'!E3,0))</f>
        <v>21499</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797.64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1715</v>
      </c>
      <c r="I118" s="2329">
        <f ca="1">ROUND(IF(D32="楼面单价",C32,H118*10000/B118),0)</f>
        <v>21499</v>
      </c>
    </row>
    <row r="119" spans="1:27" ht="18.75" customHeight="1">
      <c r="A119" s="3560" t="s">
        <v>1452</v>
      </c>
      <c r="B119" s="3560"/>
      <c r="C119" s="3560"/>
      <c r="D119" s="3600" t="e">
        <f ca="1">NUMBERSTRING(INT(D118*10000),2)&amp;"元整"</f>
        <v>#REF!</v>
      </c>
      <c r="E119" s="3602"/>
      <c r="F119" s="3600" t="e">
        <f ca="1">NUMBERSTRING(INT(F118*10000),2)&amp;"元整"</f>
        <v>#REF!</v>
      </c>
      <c r="G119" s="3602"/>
      <c r="H119" s="3600" t="str">
        <f ca="1">NUMBERSTRING(INT(H118*10000),2)&amp;"元整"</f>
        <v>壹仟柒佰壹拾伍万元整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1715</v>
      </c>
      <c r="E122" s="3625"/>
      <c r="F122" s="3625"/>
      <c r="G122" s="3625"/>
      <c r="H122" s="3625"/>
      <c r="I122" s="3626"/>
      <c r="AA122" s="725"/>
    </row>
    <row r="123" spans="1:27" ht="18.75" customHeight="1">
      <c r="A123" s="3560" t="s">
        <v>1452</v>
      </c>
      <c r="B123" s="3560"/>
      <c r="C123" s="3560"/>
      <c r="D123" s="3600" t="str">
        <f ca="1">NUMBERSTRING(INT(D122*10000),2)&amp;"元整"</f>
        <v>壹仟柒佰壹拾伍万元整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3400</v>
      </c>
      <c r="C1" s="198"/>
      <c r="D1" s="198"/>
      <c r="E1" s="198"/>
      <c r="F1" s="198"/>
      <c r="G1" s="1126">
        <f>MATCH(B1,'数据-取费表'!A6:A16,0)+5</f>
        <v>6</v>
      </c>
    </row>
    <row r="2" spans="1:9" s="200" customFormat="1" ht="18" customHeight="1">
      <c r="A2" s="201" t="s">
        <v>1462</v>
      </c>
      <c r="B2" s="202">
        <f ca="1">IF(D2="——",C52,C52-E2)</f>
        <v>1650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20686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866</v>
      </c>
      <c r="D5" s="211" t="s">
        <v>1469</v>
      </c>
      <c r="E5" s="212" t="s">
        <v>1470</v>
      </c>
      <c r="F5" s="212" t="s">
        <v>1471</v>
      </c>
      <c r="G5" s="213"/>
    </row>
    <row r="6" spans="1:9" s="214" customFormat="1" ht="13.5" customHeight="1">
      <c r="A6" s="778" t="s">
        <v>1472</v>
      </c>
      <c r="B6" s="215" t="s">
        <v>1473</v>
      </c>
      <c r="C6" s="216">
        <f>基准地价修正!V3</f>
        <v>826</v>
      </c>
      <c r="D6" s="217"/>
      <c r="E6" s="218"/>
      <c r="F6" s="218"/>
      <c r="G6" s="219"/>
    </row>
    <row r="7" spans="1:9" s="214" customFormat="1" ht="13.5" customHeight="1">
      <c r="A7" s="778" t="s">
        <v>1474</v>
      </c>
      <c r="B7" s="215" t="s">
        <v>1475</v>
      </c>
      <c r="C7" s="220">
        <f>ROUND(C6*F7,0)</f>
        <v>25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3405</v>
      </c>
      <c r="H9" s="1137"/>
      <c r="I9" s="1858" t="s">
        <v>1479</v>
      </c>
    </row>
    <row r="10" spans="1:9" s="214" customFormat="1" ht="13.5" customHeight="1">
      <c r="A10" s="779" t="s">
        <v>356</v>
      </c>
      <c r="B10" s="224" t="s">
        <v>1480</v>
      </c>
      <c r="C10" s="225">
        <f ca="1">ROUND(D10*E10/10000,0)</f>
        <v>15</v>
      </c>
      <c r="D10" s="845">
        <f ca="1">IF(B1="",'数据-汇总表'!E6,IF(INDIRECT("'数据-取费表'!c"&amp;$G$1)="住宅",INDIRECT("'数据-取费表'!s"&amp;$G$1),INDIRECT("'数据-取费表'!k"&amp;$G$1)+INDIRECT("'数据-取费表'!s"&amp;$G$1)))</f>
        <v>797.64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797.64</v>
      </c>
      <c r="E19" s="211">
        <f>'数据-取费表'!B31</f>
        <v>200</v>
      </c>
      <c r="F19" s="231"/>
      <c r="G19" s="1856" t="s">
        <v>3406</v>
      </c>
    </row>
    <row r="20" spans="1:7" s="214" customFormat="1" ht="13.5" customHeight="1">
      <c r="A20" s="255" t="s">
        <v>1493</v>
      </c>
      <c r="B20" s="210" t="s">
        <v>1494</v>
      </c>
      <c r="C20" s="232">
        <f ca="1">ROUND((C5+C19)*F20,0)</f>
        <v>26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62</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178</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178</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279</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v>
      </c>
      <c r="D37" s="217">
        <f ca="1">D19</f>
        <v>797.64</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1E-3</v>
      </c>
      <c r="D44" s="238"/>
      <c r="E44" s="238"/>
      <c r="F44" s="239"/>
      <c r="G44" s="3642"/>
    </row>
    <row r="45" spans="1:7" s="214" customFormat="1" ht="13.5" customHeight="1">
      <c r="A45" s="255" t="s">
        <v>1547</v>
      </c>
      <c r="B45" s="244" t="s">
        <v>1513</v>
      </c>
      <c r="C45" s="245">
        <f ca="1">C46</f>
        <v>63</v>
      </c>
      <c r="D45" s="235">
        <f ca="1">C47</f>
        <v>6.0000000000000001E-3</v>
      </c>
      <c r="E45" s="236" t="s">
        <v>1539</v>
      </c>
      <c r="F45" s="246">
        <f ca="1">F27</f>
        <v>0.2</v>
      </c>
      <c r="G45" s="247" t="s">
        <v>1548</v>
      </c>
    </row>
    <row r="46" spans="1:7" s="214" customFormat="1" ht="13.5" customHeight="1">
      <c r="A46" s="780" t="s">
        <v>346</v>
      </c>
      <c r="B46" s="248" t="s">
        <v>1549</v>
      </c>
      <c r="C46" s="249">
        <f ca="1">ROUND((C33+C39)*F27,0)</f>
        <v>63</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428</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407</v>
      </c>
      <c r="D51" s="232"/>
      <c r="E51" s="232"/>
      <c r="F51" s="264"/>
      <c r="G51" s="234" t="s">
        <v>1560</v>
      </c>
    </row>
    <row r="52" spans="1:7" s="208" customFormat="1" ht="16.5" thickBot="1">
      <c r="A52" s="265" t="s">
        <v>1561</v>
      </c>
      <c r="B52" s="266"/>
      <c r="C52" s="267">
        <f ca="1">C31+C51</f>
        <v>1650</v>
      </c>
      <c r="D52" s="266"/>
      <c r="E52" s="266"/>
      <c r="F52" s="266"/>
      <c r="G52" s="268"/>
    </row>
    <row r="55" spans="1:7" ht="15">
      <c r="B55" s="270" t="s">
        <v>1562</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70" zoomScaleNormal="70" zoomScaleSheetLayoutView="7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3400</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1651.2107000000001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20701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8658921</v>
      </c>
      <c r="D5" s="211" t="s">
        <v>1469</v>
      </c>
      <c r="E5" s="212" t="s">
        <v>1470</v>
      </c>
      <c r="F5" s="212" t="s">
        <v>1471</v>
      </c>
      <c r="G5" s="213"/>
    </row>
    <row r="6" spans="1:8" s="214" customFormat="1" ht="13.5" customHeight="1">
      <c r="A6" s="778" t="s">
        <v>1472</v>
      </c>
      <c r="B6" s="215" t="s">
        <v>1473</v>
      </c>
      <c r="C6" s="216">
        <f>基准地价修正!T3*基准地价修正!U3</f>
        <v>8255574</v>
      </c>
      <c r="D6" s="217"/>
      <c r="E6" s="218"/>
      <c r="F6" s="218"/>
      <c r="G6" s="219"/>
    </row>
    <row r="7" spans="1:8" s="214" customFormat="1" ht="13.5" customHeight="1">
      <c r="A7" s="778" t="s">
        <v>1474</v>
      </c>
      <c r="B7" s="215" t="s">
        <v>1475</v>
      </c>
      <c r="C7" s="220">
        <f>ROUND(C6*F7,0)</f>
        <v>251795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151552</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151552</v>
      </c>
      <c r="D10" s="845">
        <f ca="1">IF(B1="",'数据-汇总表'!E6,IF(INDIRECT("'数据-取费表'!c"&amp;$G$1)="住宅",INDIRECT("'数据-取费表'!s"&amp;$G$1),INDIRECT("'数据-取费表'!k"&amp;$G$1)+INDIRECT("'数据-取费表'!s"&amp;$G$1)))</f>
        <v>797.64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797.64</v>
      </c>
      <c r="E19" s="211">
        <f>'数据-取费表'!B31</f>
        <v>200</v>
      </c>
      <c r="F19" s="231"/>
      <c r="G19" s="1856" t="s">
        <v>3406</v>
      </c>
    </row>
    <row r="20" spans="1:7" s="214" customFormat="1" ht="13.5" customHeight="1">
      <c r="A20" s="255" t="s">
        <v>1574</v>
      </c>
      <c r="B20" s="210" t="s">
        <v>1575</v>
      </c>
      <c r="C20" s="232">
        <f ca="1">ROUND((C5+C19)*F20,0)</f>
        <v>259768</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616734</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607772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8962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1783738</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1783738</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12430443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3076896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2791740</v>
      </c>
      <c r="D34" s="217"/>
      <c r="E34" s="220"/>
      <c r="F34" s="257"/>
      <c r="G34" s="219"/>
    </row>
    <row r="35" spans="1:7" ht="13.5" customHeight="1">
      <c r="A35" s="780" t="s">
        <v>351</v>
      </c>
      <c r="B35" s="215" t="s">
        <v>1527</v>
      </c>
      <c r="C35" s="220">
        <f ca="1">ROUND(C34*F35,0)</f>
        <v>83752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159528</v>
      </c>
      <c r="D37" s="217">
        <f ca="1">D19</f>
        <v>797.64</v>
      </c>
      <c r="E37" s="249">
        <f>'数据-取费表'!B35</f>
        <v>200</v>
      </c>
      <c r="F37" s="259"/>
      <c r="G37" s="261"/>
    </row>
    <row r="38" spans="1:7" ht="13.5" customHeight="1">
      <c r="A38" s="780" t="s">
        <v>354</v>
      </c>
      <c r="B38" s="215" t="s">
        <v>1533</v>
      </c>
      <c r="C38" s="220">
        <f ca="1">ROUND(C34*F38,0)</f>
        <v>41876</v>
      </c>
      <c r="D38" s="220"/>
      <c r="E38" s="220"/>
      <c r="F38" s="259">
        <f>'数据-取费表'!B36</f>
        <v>1.4999999999999999E-2</v>
      </c>
      <c r="G38" s="219" t="s">
        <v>1528</v>
      </c>
    </row>
    <row r="39" spans="1:7" s="214" customFormat="1" ht="13.5" customHeight="1">
      <c r="A39" s="255" t="s">
        <v>1534</v>
      </c>
      <c r="B39" s="210" t="s">
        <v>1535</v>
      </c>
      <c r="C39" s="232">
        <f ca="1">ROUND(C33*F20,0)</f>
        <v>92307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109338</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106153</v>
      </c>
      <c r="D42" s="238"/>
      <c r="E42" s="238"/>
      <c r="F42" s="239"/>
      <c r="G42" s="3640" t="s">
        <v>1591</v>
      </c>
    </row>
    <row r="43" spans="1:7" ht="13.5" customHeight="1">
      <c r="A43" s="780" t="s">
        <v>347</v>
      </c>
      <c r="B43" s="215" t="s">
        <v>1545</v>
      </c>
      <c r="C43" s="238">
        <f ca="1">ROUND(IF('数据-取费表'!B22&lt;=1,C39*F22*'数据-取费表'!B20/2,C39*(POWER((1+F22),'数据-取费表'!B20/2)-1)),0)</f>
        <v>3185</v>
      </c>
      <c r="D43" s="238"/>
      <c r="E43" s="238"/>
      <c r="F43" s="239"/>
      <c r="G43" s="3641"/>
    </row>
    <row r="44" spans="1:7" ht="13.5" customHeight="1">
      <c r="A44" s="780" t="s">
        <v>348</v>
      </c>
      <c r="B44" s="215" t="s">
        <v>1546</v>
      </c>
      <c r="C44" s="238">
        <f ca="1">ROUND(IF('数据-取费表'!B22&lt;=1,C40*F22*'数据-取费表'!B20/2,C40*(POWER((1+F22),'数据-取费表'!B20/2)-1)),4)</f>
        <v>1E-3</v>
      </c>
      <c r="D44" s="238"/>
      <c r="E44" s="238"/>
      <c r="F44" s="239"/>
      <c r="G44" s="3642"/>
    </row>
    <row r="45" spans="1:7" s="214" customFormat="1" ht="13.5" customHeight="1">
      <c r="A45" s="255" t="s">
        <v>1547</v>
      </c>
      <c r="B45" s="244" t="s">
        <v>1513</v>
      </c>
      <c r="C45" s="245">
        <f ca="1">C46</f>
        <v>633841</v>
      </c>
      <c r="D45" s="235">
        <f ca="1">C47</f>
        <v>6.0000000000000001E-3</v>
      </c>
      <c r="E45" s="236" t="s">
        <v>1539</v>
      </c>
      <c r="F45" s="246">
        <f ca="1">F27</f>
        <v>0.2</v>
      </c>
      <c r="G45" s="247" t="s">
        <v>1548</v>
      </c>
    </row>
    <row r="46" spans="1:7" s="214" customFormat="1" ht="13.5" customHeight="1">
      <c r="A46" s="780" t="s">
        <v>346</v>
      </c>
      <c r="B46" s="248" t="s">
        <v>1549</v>
      </c>
      <c r="C46" s="249">
        <f ca="1">ROUND((C33+C39)*F27,0)</f>
        <v>633841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4296488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4081664</v>
      </c>
      <c r="D51" s="232"/>
      <c r="E51" s="232"/>
      <c r="F51" s="264"/>
      <c r="G51" s="234" t="s">
        <v>1560</v>
      </c>
    </row>
    <row r="52" spans="1:7" s="208" customFormat="1" ht="16.5" thickBot="1">
      <c r="A52" s="265" t="s">
        <v>1561</v>
      </c>
      <c r="B52" s="266"/>
      <c r="C52" s="267">
        <f ca="1">C31+C51</f>
        <v>16512107</v>
      </c>
      <c r="D52" s="266"/>
      <c r="E52" s="266"/>
      <c r="F52" s="266"/>
      <c r="G52" s="268"/>
    </row>
    <row r="55" spans="1:7" ht="15">
      <c r="B55" s="270" t="s">
        <v>1562</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v>
      </c>
      <c r="C2" s="276" t="s">
        <v>1595</v>
      </c>
      <c r="D2" s="276"/>
      <c r="E2" s="2806"/>
      <c r="F2" s="2806"/>
      <c r="G2" s="2806"/>
      <c r="H2" s="2806"/>
      <c r="I2" s="2806"/>
      <c r="J2" s="2806"/>
      <c r="K2" s="2806"/>
    </row>
    <row r="3" spans="1:33" ht="18" customHeight="1" thickBot="1">
      <c r="A3" s="203" t="s">
        <v>1464</v>
      </c>
      <c r="B3" s="204">
        <f ca="1">ROUND(B2*10000/IF(C1="",'数据-汇总表'!E3,INDIRECT("'数据-取费表'!K"&amp;$K$1)),0)</f>
        <v>-213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797.64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797.64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15</v>
      </c>
      <c r="D20" s="846">
        <f ca="1">IF(C1="",'数据-汇总表'!E6,IF(INDIRECT("'数据-取费表'!c"&amp;$K$1)="住宅",INDIRECT("'数据-取费表'!s"&amp;$K$1),INDIRECT("'数据-取费表'!k"&amp;$K$1)+INDIRECT("'数据-取费表'!s"&amp;$K$1)))</f>
        <v>797.64</v>
      </c>
      <c r="E20" s="21">
        <f>'数据-取费表'!B28</f>
        <v>190</v>
      </c>
      <c r="F20" s="804"/>
      <c r="G20" s="12"/>
      <c r="H20" s="809"/>
      <c r="I20" s="809"/>
      <c r="J20" s="809"/>
      <c r="K20" s="810"/>
    </row>
    <row r="21" spans="1:33" s="803" customFormat="1" ht="13.5" customHeight="1">
      <c r="A21" s="790" t="s">
        <v>357</v>
      </c>
      <c r="B21" s="813" t="s">
        <v>1628</v>
      </c>
      <c r="C21" s="814">
        <f ca="1">C16+C17+C18</f>
        <v>15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90" zoomScaleNormal="80" zoomScaleSheetLayoutView="90" workbookViewId="0">
      <selection activeCell="D29" sqref="D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1307.6300000000001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3319</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13131</v>
      </c>
      <c r="U2" s="1213">
        <f>Sheet1!F9</f>
        <v>531.75</v>
      </c>
      <c r="V2" s="3361">
        <f>ROUND(T2*U2/10000,0)</f>
        <v>698</v>
      </c>
      <c r="W2" s="1216"/>
      <c r="X2" s="1216"/>
      <c r="Y2" s="1216"/>
      <c r="Z2" s="1216"/>
      <c r="AA2" s="1216"/>
      <c r="AB2" s="1216"/>
      <c r="AC2" s="1217"/>
      <c r="AD2" s="1218"/>
      <c r="AE2" s="1218"/>
      <c r="AF2" s="1218"/>
      <c r="AG2" s="1218"/>
      <c r="AH2" s="1218"/>
      <c r="AI2" s="1218"/>
      <c r="AJ2" s="1219"/>
    </row>
    <row r="3" spans="1:36" ht="15.75">
      <c r="A3" s="203" t="s">
        <v>1940</v>
      </c>
      <c r="B3" s="204">
        <f>ROUND(B2*10000/D1,0)</f>
        <v>25382</v>
      </c>
      <c r="C3" s="1999" t="s">
        <v>1941</v>
      </c>
      <c r="D3" s="2000" t="s">
        <v>1942</v>
      </c>
      <c r="E3" s="3420" t="s">
        <v>2443</v>
      </c>
      <c r="F3" s="2004" t="s">
        <v>3389</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10350</v>
      </c>
      <c r="U3" s="1213">
        <f>Sheet1!F8</f>
        <v>797.64</v>
      </c>
      <c r="V3" s="3361">
        <f t="shared" ref="V3:V16" si="1">ROUND(T3*U3/10000,0)</f>
        <v>826</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8747</v>
      </c>
      <c r="U4" s="1213">
        <f>Sheet1!F7</f>
        <v>797.64</v>
      </c>
      <c r="V4" s="3361">
        <f t="shared" si="1"/>
        <v>698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8440</v>
      </c>
      <c r="D5" s="1339">
        <f>ROUND(C6*C17+C20,0)</f>
        <v>8440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7715</v>
      </c>
      <c r="U5" s="1213">
        <f>Sheet1!F6</f>
        <v>736.78</v>
      </c>
      <c r="V5" s="3361">
        <f t="shared" si="1"/>
        <v>568</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1960</v>
      </c>
      <c r="X8" s="36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3260</v>
      </c>
      <c r="B20" s="167" t="s">
        <v>1994</v>
      </c>
      <c r="C20" s="3325">
        <f>ROUND(IF(F21="与级别开发程度一致",0,(G21-E21)/C21),0)</f>
        <v>0</v>
      </c>
      <c r="D20" s="3341" t="s">
        <v>1998</v>
      </c>
      <c r="E20" s="3342"/>
      <c r="F20" s="3660" t="s">
        <v>1995</v>
      </c>
      <c r="G20" s="3661"/>
      <c r="H20" s="3326" t="s">
        <v>3391</v>
      </c>
      <c r="I20" s="3326" t="s">
        <v>3392</v>
      </c>
      <c r="J20" s="3327" t="s">
        <v>3393</v>
      </c>
      <c r="K20" s="2047" t="s">
        <v>3394</v>
      </c>
      <c r="L20" s="2047" t="s">
        <v>3395</v>
      </c>
      <c r="M20" s="2047"/>
      <c r="N20" s="2047"/>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45190</v>
      </c>
      <c r="H23" s="3343" t="s">
        <v>3261</v>
      </c>
      <c r="I23" s="3344" t="str">
        <f>IF(H23="季度增幅（自定义）",SUMIF(N25:N28,E2,O25:O28),"")</f>
        <v/>
      </c>
      <c r="J23" s="3446" t="s">
        <v>3397</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0.95140000000000002</v>
      </c>
      <c r="D24" s="2060" t="s">
        <v>2007</v>
      </c>
      <c r="E24" s="1335">
        <f>存贷款利率!E24/100</f>
        <v>4.3499999999999997E-2</v>
      </c>
      <c r="F24" s="2060" t="s">
        <v>1999</v>
      </c>
      <c r="G24" s="768">
        <f>SUMIF(M30:Q30,E2,M33:Q33)</f>
        <v>5.5E-2</v>
      </c>
      <c r="H24" s="2060" t="s">
        <v>2008</v>
      </c>
      <c r="I24" s="769">
        <f>SUMIF('数据-取费表'!C6:C15,E2,'数据-取费表'!F6:F15)/COUNTIF('数据-取费表'!C6:C15,E2)</f>
        <v>34.19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3319</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132</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2036</v>
      </c>
      <c r="C37" s="175">
        <f>ROUND(D5*C22*C23*C24*C28*F37,0)</f>
        <v>5246</v>
      </c>
      <c r="D37" s="2098">
        <f>Sheet1!F10</f>
        <v>709.9</v>
      </c>
      <c r="E37" s="171">
        <f>ROUND(C37*D37/10000,0)</f>
        <v>372</v>
      </c>
      <c r="F37" s="171">
        <f>SUMIF(修正!A57:A68,G2,修正!B57:B68)</f>
        <v>0.6</v>
      </c>
      <c r="G37" s="171">
        <f>ROUND(IF(E2="工业",C37*$M$42,C37*$M$41),0)</f>
        <v>1312</v>
      </c>
      <c r="H37" s="171">
        <f>D37</f>
        <v>709.9</v>
      </c>
      <c r="I37" s="171">
        <f>ROUND(G37*H37/10000,0)</f>
        <v>93</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2037</v>
      </c>
      <c r="C38" s="175">
        <f>ROUND(D5*C22*C23*C24*C28*F38,0)</f>
        <v>2623</v>
      </c>
      <c r="D38" s="2098">
        <f>Sheet1!F11</f>
        <v>597.73</v>
      </c>
      <c r="E38" s="171">
        <f t="shared" ref="E38:E42" si="4">ROUND(C38*D38/10000,0)</f>
        <v>157</v>
      </c>
      <c r="F38" s="171">
        <f>SUMIF(修正!A57:A68,G2,修正!C57:C68)</f>
        <v>0.3</v>
      </c>
      <c r="G38" s="171">
        <f>ROUND(IF(E2="工业",C38*$M$42,C38*$M$41),0)</f>
        <v>656</v>
      </c>
      <c r="H38" s="171">
        <f t="shared" ref="H38:H42" si="5">D38</f>
        <v>597.73</v>
      </c>
      <c r="I38" s="171">
        <f t="shared" ref="I38:I42" si="6">ROUND(G38*H38/10000,0)</f>
        <v>39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3264</v>
      </c>
      <c r="C39" s="175">
        <f>ROUND(D5*C22*C23*C24*C28*F39,0)</f>
        <v>2186</v>
      </c>
      <c r="D39" s="2098"/>
      <c r="E39" s="171">
        <f t="shared" si="4"/>
        <v>0</v>
      </c>
      <c r="F39" s="171">
        <f>SUMIF(修正!A57:A68,G2,修正!D57:D68)</f>
        <v>0.25</v>
      </c>
      <c r="G39" s="171">
        <f>ROUND(IF(E2="工业",C39*$M$42,C39*$M$41),0)</f>
        <v>547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2186</v>
      </c>
      <c r="D40" s="2098"/>
      <c r="E40" s="171">
        <f t="shared" si="4"/>
        <v>0</v>
      </c>
      <c r="F40" s="175">
        <f>SUMIF(修正!A57:A68,G2,修正!E57:E68)</f>
        <v>0.25</v>
      </c>
      <c r="G40" s="171">
        <f>ROUND(IF(E2="工业",C40*$M$42,C40*$M$41),0)</f>
        <v>547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3413</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3412</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3412</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3412</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3412</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3412</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3412</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3414</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3413</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3299</v>
      </c>
      <c r="B103" s="3656"/>
      <c r="C103" s="3656"/>
      <c r="D103" s="3656"/>
      <c r="E103" s="3656"/>
      <c r="F103" s="3656"/>
      <c r="G103" s="3656"/>
      <c r="H103" s="3656"/>
      <c r="I103" s="3656"/>
      <c r="J103" s="3656"/>
      <c r="K103" s="3390"/>
      <c r="L103" s="3390"/>
      <c r="M103" s="3390"/>
      <c r="N103" s="3390"/>
    </row>
    <row r="104" spans="1:14">
      <c r="A104" s="3657" t="s">
        <v>3300</v>
      </c>
      <c r="B104" s="3657" t="s">
        <v>3301</v>
      </c>
      <c r="C104" s="3391" t="s">
        <v>3302</v>
      </c>
      <c r="D104" s="3392"/>
      <c r="E104" s="3392"/>
      <c r="F104" s="3392"/>
      <c r="G104" s="3392"/>
      <c r="H104" s="3392"/>
      <c r="I104" s="3392"/>
      <c r="J104" s="3393"/>
      <c r="K104" s="3394"/>
      <c r="L104" s="3394"/>
      <c r="M104" s="3394"/>
      <c r="N104" s="3394"/>
    </row>
    <row r="105" spans="1:14">
      <c r="A105" s="3657"/>
      <c r="B105" s="365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3316</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0.94899999999999995</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5" sqref="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43</v>
      </c>
      <c r="E1" s="1363" t="s">
        <v>678</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1770</v>
      </c>
      <c r="C2" s="1387" t="s">
        <v>805</v>
      </c>
      <c r="D2" s="1387"/>
      <c r="E2" s="1388"/>
      <c r="F2" s="1389"/>
      <c r="G2" s="2706"/>
      <c r="H2" s="2695"/>
      <c r="I2" s="2695"/>
      <c r="J2" s="2695"/>
      <c r="K2" s="2696"/>
      <c r="L2" s="2695"/>
      <c r="M2" s="2695"/>
    </row>
    <row r="3" spans="1:37" ht="18" customHeight="1" thickBot="1">
      <c r="A3" s="1390" t="s">
        <v>806</v>
      </c>
      <c r="B3" s="1391">
        <f ca="1">IF(ISERROR(B2*10000/F43),0,ROUND(B2*10000/F43,0))</f>
        <v>22190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v>
      </c>
      <c r="D5" s="1364" t="s">
        <v>693</v>
      </c>
      <c r="E5" s="1071"/>
      <c r="F5" s="1072"/>
      <c r="G5" s="1384"/>
      <c r="H5" s="299">
        <v>1</v>
      </c>
      <c r="I5" s="300" t="s">
        <v>692</v>
      </c>
      <c r="J5" s="1070">
        <f ca="1">J6+J10+J12</f>
        <v>0</v>
      </c>
      <c r="K5" s="1364" t="s">
        <v>693</v>
      </c>
      <c r="L5" s="1071"/>
      <c r="M5" s="1072"/>
    </row>
    <row r="6" spans="1:37" ht="18" customHeight="1">
      <c r="A6" s="1069" t="s">
        <v>398</v>
      </c>
      <c r="B6" s="3664" t="s">
        <v>694</v>
      </c>
      <c r="C6" s="1074">
        <f ca="1">ROUND(F6*F8*F7*(1-F9)/10000,0)</f>
        <v>105</v>
      </c>
      <c r="D6" s="155" t="s">
        <v>2109</v>
      </c>
      <c r="E6" s="302" t="s">
        <v>696</v>
      </c>
      <c r="F6" s="303">
        <f ca="1">INDIRECT("'数据-取费表'!u"&amp;$G$1)</f>
        <v>4</v>
      </c>
      <c r="G6" s="1384"/>
      <c r="H6" s="1069" t="s">
        <v>398</v>
      </c>
      <c r="I6" s="3664" t="s">
        <v>694</v>
      </c>
      <c r="J6" s="301">
        <f ca="1">ROUND(M6*M8*M7*(1-M9)/10000,0)</f>
        <v>0</v>
      </c>
      <c r="K6" s="155" t="s">
        <v>2108</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797.64</v>
      </c>
      <c r="G7" s="1384"/>
      <c r="H7" s="304"/>
      <c r="I7" s="3665"/>
      <c r="J7" s="306"/>
      <c r="K7" s="307"/>
      <c r="L7" s="302" t="s">
        <v>697</v>
      </c>
      <c r="M7" s="303">
        <f ca="1">F7</f>
        <v>797.64</v>
      </c>
    </row>
    <row r="8" spans="1:37" ht="18" customHeight="1">
      <c r="A8" s="304"/>
      <c r="B8" s="3665"/>
      <c r="C8" s="306"/>
      <c r="D8" s="307"/>
      <c r="E8" s="302" t="s">
        <v>698</v>
      </c>
      <c r="F8" s="303">
        <f ca="1">INDIRECT("'数据-取费表'!ai"&amp;$G$1)</f>
        <v>365</v>
      </c>
      <c r="G8" s="1384"/>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279</v>
      </c>
      <c r="D14" s="1345" t="s">
        <v>708</v>
      </c>
      <c r="E14" s="1342"/>
      <c r="F14" s="319"/>
      <c r="G14" s="1384"/>
      <c r="H14" s="982" t="s">
        <v>398</v>
      </c>
      <c r="I14" s="302" t="s">
        <v>709</v>
      </c>
      <c r="J14" s="21">
        <f ca="1">C29</f>
        <v>428</v>
      </c>
      <c r="K14" s="12"/>
      <c r="L14" s="807"/>
      <c r="M14" s="808"/>
    </row>
    <row r="15" spans="1:37" s="1397" customFormat="1" ht="18" customHeight="1" thickBot="1">
      <c r="A15" s="982" t="s">
        <v>399</v>
      </c>
      <c r="B15" s="302" t="s">
        <v>710</v>
      </c>
      <c r="C15" s="21">
        <f ca="1">ROUND(C14*F15,0)</f>
        <v>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16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63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428</v>
      </c>
      <c r="D29" s="1092"/>
      <c r="E29" s="1090"/>
      <c r="F29" s="1093"/>
      <c r="G29" s="1396"/>
      <c r="H29" s="334" t="s">
        <v>396</v>
      </c>
      <c r="I29" s="335" t="s">
        <v>768</v>
      </c>
      <c r="J29" s="336">
        <f ca="1">ROUND(J26/(1+F40)^F41,0)</f>
        <v>0</v>
      </c>
      <c r="K29" s="337" t="s">
        <v>769</v>
      </c>
      <c r="L29" s="338"/>
      <c r="M29" s="339">
        <f ca="1">INDIRECT("'数据-取费表'!k"&amp;$G$1)</f>
        <v>797.64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17.5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12</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2.14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0.41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1756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22015</v>
      </c>
      <c r="D43" s="337" t="s">
        <v>777</v>
      </c>
      <c r="E43" s="338" t="s">
        <v>778</v>
      </c>
      <c r="F43" s="339">
        <f ca="1">INDIRECT("'数据-取费表'!k"&amp;$G$1)</f>
        <v>797.64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-1802</v>
      </c>
      <c r="D46" s="1406" t="str">
        <f>C2</f>
        <v>万元</v>
      </c>
      <c r="E46" s="1400"/>
      <c r="F46" s="1400"/>
      <c r="I46" s="1407" t="s">
        <v>810</v>
      </c>
      <c r="J46" s="1408"/>
      <c r="K46" s="1409"/>
      <c r="L46" s="1410">
        <f ca="1">IF(M47="住宅",0,IF(L48&gt;J51,L60,J60))</f>
        <v>14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1756</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34.19</v>
      </c>
      <c r="O48" s="1418" t="s">
        <v>404</v>
      </c>
      <c r="P48" s="1419" t="s">
        <v>821</v>
      </c>
      <c r="Q48" s="1420">
        <f ca="1">J60</f>
        <v>14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428</v>
      </c>
      <c r="R49" s="1420" t="s">
        <v>818</v>
      </c>
    </row>
    <row r="50" spans="1:18" s="1384" customFormat="1" ht="13.5" thickBot="1">
      <c r="A50" s="976"/>
      <c r="B50" s="979"/>
      <c r="C50" s="1118"/>
      <c r="D50" s="953"/>
      <c r="E50" s="1056" t="s">
        <v>697</v>
      </c>
      <c r="F50" s="1057">
        <f ca="1">F7</f>
        <v>797.64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1041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34.19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34.19</v>
      </c>
      <c r="K53" s="3662" t="s">
        <v>837</v>
      </c>
      <c r="L53" s="3663"/>
      <c r="O53" s="1418" t="s">
        <v>409</v>
      </c>
      <c r="P53" s="1419" t="s">
        <v>838</v>
      </c>
      <c r="Q53" s="1420">
        <f ca="1">Q47+Q48</f>
        <v>1770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v>
      </c>
      <c r="K55" s="1445" t="s">
        <v>841</v>
      </c>
      <c r="L55" s="1446"/>
      <c r="O55" s="1411" t="s">
        <v>811</v>
      </c>
      <c r="P55" s="1412" t="s">
        <v>812</v>
      </c>
      <c r="Q55" s="1413" t="s">
        <v>813</v>
      </c>
      <c r="R55" s="1413" t="s">
        <v>814</v>
      </c>
    </row>
    <row r="56" spans="1:18" s="1384" customFormat="1" ht="25.5" thickTop="1" thickBot="1">
      <c r="A56" s="957">
        <v>2</v>
      </c>
      <c r="B56" s="958" t="s">
        <v>704</v>
      </c>
      <c r="C56" s="232">
        <f ca="1">C13</f>
        <v>407</v>
      </c>
      <c r="D56" s="1447"/>
      <c r="E56" s="1448"/>
      <c r="F56" s="1440"/>
      <c r="I56" s="1449" t="s">
        <v>842</v>
      </c>
      <c r="J56" s="1450" t="s">
        <v>3410</v>
      </c>
      <c r="K56" s="1421" t="s">
        <v>843</v>
      </c>
      <c r="L56" s="1424" t="str">
        <f ca="1">IF(L48&lt;J51,"——",L48-J53)</f>
        <v>——</v>
      </c>
      <c r="O56" s="1418" t="s">
        <v>403</v>
      </c>
      <c r="P56" s="1419" t="s">
        <v>817</v>
      </c>
      <c r="Q56" s="1420">
        <f ca="1">C40+J29</f>
        <v>1756</v>
      </c>
      <c r="R56" s="1420" t="s">
        <v>818</v>
      </c>
    </row>
    <row r="57" spans="1:18" s="1384" customFormat="1" ht="24.75" thickBot="1">
      <c r="A57" s="1451"/>
      <c r="B57" s="950" t="s">
        <v>767</v>
      </c>
      <c r="C57" s="238">
        <f ca="1">C29</f>
        <v>428</v>
      </c>
      <c r="D57" s="1452"/>
      <c r="E57" s="1453"/>
      <c r="F57" s="1454"/>
      <c r="I57" s="1455" t="s">
        <v>844</v>
      </c>
      <c r="J57" s="1456">
        <f ca="1">IF(OR(M47="住宅",J51&lt;L48,J56="是"),"——",J51-L48)</f>
        <v>22.810000000000002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1756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0.41</v>
      </c>
      <c r="D65" s="964" t="s">
        <v>743</v>
      </c>
      <c r="E65" s="950" t="s">
        <v>744</v>
      </c>
      <c r="F65" s="330">
        <f t="shared" ca="1" si="0"/>
        <v>1E-3</v>
      </c>
      <c r="I65" s="1462" t="s">
        <v>867</v>
      </c>
      <c r="J65" s="1463">
        <v>40</v>
      </c>
      <c r="K65" s="1463">
        <v>30</v>
      </c>
      <c r="L65" s="1463">
        <v>50</v>
      </c>
      <c r="M65" s="1465">
        <v>0.02</v>
      </c>
      <c r="O65" s="1418" t="s">
        <v>403</v>
      </c>
      <c r="P65" s="1419" t="s">
        <v>868</v>
      </c>
      <c r="Q65" s="1420">
        <f ca="1">C40+J29</f>
        <v>1756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1041</v>
      </c>
      <c r="R67" s="1420" t="s">
        <v>870</v>
      </c>
    </row>
    <row r="68" spans="1:18" s="1384" customFormat="1" ht="16.5" thickBot="1">
      <c r="A68" s="947" t="s">
        <v>395</v>
      </c>
      <c r="B68" s="948" t="s">
        <v>774</v>
      </c>
      <c r="C68" s="301">
        <f ca="1">ROUND(C67*(1-((1+F70)/(1+F68))^F69)/(F68-F70),0)</f>
        <v>-46</v>
      </c>
      <c r="D68" s="965" t="s">
        <v>758</v>
      </c>
      <c r="E68" s="950" t="s">
        <v>759</v>
      </c>
      <c r="F68" s="312">
        <f ca="1">F40</f>
        <v>5.5E-2</v>
      </c>
      <c r="O68" s="1428" t="s">
        <v>406</v>
      </c>
      <c r="P68" s="1467" t="s">
        <v>871</v>
      </c>
      <c r="Q68" s="1420">
        <f ca="1">ROUND(Q69-Q70*Q71,0)</f>
        <v>56</v>
      </c>
      <c r="R68" s="1420" t="s">
        <v>414</v>
      </c>
    </row>
    <row r="69" spans="1:18" s="1384" customFormat="1" ht="13.5" thickBot="1">
      <c r="A69" s="951"/>
      <c r="B69" s="952"/>
      <c r="C69" s="306"/>
      <c r="D69" s="970" t="s">
        <v>762</v>
      </c>
      <c r="E69" s="950" t="s">
        <v>763</v>
      </c>
      <c r="F69" s="333">
        <f ca="1">F41</f>
        <v>34.19</v>
      </c>
      <c r="O69" s="1428" t="s">
        <v>411</v>
      </c>
      <c r="P69" s="1467" t="s">
        <v>872</v>
      </c>
      <c r="Q69" s="1420">
        <f ca="1">C39</f>
        <v>84</v>
      </c>
      <c r="R69" s="1420" t="s">
        <v>818</v>
      </c>
    </row>
    <row r="70" spans="1:18" s="1384" customFormat="1" ht="13.5" thickBot="1">
      <c r="A70" s="954"/>
      <c r="B70" s="955"/>
      <c r="C70" s="310"/>
      <c r="D70" s="966"/>
      <c r="E70" s="950" t="s">
        <v>766</v>
      </c>
      <c r="F70" s="1054"/>
      <c r="O70" s="1428" t="s">
        <v>412</v>
      </c>
      <c r="P70" s="1467" t="s">
        <v>873</v>
      </c>
      <c r="Q70" s="1420">
        <f ca="1">C13</f>
        <v>407</v>
      </c>
      <c r="R70" s="1420" t="s">
        <v>818</v>
      </c>
    </row>
    <row r="71" spans="1:18" s="1384" customFormat="1" ht="13.5" thickBot="1">
      <c r="A71" s="971" t="s">
        <v>396</v>
      </c>
      <c r="B71" s="972" t="s">
        <v>776</v>
      </c>
      <c r="C71" s="336">
        <f ca="1">ROUND(C68*10000/F71,0)</f>
        <v>-577</v>
      </c>
      <c r="D71" s="973" t="s">
        <v>777</v>
      </c>
      <c r="E71" s="974" t="s">
        <v>778</v>
      </c>
      <c r="F71" s="339">
        <f ca="1">F43</f>
        <v>797.64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v>
      </c>
      <c r="D75" s="1384"/>
      <c r="E75" s="1384"/>
      <c r="F75" s="1384"/>
      <c r="K75" s="1402"/>
      <c r="L75" s="1384"/>
      <c r="O75" s="1418" t="s">
        <v>409</v>
      </c>
      <c r="P75" s="1419" t="s">
        <v>838</v>
      </c>
      <c r="Q75" s="1420">
        <f ca="1">Q65+Q66</f>
        <v>1756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0.76800000000000002</v>
      </c>
    </row>
    <row r="83" spans="2:3">
      <c r="B83" s="273" t="s">
        <v>803</v>
      </c>
      <c r="C83" s="274">
        <f ca="1">ROUND(C13/C40,3)</f>
        <v>0.23200000000000001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43</v>
      </c>
      <c r="E1" s="1363" t="s">
        <v>678</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1778.4292</v>
      </c>
      <c r="C2" s="1387" t="s">
        <v>879</v>
      </c>
      <c r="D2" s="1471">
        <f ca="1">C40+J29+L46</f>
        <v>17784292</v>
      </c>
      <c r="E2" s="1388" t="s">
        <v>880</v>
      </c>
      <c r="F2" s="1389"/>
      <c r="G2" s="2706"/>
      <c r="H2" s="2695"/>
      <c r="I2" s="2695"/>
      <c r="J2" s="2695"/>
      <c r="K2" s="2696"/>
      <c r="L2" s="2695"/>
      <c r="M2" s="2695"/>
    </row>
    <row r="3" spans="1:37" ht="18" customHeight="1" thickBot="1">
      <c r="A3" s="1390" t="s">
        <v>881</v>
      </c>
      <c r="B3" s="1391">
        <f ca="1">IF(ISERROR(D2/F43),0,ROUND(D2/F43,0))</f>
        <v>22296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1049409</v>
      </c>
      <c r="D5" s="1364" t="s">
        <v>889</v>
      </c>
      <c r="E5" s="1071"/>
      <c r="F5" s="1072"/>
      <c r="G5" s="1384"/>
      <c r="H5" s="299">
        <v>1</v>
      </c>
      <c r="I5" s="300" t="s">
        <v>888</v>
      </c>
      <c r="J5" s="1070">
        <f ca="1">J6+J10+J12</f>
        <v>0</v>
      </c>
      <c r="K5" s="1364" t="s">
        <v>889</v>
      </c>
      <c r="L5" s="1071"/>
      <c r="M5" s="1072"/>
    </row>
    <row r="6" spans="1:37" ht="18" customHeight="1">
      <c r="A6" s="1069" t="s">
        <v>398</v>
      </c>
      <c r="B6" s="3664" t="s">
        <v>694</v>
      </c>
      <c r="C6" s="1074">
        <f ca="1">ROUND(F6*F8*F7*(1-F9),0)</f>
        <v>1048099</v>
      </c>
      <c r="D6" s="155" t="s">
        <v>2106</v>
      </c>
      <c r="E6" s="302" t="s">
        <v>696</v>
      </c>
      <c r="F6" s="303">
        <f ca="1">INDIRECT("'数据-取费表'!u"&amp;$G$1)</f>
        <v>4</v>
      </c>
      <c r="G6" s="1384"/>
      <c r="H6" s="1069" t="s">
        <v>398</v>
      </c>
      <c r="I6" s="3664" t="s">
        <v>694</v>
      </c>
      <c r="J6" s="301">
        <f ca="1">ROUND(M6*M8*M7*(1-M9),0)</f>
        <v>0</v>
      </c>
      <c r="K6" s="1376"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797.64</v>
      </c>
      <c r="G7" s="1384"/>
      <c r="H7" s="304"/>
      <c r="I7" s="3665"/>
      <c r="J7" s="306"/>
      <c r="K7" s="307"/>
      <c r="L7" s="302" t="s">
        <v>697</v>
      </c>
      <c r="M7" s="303">
        <f ca="1">F7</f>
        <v>797.64</v>
      </c>
    </row>
    <row r="8" spans="1:37" ht="18" customHeight="1">
      <c r="A8" s="304"/>
      <c r="B8" s="3665"/>
      <c r="C8" s="306"/>
      <c r="D8" s="307"/>
      <c r="E8" s="302" t="s">
        <v>698</v>
      </c>
      <c r="F8" s="303">
        <f ca="1">INDIRECT("'数据-取费表'!ai"&amp;$G$1)</f>
        <v>365</v>
      </c>
      <c r="G8" s="1384"/>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1310</v>
      </c>
      <c r="D10" s="1366" t="s">
        <v>2116</v>
      </c>
      <c r="E10" s="313" t="s">
        <v>701</v>
      </c>
      <c r="F10" s="1116" t="s">
        <v>3407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4081664</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2791740</v>
      </c>
      <c r="D14" s="1345" t="s">
        <v>708</v>
      </c>
      <c r="E14" s="1342"/>
      <c r="F14" s="319"/>
      <c r="G14" s="1384"/>
      <c r="H14" s="982" t="s">
        <v>398</v>
      </c>
      <c r="I14" s="302" t="s">
        <v>709</v>
      </c>
      <c r="J14" s="21">
        <f ca="1">C29</f>
        <v>4296488</v>
      </c>
      <c r="K14" s="12"/>
      <c r="L14" s="807"/>
      <c r="M14" s="808"/>
    </row>
    <row r="15" spans="1:37" s="1397" customFormat="1" ht="18" customHeight="1" thickBot="1">
      <c r="A15" s="982" t="s">
        <v>399</v>
      </c>
      <c r="B15" s="302" t="s">
        <v>710</v>
      </c>
      <c r="C15" s="21">
        <f ca="1">ROUND(C14*F15,0)</f>
        <v>83752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21482</v>
      </c>
      <c r="K16" s="1087" t="s">
        <v>715</v>
      </c>
      <c r="L16" s="1088"/>
      <c r="M16" s="1072"/>
    </row>
    <row r="17" spans="1:37" s="1397" customFormat="1" ht="18" customHeight="1">
      <c r="A17" s="982" t="s">
        <v>681</v>
      </c>
      <c r="B17" s="302" t="s">
        <v>716</v>
      </c>
      <c r="C17" s="21">
        <f ca="1">ROUND(F17*(F43+INDIRECT("'数据-取费表'!S"&amp;$G$1)),0)</f>
        <v>159528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41876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3076896</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92307</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21482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109338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-21482</v>
      </c>
      <c r="K25" s="1095" t="s">
        <v>753</v>
      </c>
      <c r="L25" s="1096"/>
      <c r="M25" s="1097"/>
    </row>
    <row r="26" spans="1:37" ht="18" customHeight="1">
      <c r="A26" s="982" t="s">
        <v>397</v>
      </c>
      <c r="B26" s="302" t="s">
        <v>754</v>
      </c>
      <c r="C26" s="21">
        <f ca="1">ROUND((C19+C20)*F26,0)</f>
        <v>633841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4296488</v>
      </c>
      <c r="D29" s="1092"/>
      <c r="E29" s="1090"/>
      <c r="F29" s="1093"/>
      <c r="G29" s="1396"/>
      <c r="H29" s="334" t="s">
        <v>396</v>
      </c>
      <c r="I29" s="335" t="s">
        <v>768</v>
      </c>
      <c r="J29" s="336">
        <f ca="1">ROUND(J26/(1+F40)^F41,0)</f>
        <v>0</v>
      </c>
      <c r="K29" s="337" t="s">
        <v>769</v>
      </c>
      <c r="L29" s="338"/>
      <c r="M29" s="339">
        <f ca="1">INDIRECT("'数据-取费表'!k"&amp;$G$1)</f>
        <v>797.64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205494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174683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54900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119783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21482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4082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5247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843915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17639309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22114</v>
      </c>
      <c r="D43" s="337" t="s">
        <v>777</v>
      </c>
      <c r="E43" s="338" t="s">
        <v>778</v>
      </c>
      <c r="F43" s="339">
        <f ca="1">INDIRECT("'数据-取费表'!k"&amp;$G$1)</f>
        <v>797.64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-1802.9590000000001</v>
      </c>
      <c r="D45" s="3432" t="s">
        <v>3357</v>
      </c>
      <c r="E45" s="1400"/>
      <c r="F45" s="1400"/>
      <c r="O45" s="1403" t="s">
        <v>808</v>
      </c>
      <c r="P45" s="1461"/>
      <c r="Q45" s="1461"/>
      <c r="R45" s="1461"/>
    </row>
    <row r="46" spans="1:18" s="1384" customFormat="1" ht="13.5" thickBot="1">
      <c r="A46" s="1404" t="s">
        <v>809</v>
      </c>
      <c r="C46" s="1405">
        <f ca="1">ROUND(C45,0)</f>
        <v>-1803</v>
      </c>
      <c r="D46" s="1406" t="str">
        <f>C2</f>
        <v>万元</v>
      </c>
      <c r="I46" s="1407" t="s">
        <v>810</v>
      </c>
      <c r="J46" s="1408"/>
      <c r="K46" s="1409"/>
      <c r="L46" s="1410">
        <f ca="1">IF(M47="住宅",0,IF(L48&gt;J51,L60,J60))</f>
        <v>144983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17639309</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34.19</v>
      </c>
      <c r="O48" s="1418" t="s">
        <v>404</v>
      </c>
      <c r="P48" s="1419" t="s">
        <v>821</v>
      </c>
      <c r="Q48" s="1420">
        <f ca="1">J60</f>
        <v>144983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4296488</v>
      </c>
      <c r="R49" s="1420" t="s">
        <v>818</v>
      </c>
    </row>
    <row r="50" spans="1:18" s="1384" customFormat="1" ht="13.5" thickBot="1">
      <c r="A50" s="976"/>
      <c r="B50" s="979"/>
      <c r="C50" s="980"/>
      <c r="D50" s="953"/>
      <c r="E50" s="1056" t="s">
        <v>697</v>
      </c>
      <c r="F50" s="1057">
        <f ca="1">F7</f>
        <v>797.64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10472094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34.19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34.19</v>
      </c>
      <c r="K53" s="3662" t="s">
        <v>837</v>
      </c>
      <c r="L53" s="3663"/>
      <c r="O53" s="1418" t="s">
        <v>409</v>
      </c>
      <c r="P53" s="1419" t="s">
        <v>838</v>
      </c>
      <c r="Q53" s="1420">
        <f ca="1">Q47+Q48</f>
        <v>17784292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4081664</v>
      </c>
      <c r="D56" s="1447"/>
      <c r="E56" s="1448"/>
      <c r="F56" s="1440"/>
      <c r="I56" s="1449" t="s">
        <v>842</v>
      </c>
      <c r="J56" s="1450" t="s">
        <v>3410</v>
      </c>
      <c r="K56" s="1421" t="s">
        <v>843</v>
      </c>
      <c r="L56" s="1424" t="str">
        <f ca="1">IF(L48&lt;J51,"——",L48-J51)</f>
        <v>——</v>
      </c>
      <c r="O56" s="1418" t="s">
        <v>403</v>
      </c>
      <c r="P56" s="1419" t="s">
        <v>817</v>
      </c>
      <c r="Q56" s="1420">
        <f ca="1">C40+J29</f>
        <v>17639309</v>
      </c>
      <c r="R56" s="1420" t="s">
        <v>818</v>
      </c>
    </row>
    <row r="57" spans="1:18" s="1384" customFormat="1" ht="24.75" thickBot="1">
      <c r="A57" s="1451"/>
      <c r="B57" s="950" t="s">
        <v>767</v>
      </c>
      <c r="C57" s="238">
        <f ca="1">C29</f>
        <v>4296488</v>
      </c>
      <c r="D57" s="1452"/>
      <c r="E57" s="1453"/>
      <c r="F57" s="1454"/>
      <c r="I57" s="1455" t="s">
        <v>844</v>
      </c>
      <c r="J57" s="1456">
        <f ca="1">IF(OR(M47="住宅",J51&lt;L48,J56="是"),"——",J51-L48)</f>
        <v>22.810000000000002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25564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1718595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144983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17639309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21482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4082</v>
      </c>
      <c r="D65" s="964" t="s">
        <v>743</v>
      </c>
      <c r="E65" s="950" t="s">
        <v>744</v>
      </c>
      <c r="F65" s="330">
        <f t="shared" ca="1" si="0"/>
        <v>1E-3</v>
      </c>
      <c r="I65" s="1462" t="s">
        <v>867</v>
      </c>
      <c r="J65" s="1463">
        <v>40</v>
      </c>
      <c r="K65" s="1463">
        <v>30</v>
      </c>
      <c r="L65" s="1463">
        <v>50</v>
      </c>
      <c r="M65" s="1465">
        <v>0.02</v>
      </c>
      <c r="O65" s="1418" t="s">
        <v>403</v>
      </c>
      <c r="P65" s="1419" t="s">
        <v>868</v>
      </c>
      <c r="Q65" s="1420">
        <f ca="1">C40+J29</f>
        <v>17639309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-25564</v>
      </c>
      <c r="D67" s="963" t="s">
        <v>753</v>
      </c>
      <c r="E67" s="968"/>
      <c r="F67" s="969"/>
      <c r="O67" s="1428" t="s">
        <v>405</v>
      </c>
      <c r="P67" s="1419" t="s">
        <v>850</v>
      </c>
      <c r="Q67" s="1466">
        <f ca="1">L51</f>
        <v>10472094</v>
      </c>
      <c r="R67" s="1420" t="s">
        <v>870</v>
      </c>
    </row>
    <row r="68" spans="1:18" s="1384" customFormat="1" ht="16.5" thickBot="1">
      <c r="A68" s="947" t="s">
        <v>395</v>
      </c>
      <c r="B68" s="948" t="s">
        <v>774</v>
      </c>
      <c r="C68" s="301">
        <f ca="1">ROUND(C67*(1-((1+F70)/(1+F68))^F69)/(F68-F70),0)</f>
        <v>-390281</v>
      </c>
      <c r="D68" s="965" t="s">
        <v>758</v>
      </c>
      <c r="E68" s="950" t="s">
        <v>759</v>
      </c>
      <c r="F68" s="312">
        <f ca="1">F40</f>
        <v>5.5E-2</v>
      </c>
      <c r="O68" s="1428" t="s">
        <v>406</v>
      </c>
      <c r="P68" s="1467" t="s">
        <v>871</v>
      </c>
      <c r="Q68" s="1420">
        <f ca="1">ROUND(Q69-Q70*Q71,0)</f>
        <v>558199</v>
      </c>
      <c r="R68" s="1420" t="s">
        <v>414</v>
      </c>
    </row>
    <row r="69" spans="1:18" s="1384" customFormat="1" ht="13.5" thickBot="1">
      <c r="A69" s="951"/>
      <c r="B69" s="952"/>
      <c r="C69" s="306"/>
      <c r="D69" s="970" t="s">
        <v>762</v>
      </c>
      <c r="E69" s="950" t="s">
        <v>763</v>
      </c>
      <c r="F69" s="333">
        <f ca="1">F41</f>
        <v>34.19</v>
      </c>
      <c r="O69" s="1428" t="s">
        <v>411</v>
      </c>
      <c r="P69" s="1467" t="s">
        <v>872</v>
      </c>
      <c r="Q69" s="1420">
        <f ca="1">C39</f>
        <v>843915</v>
      </c>
      <c r="R69" s="1420" t="s">
        <v>818</v>
      </c>
    </row>
    <row r="70" spans="1:18" s="1384" customFormat="1" ht="13.5" thickBot="1">
      <c r="A70" s="954"/>
      <c r="B70" s="955"/>
      <c r="C70" s="310"/>
      <c r="D70" s="966"/>
      <c r="E70" s="950" t="s">
        <v>766</v>
      </c>
      <c r="F70" s="1054"/>
      <c r="O70" s="1428" t="s">
        <v>412</v>
      </c>
      <c r="P70" s="1467" t="s">
        <v>873</v>
      </c>
      <c r="Q70" s="1420">
        <f ca="1">C13</f>
        <v>4081664</v>
      </c>
      <c r="R70" s="1420" t="s">
        <v>818</v>
      </c>
    </row>
    <row r="71" spans="1:18" s="1384" customFormat="1" ht="13.5" thickBot="1">
      <c r="A71" s="971" t="s">
        <v>396</v>
      </c>
      <c r="B71" s="972" t="s">
        <v>776</v>
      </c>
      <c r="C71" s="336">
        <f ca="1">ROUND(C68/F71,0)</f>
        <v>-489</v>
      </c>
      <c r="D71" s="973" t="s">
        <v>777</v>
      </c>
      <c r="E71" s="974" t="s">
        <v>778</v>
      </c>
      <c r="F71" s="339">
        <f ca="1">F43</f>
        <v>797.64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285716</v>
      </c>
      <c r="D75" s="1384"/>
      <c r="E75" s="1384"/>
      <c r="F75" s="1384"/>
      <c r="K75" s="1402"/>
      <c r="L75" s="1384"/>
      <c r="O75" s="1418" t="s">
        <v>409</v>
      </c>
      <c r="P75" s="1419" t="s">
        <v>838</v>
      </c>
      <c r="Q75" s="1420">
        <f ca="1">Q65+Q66</f>
        <v>17639309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0.66100000000000003</v>
      </c>
    </row>
    <row r="80" spans="1:18">
      <c r="B80" s="340" t="s">
        <v>800</v>
      </c>
      <c r="C80" s="274">
        <f ca="1">ROUND(C75/C39,3)</f>
        <v>0.33900000000000002</v>
      </c>
    </row>
    <row r="81" spans="2:3">
      <c r="B81" s="270" t="s">
        <v>801</v>
      </c>
      <c r="C81" s="238"/>
    </row>
    <row r="82" spans="2:3">
      <c r="B82" s="273" t="s">
        <v>802</v>
      </c>
      <c r="C82" s="275">
        <f ca="1">1-C83</f>
        <v>0.76900000000000002</v>
      </c>
    </row>
    <row r="83" spans="2:3">
      <c r="B83" s="273" t="s">
        <v>803</v>
      </c>
      <c r="C83" s="274">
        <f ca="1">ROUND(C13/C40,3)</f>
        <v>0.23100000000000001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73" t="s">
        <v>2321</v>
      </c>
      <c r="K2" s="367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75" t="s">
        <v>2331</v>
      </c>
      <c r="K3" s="367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75" t="s">
        <v>2333</v>
      </c>
      <c r="K4" s="367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81" t="s">
        <v>2337</v>
      </c>
      <c r="B6" s="3682"/>
      <c r="C6" s="3683"/>
      <c r="D6" s="2870"/>
      <c r="E6" s="2871"/>
      <c r="F6" s="2872"/>
      <c r="G6" s="2873"/>
      <c r="H6" s="2848"/>
      <c r="I6" s="2849"/>
      <c r="J6" s="3667">
        <v>1</v>
      </c>
      <c r="K6" s="366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7"/>
      <c r="K7" s="366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84" t="s">
        <v>2351</v>
      </c>
      <c r="C8" s="3685"/>
      <c r="D8" s="2889" t="s">
        <v>2352</v>
      </c>
      <c r="E8" s="2890" t="s">
        <v>2353</v>
      </c>
      <c r="F8" s="2891" t="s">
        <v>2354</v>
      </c>
      <c r="G8" s="2892"/>
      <c r="H8" s="2848"/>
      <c r="I8" s="2849"/>
      <c r="J8" s="3667"/>
      <c r="K8" s="366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84" t="s">
        <v>2357</v>
      </c>
      <c r="C9" s="3685"/>
      <c r="D9" s="2889">
        <f>ROUND(D6*E9,0)</f>
        <v>0</v>
      </c>
      <c r="E9" s="2893"/>
      <c r="F9" s="2894" t="s">
        <v>2358</v>
      </c>
      <c r="G9" s="2873"/>
      <c r="H9" s="2848"/>
      <c r="I9" s="2849"/>
      <c r="J9" s="3667"/>
      <c r="K9" s="3669"/>
      <c r="L9" s="2883" t="s">
        <v>2359</v>
      </c>
      <c r="M9" s="2884"/>
      <c r="N9" s="2860"/>
      <c r="O9" s="2885"/>
      <c r="P9" s="2885"/>
      <c r="Q9" s="2886">
        <v>365</v>
      </c>
      <c r="R9" s="2887">
        <f t="shared" si="0"/>
        <v>0</v>
      </c>
      <c r="S9" s="2841"/>
      <c r="T9" s="2841"/>
      <c r="U9" s="2841"/>
      <c r="V9" s="2849"/>
    </row>
    <row r="10" spans="1:22" s="2853" customFormat="1" ht="13.15" customHeight="1">
      <c r="A10" s="2888">
        <v>2</v>
      </c>
      <c r="B10" s="3684" t="s">
        <v>2360</v>
      </c>
      <c r="C10" s="3685"/>
      <c r="D10" s="2889">
        <f>ROUND(D6*E10,0)</f>
        <v>0</v>
      </c>
      <c r="E10" s="2893"/>
      <c r="F10" s="2894" t="s">
        <v>2361</v>
      </c>
      <c r="G10" s="2873"/>
      <c r="H10" s="2848"/>
      <c r="I10" s="2849"/>
      <c r="J10" s="3667"/>
      <c r="K10" s="3669"/>
      <c r="L10" s="2883" t="s">
        <v>2362</v>
      </c>
      <c r="M10" s="2884"/>
      <c r="N10" s="2860"/>
      <c r="O10" s="2885"/>
      <c r="P10" s="2885"/>
      <c r="Q10" s="2886">
        <v>365</v>
      </c>
      <c r="R10" s="2887">
        <f t="shared" si="0"/>
        <v>0</v>
      </c>
      <c r="S10" s="2841"/>
      <c r="T10" s="2841"/>
      <c r="U10" s="2841"/>
      <c r="V10" s="2849"/>
    </row>
    <row r="11" spans="1:22" s="2853" customFormat="1" ht="13.15" customHeight="1">
      <c r="A11" s="2888">
        <v>3</v>
      </c>
      <c r="B11" s="3684" t="s">
        <v>2363</v>
      </c>
      <c r="C11" s="3685"/>
      <c r="D11" s="2889">
        <f>D12+D14+D15+D16</f>
        <v>0</v>
      </c>
      <c r="E11" s="2895" t="e">
        <f>D11/D6</f>
        <v>#DIV/0!</v>
      </c>
      <c r="F11" s="2891"/>
      <c r="G11" s="2892"/>
      <c r="H11" s="2848"/>
      <c r="I11" s="2849"/>
      <c r="J11" s="3667"/>
      <c r="K11" s="366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7" t="s">
        <v>2366</v>
      </c>
      <c r="C12" s="3678"/>
      <c r="D12" s="2897">
        <f>ROUND(D13*1.2%*(1-30%),0)</f>
        <v>0</v>
      </c>
      <c r="E12" s="2898">
        <v>1.2E-2</v>
      </c>
      <c r="F12" s="2891" t="s">
        <v>2367</v>
      </c>
      <c r="G12" s="2892"/>
      <c r="H12" s="2848"/>
      <c r="I12" s="2849"/>
      <c r="J12" s="3667"/>
      <c r="K12" s="366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7"/>
      <c r="K13" s="366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7" t="s">
        <v>2372</v>
      </c>
      <c r="C14" s="3678"/>
      <c r="D14" s="2897">
        <f>ROUND(E14*B5/10000,0)</f>
        <v>0</v>
      </c>
      <c r="E14" s="2886"/>
      <c r="F14" s="2891" t="s">
        <v>2373</v>
      </c>
      <c r="G14" s="2892"/>
      <c r="H14" s="2848"/>
      <c r="I14" s="2849"/>
      <c r="J14" s="3667"/>
      <c r="K14" s="367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7" t="s">
        <v>2376</v>
      </c>
      <c r="C15" s="3678"/>
      <c r="D15" s="2897">
        <f>ROUND(D6*E15,0)</f>
        <v>0</v>
      </c>
      <c r="E15" s="2898">
        <v>5.5E-2</v>
      </c>
      <c r="F15" s="2891" t="s">
        <v>2377</v>
      </c>
      <c r="G15" s="2873"/>
      <c r="H15" s="2848"/>
      <c r="I15" s="2849"/>
      <c r="J15" s="3667">
        <v>2</v>
      </c>
      <c r="K15" s="366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7" t="s">
        <v>2385</v>
      </c>
      <c r="C16" s="3678"/>
      <c r="D16" s="2908">
        <f>D6*E16</f>
        <v>0</v>
      </c>
      <c r="E16" s="2909"/>
      <c r="F16" s="2894" t="s">
        <v>2386</v>
      </c>
      <c r="G16" s="2873"/>
      <c r="H16" s="2848"/>
      <c r="I16" s="2849"/>
      <c r="J16" s="3667"/>
      <c r="K16" s="366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9" t="s">
        <v>2388</v>
      </c>
      <c r="C17" s="3680"/>
      <c r="D17" s="2911">
        <f>ROUND(D6*E17,0)</f>
        <v>0</v>
      </c>
      <c r="E17" s="2912"/>
      <c r="F17" s="2913" t="s">
        <v>2389</v>
      </c>
      <c r="G17" s="2873"/>
      <c r="H17" s="2848"/>
      <c r="I17" s="2849"/>
      <c r="J17" s="3667"/>
      <c r="K17" s="366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7"/>
      <c r="K18" s="366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7"/>
      <c r="K19" s="367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7">
        <v>3</v>
      </c>
      <c r="K20" s="366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7"/>
      <c r="K21" s="366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7"/>
      <c r="K22" s="366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7"/>
      <c r="K23" s="366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7"/>
      <c r="K24" s="367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73" t="s">
        <v>2321</v>
      </c>
      <c r="K32" s="367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75" t="s">
        <v>2331</v>
      </c>
      <c r="K33" s="367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75" t="s">
        <v>2333</v>
      </c>
      <c r="K34" s="367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7">
        <v>1</v>
      </c>
      <c r="K36" s="366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7"/>
      <c r="K40" s="367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1770</v>
      </c>
      <c r="C2" s="1872" t="s">
        <v>1651</v>
      </c>
      <c r="D2" s="1873" t="s">
        <v>1652</v>
      </c>
      <c r="E2" s="2607">
        <f>SUM(E6:E13)</f>
        <v>797.64</v>
      </c>
      <c r="F2" s="2707"/>
      <c r="G2" s="1489"/>
      <c r="H2" s="1489"/>
      <c r="I2" s="1489"/>
      <c r="J2" s="1489"/>
      <c r="K2" s="1489"/>
      <c r="L2" s="1489"/>
      <c r="M2" s="1489"/>
      <c r="N2" s="1489"/>
      <c r="O2" s="1489"/>
      <c r="P2" s="1489"/>
      <c r="Q2" s="1489"/>
      <c r="R2" s="1489"/>
      <c r="S2" s="1489"/>
    </row>
    <row r="3" spans="1:22" ht="15.75">
      <c r="A3" s="1870" t="s">
        <v>686</v>
      </c>
      <c r="B3" s="2601">
        <f ca="1">ROUND(B2*10000/E2,0)</f>
        <v>22190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6" t="s">
        <v>1654</v>
      </c>
      <c r="C5" s="368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1770</v>
      </c>
      <c r="C6" s="1872" t="s">
        <v>1651</v>
      </c>
      <c r="D6" s="2709"/>
      <c r="E6" s="2606">
        <f>IF(OR(A6=0,F6="否"),0,'数据-取费表'!K6+'数据-取费表'!S6)</f>
        <v>797.64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797.64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6" t="s">
        <v>1667</v>
      </c>
      <c r="D4" s="3707"/>
      <c r="E4" s="3708" t="s">
        <v>1668</v>
      </c>
      <c r="F4" s="3709"/>
      <c r="G4" s="3706" t="s">
        <v>1669</v>
      </c>
      <c r="H4" s="3707"/>
      <c r="I4" s="3706" t="s">
        <v>1670</v>
      </c>
      <c r="J4" s="3707"/>
      <c r="K4" s="1889" t="s">
        <v>1671</v>
      </c>
      <c r="L4" s="2715"/>
      <c r="M4" s="2716"/>
      <c r="N4" s="2716"/>
      <c r="O4" s="2716"/>
      <c r="P4" s="3710" t="s">
        <v>1672</v>
      </c>
      <c r="Q4" s="3711"/>
      <c r="R4" s="3716" t="s">
        <v>1668</v>
      </c>
      <c r="S4" s="3717"/>
      <c r="T4" s="3716" t="s">
        <v>1669</v>
      </c>
      <c r="U4" s="3717"/>
      <c r="V4" s="3722" t="s">
        <v>1670</v>
      </c>
      <c r="W4" s="3722"/>
      <c r="X4" s="1355"/>
      <c r="Y4" s="3716" t="s">
        <v>1672</v>
      </c>
      <c r="Z4" s="3717"/>
      <c r="AA4" s="3703" t="s">
        <v>1668</v>
      </c>
      <c r="AB4" s="3703" t="s">
        <v>1669</v>
      </c>
      <c r="AC4" s="3703" t="s">
        <v>1670</v>
      </c>
    </row>
    <row r="5" spans="1:29" ht="15">
      <c r="A5" s="358"/>
      <c r="B5" s="359"/>
      <c r="C5" s="3725" t="s">
        <v>1673</v>
      </c>
      <c r="D5" s="3726"/>
      <c r="E5" s="3732" t="s">
        <v>1674</v>
      </c>
      <c r="F5" s="3733"/>
      <c r="G5" s="3725" t="s">
        <v>1675</v>
      </c>
      <c r="H5" s="3726"/>
      <c r="I5" s="3725" t="s">
        <v>1676</v>
      </c>
      <c r="J5" s="3726"/>
      <c r="K5" s="1890"/>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1890" t="s">
        <v>1678</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7" t="s">
        <v>1680</v>
      </c>
      <c r="Q7" s="3729"/>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2"/>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0" t="s">
        <v>1691</v>
      </c>
      <c r="Q15" s="1352" t="str">
        <f t="shared" si="6"/>
        <v>居住社区成熟度</v>
      </c>
      <c r="R15" s="705" t="s">
        <v>18</v>
      </c>
      <c r="S15" s="706">
        <f t="shared" si="0"/>
        <v>100</v>
      </c>
      <c r="T15" s="705" t="s">
        <v>18</v>
      </c>
      <c r="U15" s="706">
        <f t="shared" si="1"/>
        <v>100</v>
      </c>
      <c r="V15" s="705" t="s">
        <v>18</v>
      </c>
      <c r="W15" s="706">
        <f t="shared" si="2"/>
        <v>100</v>
      </c>
      <c r="X15" s="1355"/>
      <c r="Y15" s="369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1"/>
      <c r="Q16" s="1352"/>
      <c r="R16" s="705"/>
      <c r="S16" s="706"/>
      <c r="T16" s="705"/>
      <c r="U16" s="706"/>
      <c r="V16" s="705"/>
      <c r="W16" s="706"/>
      <c r="X16" s="1355"/>
      <c r="Y16" s="369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1"/>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1"/>
      <c r="Q18" s="1352"/>
      <c r="R18" s="705"/>
      <c r="S18" s="706"/>
      <c r="T18" s="705"/>
      <c r="U18" s="706"/>
      <c r="V18" s="705"/>
      <c r="W18" s="706"/>
      <c r="X18" s="1355"/>
      <c r="Y18" s="369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1"/>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1"/>
      <c r="Q20" s="1352"/>
      <c r="R20" s="705"/>
      <c r="S20" s="706"/>
      <c r="T20" s="705"/>
      <c r="U20" s="706"/>
      <c r="V20" s="705"/>
      <c r="W20" s="706"/>
      <c r="X20" s="1355"/>
      <c r="Y20" s="369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1"/>
      <c r="Q22" s="1352"/>
      <c r="R22" s="705"/>
      <c r="S22" s="706"/>
      <c r="T22" s="705"/>
      <c r="U22" s="706"/>
      <c r="V22" s="705"/>
      <c r="W22" s="706"/>
      <c r="X22" s="1355"/>
      <c r="Y22" s="369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1"/>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1"/>
      <c r="Q24" s="1352"/>
      <c r="R24" s="705"/>
      <c r="S24" s="706"/>
      <c r="T24" s="705"/>
      <c r="U24" s="706"/>
      <c r="V24" s="705"/>
      <c r="W24" s="706"/>
      <c r="X24" s="1355"/>
      <c r="Y24" s="369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1"/>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1"/>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1"/>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1"/>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1"/>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1"/>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5" t="s">
        <v>1696</v>
      </c>
      <c r="Q32" s="1352" t="str">
        <f t="shared" si="11"/>
        <v>建筑类型</v>
      </c>
      <c r="R32" s="705" t="s">
        <v>18</v>
      </c>
      <c r="S32" s="706">
        <f t="shared" si="12"/>
        <v>100</v>
      </c>
      <c r="T32" s="705" t="s">
        <v>18</v>
      </c>
      <c r="U32" s="706">
        <f t="shared" si="13"/>
        <v>100</v>
      </c>
      <c r="V32" s="705" t="s">
        <v>18</v>
      </c>
      <c r="W32" s="706">
        <f t="shared" si="14"/>
        <v>100</v>
      </c>
      <c r="X32" s="1355"/>
      <c r="Y32" s="369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6" t="s">
        <v>1696</v>
      </c>
      <c r="Q38" s="1352" t="str">
        <f t="shared" si="11"/>
        <v>物业管理</v>
      </c>
      <c r="R38" s="705" t="s">
        <v>18</v>
      </c>
      <c r="S38" s="706">
        <f t="shared" si="12"/>
        <v>100</v>
      </c>
      <c r="T38" s="705" t="s">
        <v>18</v>
      </c>
      <c r="U38" s="706">
        <f t="shared" si="13"/>
        <v>100</v>
      </c>
      <c r="V38" s="705" t="s">
        <v>18</v>
      </c>
      <c r="W38" s="706">
        <f t="shared" si="14"/>
        <v>100</v>
      </c>
      <c r="X38" s="1355"/>
      <c r="Y38" s="369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797.64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22" t="s">
        <v>1772</v>
      </c>
      <c r="AC4" s="3703" t="s">
        <v>1773</v>
      </c>
    </row>
    <row r="5" spans="1:29"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22"/>
      <c r="AC5" s="3704"/>
    </row>
    <row r="6" spans="1:29" ht="15.75" thickBot="1">
      <c r="A6" s="360"/>
      <c r="B6" s="361"/>
      <c r="C6" s="3723" t="s">
        <v>1677</v>
      </c>
      <c r="D6" s="3724"/>
      <c r="E6" s="3730"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22"/>
      <c r="AC6" s="3705"/>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0" t="s">
        <v>1691</v>
      </c>
      <c r="Q15" s="1352" t="str">
        <f t="shared" si="6"/>
        <v>商业繁华度</v>
      </c>
      <c r="R15" s="705" t="s">
        <v>14</v>
      </c>
      <c r="S15" s="706">
        <f t="shared" si="0"/>
        <v>100</v>
      </c>
      <c r="T15" s="705" t="s">
        <v>14</v>
      </c>
      <c r="U15" s="706">
        <f t="shared" si="1"/>
        <v>100</v>
      </c>
      <c r="V15" s="705" t="s">
        <v>14</v>
      </c>
      <c r="W15" s="706">
        <f t="shared" si="2"/>
        <v>100</v>
      </c>
      <c r="X15" s="1355"/>
      <c r="Y15" s="369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1"/>
      <c r="Q22" s="1352"/>
      <c r="R22" s="705"/>
      <c r="S22" s="706"/>
      <c r="T22" s="705"/>
      <c r="U22" s="706"/>
      <c r="V22" s="705"/>
      <c r="W22" s="706"/>
      <c r="X22" s="1355"/>
      <c r="Y22" s="369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1"/>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1"/>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1"/>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1"/>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1"/>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5" t="s">
        <v>1696</v>
      </c>
      <c r="Q32" s="1352" t="str">
        <f t="shared" si="11"/>
        <v>商业类型</v>
      </c>
      <c r="R32" s="705" t="s">
        <v>14</v>
      </c>
      <c r="S32" s="706">
        <f t="shared" si="12"/>
        <v>100</v>
      </c>
      <c r="T32" s="705" t="s">
        <v>14</v>
      </c>
      <c r="U32" s="706">
        <f t="shared" si="13"/>
        <v>100</v>
      </c>
      <c r="V32" s="705" t="s">
        <v>14</v>
      </c>
      <c r="W32" s="706">
        <f t="shared" si="14"/>
        <v>100</v>
      </c>
      <c r="X32" s="1355"/>
      <c r="Y32" s="369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6" t="s">
        <v>1696</v>
      </c>
      <c r="Q38" s="1352" t="str">
        <f t="shared" si="11"/>
        <v>业态</v>
      </c>
      <c r="R38" s="705" t="s">
        <v>14</v>
      </c>
      <c r="S38" s="706">
        <f t="shared" si="12"/>
        <v>100</v>
      </c>
      <c r="T38" s="705" t="s">
        <v>14</v>
      </c>
      <c r="U38" s="706">
        <f t="shared" si="13"/>
        <v>100</v>
      </c>
      <c r="V38" s="705" t="s">
        <v>14</v>
      </c>
      <c r="W38" s="706">
        <f t="shared" si="14"/>
        <v>100</v>
      </c>
      <c r="X38" s="1355"/>
      <c r="Y38" s="369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1" t="str">
        <f>A47</f>
        <v>成交单价（元/平方米）</v>
      </c>
      <c r="Q47" s="3691"/>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估价对象为北京市房地产，为所有。根据《国有土地使用证》[]，估价对象（分摊）出让国有建设用地使用权面积为0平方米，建筑面积为797.64平方米。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估价对象为北京市房地产,属开发建设的，该项目尚在开发建设中。根据《国有土地使用证》[]，估价对象（分摊）出让国有建设用地使用权面积为0平方米，规划建筑面积为797.64平方米。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797.64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40" t="s">
        <v>1775</v>
      </c>
      <c r="Q4" s="3741"/>
      <c r="R4" s="3744" t="s">
        <v>1771</v>
      </c>
      <c r="S4" s="3745"/>
      <c r="T4" s="3744" t="s">
        <v>1772</v>
      </c>
      <c r="U4" s="3745"/>
      <c r="V4" s="3746" t="s">
        <v>1773</v>
      </c>
      <c r="W4" s="3746"/>
      <c r="X4" s="1958"/>
      <c r="Y4" s="3744" t="s">
        <v>1775</v>
      </c>
      <c r="Z4" s="3745"/>
      <c r="AA4" s="3748" t="s">
        <v>1771</v>
      </c>
      <c r="AB4" s="3748" t="s">
        <v>1772</v>
      </c>
      <c r="AC4" s="3737" t="s">
        <v>1773</v>
      </c>
    </row>
    <row r="5" spans="1:29" ht="15">
      <c r="A5" s="358"/>
      <c r="B5" s="359"/>
      <c r="C5" s="3725" t="s">
        <v>1673</v>
      </c>
      <c r="D5" s="3726"/>
      <c r="E5" s="3732" t="s">
        <v>1674</v>
      </c>
      <c r="F5" s="3733"/>
      <c r="G5" s="3725" t="s">
        <v>1675</v>
      </c>
      <c r="H5" s="3726"/>
      <c r="I5" s="3725" t="s">
        <v>1676</v>
      </c>
      <c r="J5" s="3726"/>
      <c r="K5" s="559"/>
      <c r="L5" s="2715"/>
      <c r="M5" s="2716"/>
      <c r="N5" s="2716"/>
      <c r="O5" s="2716"/>
      <c r="P5" s="3742"/>
      <c r="Q5" s="3713"/>
      <c r="R5" s="3718"/>
      <c r="S5" s="3719"/>
      <c r="T5" s="3718"/>
      <c r="U5" s="3719"/>
      <c r="V5" s="3722"/>
      <c r="W5" s="3722"/>
      <c r="X5" s="1355"/>
      <c r="Y5" s="3718"/>
      <c r="Z5" s="3719"/>
      <c r="AA5" s="3704"/>
      <c r="AB5" s="3704"/>
      <c r="AC5" s="3738"/>
    </row>
    <row r="6" spans="1:29" ht="15.75" thickBot="1">
      <c r="A6" s="360"/>
      <c r="B6" s="361"/>
      <c r="C6" s="3723" t="s">
        <v>1677</v>
      </c>
      <c r="D6" s="3724"/>
      <c r="E6" s="3730" t="s">
        <v>1677</v>
      </c>
      <c r="F6" s="3731"/>
      <c r="G6" s="3723" t="s">
        <v>1677</v>
      </c>
      <c r="H6" s="3724"/>
      <c r="I6" s="3723" t="s">
        <v>1677</v>
      </c>
      <c r="J6" s="3724"/>
      <c r="K6" s="559" t="s">
        <v>1678</v>
      </c>
      <c r="L6" s="2715"/>
      <c r="M6" s="2716"/>
      <c r="N6" s="2716"/>
      <c r="O6" s="2716"/>
      <c r="P6" s="3743"/>
      <c r="Q6" s="3715"/>
      <c r="R6" s="3718"/>
      <c r="S6" s="3719"/>
      <c r="T6" s="3720"/>
      <c r="U6" s="3721"/>
      <c r="V6" s="3722"/>
      <c r="W6" s="3722"/>
      <c r="X6" s="1355"/>
      <c r="Y6" s="3720"/>
      <c r="Z6" s="3721"/>
      <c r="AA6" s="3705"/>
      <c r="AB6" s="3705"/>
      <c r="AC6" s="3739"/>
    </row>
    <row r="7" spans="1:29" s="108" customFormat="1" ht="15.75" thickBot="1">
      <c r="A7" s="362" t="s">
        <v>1679</v>
      </c>
      <c r="B7" s="363"/>
      <c r="C7" s="364">
        <f>'数据-取费表'!B2</f>
        <v>45190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0" t="s">
        <v>1691</v>
      </c>
      <c r="Q15" s="1352" t="str">
        <f t="shared" si="6"/>
        <v>办公集聚程度</v>
      </c>
      <c r="R15" s="705" t="s">
        <v>14</v>
      </c>
      <c r="S15" s="706">
        <f t="shared" si="0"/>
        <v>100</v>
      </c>
      <c r="T15" s="705" t="s">
        <v>14</v>
      </c>
      <c r="U15" s="706">
        <f t="shared" si="1"/>
        <v>100</v>
      </c>
      <c r="V15" s="705" t="s">
        <v>14</v>
      </c>
      <c r="W15" s="706">
        <f t="shared" si="2"/>
        <v>100</v>
      </c>
      <c r="X15" s="1355"/>
      <c r="Y15" s="369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1"/>
      <c r="Q22" s="1352"/>
      <c r="R22" s="705"/>
      <c r="S22" s="706"/>
      <c r="T22" s="705"/>
      <c r="U22" s="706"/>
      <c r="V22" s="705"/>
      <c r="W22" s="706"/>
      <c r="X22" s="1355"/>
      <c r="Y22" s="369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1"/>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1"/>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1"/>
      <c r="Q26" s="1352"/>
      <c r="R26" s="705"/>
      <c r="S26" s="706"/>
      <c r="T26" s="705"/>
      <c r="U26" s="706"/>
      <c r="V26" s="705"/>
      <c r="W26" s="706"/>
      <c r="X26" s="1355"/>
      <c r="Y26" s="369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1"/>
      <c r="Q27" s="1352" t="str">
        <f t="shared" ref="Q27:Q47" si="11">B27</f>
        <v>楼层</v>
      </c>
      <c r="R27" s="705" t="s">
        <v>14</v>
      </c>
      <c r="S27" s="706">
        <f>F27</f>
        <v>100</v>
      </c>
      <c r="T27" s="705" t="s">
        <v>14</v>
      </c>
      <c r="U27" s="706">
        <f>H27</f>
        <v>100</v>
      </c>
      <c r="V27" s="705" t="s">
        <v>14</v>
      </c>
      <c r="W27" s="706">
        <f>J27</f>
        <v>100</v>
      </c>
      <c r="X27" s="1355"/>
      <c r="Y27" s="369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1"/>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1"/>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5" t="s">
        <v>1696</v>
      </c>
      <c r="Q33" s="1352" t="str">
        <f t="shared" si="11"/>
        <v>建筑类型</v>
      </c>
      <c r="R33" s="705" t="s">
        <v>14</v>
      </c>
      <c r="S33" s="706">
        <f t="shared" si="12"/>
        <v>100</v>
      </c>
      <c r="T33" s="705" t="s">
        <v>14</v>
      </c>
      <c r="U33" s="706">
        <f t="shared" si="13"/>
        <v>100</v>
      </c>
      <c r="V33" s="705" t="s">
        <v>14</v>
      </c>
      <c r="W33" s="706">
        <f t="shared" si="14"/>
        <v>100</v>
      </c>
      <c r="X33" s="1355"/>
      <c r="Y33" s="369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6"/>
      <c r="Q37" s="1352" t="str">
        <f t="shared" si="11"/>
        <v>成新度</v>
      </c>
      <c r="R37" s="705" t="s">
        <v>14</v>
      </c>
      <c r="S37" s="706" t="e">
        <f t="shared" si="12"/>
        <v>#N/A</v>
      </c>
      <c r="T37" s="705" t="s">
        <v>14</v>
      </c>
      <c r="U37" s="706" t="e">
        <f t="shared" si="13"/>
        <v>#N/A</v>
      </c>
      <c r="V37" s="705" t="s">
        <v>14</v>
      </c>
      <c r="W37" s="706" t="e">
        <f t="shared" si="14"/>
        <v>#N/A</v>
      </c>
      <c r="X37" s="1355"/>
      <c r="Y37" s="369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6" t="s">
        <v>1696</v>
      </c>
      <c r="Q39" s="1352" t="str">
        <f t="shared" si="11"/>
        <v>物业管理</v>
      </c>
      <c r="R39" s="705" t="s">
        <v>14</v>
      </c>
      <c r="S39" s="706">
        <f t="shared" si="12"/>
        <v>100</v>
      </c>
      <c r="T39" s="705" t="s">
        <v>14</v>
      </c>
      <c r="U39" s="706">
        <f t="shared" si="13"/>
        <v>100</v>
      </c>
      <c r="V39" s="705" t="s">
        <v>14</v>
      </c>
      <c r="W39" s="706">
        <f t="shared" si="14"/>
        <v>100</v>
      </c>
      <c r="X39" s="1355"/>
      <c r="Y39" s="369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6"/>
      <c r="Q43" s="1352" t="str">
        <f t="shared" si="11"/>
        <v>内部装修</v>
      </c>
      <c r="R43" s="705" t="s">
        <v>14</v>
      </c>
      <c r="S43" s="706">
        <f t="shared" si="12"/>
        <v>100</v>
      </c>
      <c r="T43" s="705" t="s">
        <v>14</v>
      </c>
      <c r="U43" s="706">
        <f t="shared" si="13"/>
        <v>100</v>
      </c>
      <c r="V43" s="705" t="s">
        <v>14</v>
      </c>
      <c r="W43" s="706">
        <f t="shared" si="14"/>
        <v>100</v>
      </c>
      <c r="X43" s="1355"/>
      <c r="Y43" s="369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2" t="str">
        <f>A48</f>
        <v>成交单价（元/平方米）</v>
      </c>
      <c r="Q48" s="3691"/>
      <c r="R48" s="3692">
        <f>E48</f>
        <v>0</v>
      </c>
      <c r="S48" s="3692"/>
      <c r="T48" s="3692">
        <f>G48</f>
        <v>0</v>
      </c>
      <c r="U48" s="3692"/>
      <c r="V48" s="3692">
        <f>I48</f>
        <v>0</v>
      </c>
      <c r="W48" s="369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797.64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913"/>
      <c r="M5" s="914"/>
      <c r="N5" s="914"/>
      <c r="O5" s="914"/>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913"/>
      <c r="M6" s="914"/>
      <c r="N6" s="914"/>
      <c r="O6" s="914"/>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45190</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69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2" t="str">
        <f t="shared" si="11"/>
        <v>市政基础设施</v>
      </c>
      <c r="R35" s="705" t="s">
        <v>14</v>
      </c>
      <c r="S35" s="706">
        <f t="shared" si="12"/>
        <v>100</v>
      </c>
      <c r="T35" s="705" t="s">
        <v>14</v>
      </c>
      <c r="U35" s="706">
        <f t="shared" si="13"/>
        <v>100</v>
      </c>
      <c r="V35" s="705" t="s">
        <v>14</v>
      </c>
      <c r="W35" s="706">
        <f t="shared" si="14"/>
        <v>100</v>
      </c>
      <c r="X35" s="1355"/>
      <c r="Y35" s="369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45190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1"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1"/>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4"/>
      <c r="Q15" s="1352"/>
      <c r="R15" s="705"/>
      <c r="S15" s="706"/>
      <c r="T15" s="705"/>
      <c r="U15" s="706"/>
      <c r="V15" s="705"/>
      <c r="W15" s="706"/>
      <c r="X15" s="1355"/>
      <c r="Y15" s="369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4"/>
      <c r="Q17" s="1352"/>
      <c r="R17" s="705"/>
      <c r="S17" s="706"/>
      <c r="T17" s="705"/>
      <c r="U17" s="706"/>
      <c r="V17" s="705"/>
      <c r="W17" s="706"/>
      <c r="X17" s="1355"/>
      <c r="Y17" s="369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4"/>
      <c r="Q19" s="1352"/>
      <c r="R19" s="705"/>
      <c r="S19" s="706"/>
      <c r="T19" s="705"/>
      <c r="U19" s="706"/>
      <c r="V19" s="705"/>
      <c r="W19" s="706"/>
      <c r="X19" s="1355"/>
      <c r="Y19" s="369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4"/>
      <c r="Q21" s="1352"/>
      <c r="R21" s="705"/>
      <c r="S21" s="706"/>
      <c r="T21" s="705"/>
      <c r="U21" s="706"/>
      <c r="V21" s="705"/>
      <c r="W21" s="706"/>
      <c r="X21" s="1355"/>
      <c r="Y21" s="369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8" t="s">
        <v>1696</v>
      </c>
      <c r="Q32" s="1352" t="str">
        <f t="shared" si="11"/>
        <v>车位类型</v>
      </c>
      <c r="R32" s="705" t="s">
        <v>14</v>
      </c>
      <c r="S32" s="706">
        <f t="shared" si="12"/>
        <v>100</v>
      </c>
      <c r="T32" s="705" t="s">
        <v>14</v>
      </c>
      <c r="U32" s="706">
        <f t="shared" si="13"/>
        <v>100</v>
      </c>
      <c r="V32" s="705" t="s">
        <v>14</v>
      </c>
      <c r="W32" s="706">
        <f t="shared" si="14"/>
        <v>100</v>
      </c>
      <c r="X32" s="1355"/>
      <c r="Y32" s="369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8" t="str">
        <f>A39</f>
        <v>估价对象XX用房的比较价值（楼面单价，元/平方米）</v>
      </c>
      <c r="Q39" s="3689"/>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45190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1"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1"/>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4"/>
      <c r="Q15" s="1352"/>
      <c r="R15" s="705"/>
      <c r="S15" s="706"/>
      <c r="T15" s="705"/>
      <c r="U15" s="706"/>
      <c r="V15" s="705"/>
      <c r="W15" s="706"/>
      <c r="X15" s="1355"/>
      <c r="Y15" s="369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4"/>
      <c r="Q17" s="1352"/>
      <c r="R17" s="705"/>
      <c r="S17" s="706"/>
      <c r="T17" s="705"/>
      <c r="U17" s="706"/>
      <c r="V17" s="705"/>
      <c r="W17" s="706"/>
      <c r="X17" s="1355"/>
      <c r="Y17" s="369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4"/>
      <c r="Q19" s="1352"/>
      <c r="R19" s="705"/>
      <c r="S19" s="706"/>
      <c r="T19" s="705"/>
      <c r="U19" s="706"/>
      <c r="V19" s="705"/>
      <c r="W19" s="706"/>
      <c r="X19" s="1355"/>
      <c r="Y19" s="369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4"/>
      <c r="Q21" s="1352"/>
      <c r="R21" s="705"/>
      <c r="S21" s="706"/>
      <c r="T21" s="705"/>
      <c r="U21" s="706"/>
      <c r="V21" s="705"/>
      <c r="W21" s="706"/>
      <c r="X21" s="1355"/>
      <c r="Y21" s="369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8" t="s">
        <v>1696</v>
      </c>
      <c r="Q32" s="1352">
        <f t="shared" si="11"/>
        <v>111</v>
      </c>
      <c r="R32" s="705" t="s">
        <v>14</v>
      </c>
      <c r="S32" s="706">
        <f t="shared" si="12"/>
        <v>100</v>
      </c>
      <c r="T32" s="705" t="s">
        <v>14</v>
      </c>
      <c r="U32" s="706">
        <f t="shared" si="13"/>
        <v>100</v>
      </c>
      <c r="V32" s="705" t="s">
        <v>14</v>
      </c>
      <c r="W32" s="706">
        <f t="shared" si="14"/>
        <v>100</v>
      </c>
      <c r="X32" s="1355"/>
      <c r="Y32" s="369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8" t="str">
        <f>A37</f>
        <v>估价对象XX用房的比较价值（楼面单价，元/平方米）</v>
      </c>
      <c r="Q37" s="3689"/>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30"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30" ht="15.75" thickBot="1">
      <c r="A6" s="360"/>
      <c r="B6" s="361"/>
      <c r="C6" s="3723" t="s">
        <v>1677</v>
      </c>
      <c r="D6" s="3724"/>
      <c r="E6" s="3730"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30" s="108" customFormat="1" ht="15.75" thickBot="1">
      <c r="A7" s="362" t="s">
        <v>1679</v>
      </c>
      <c r="B7" s="363"/>
      <c r="C7" s="364">
        <f>'数据-取费表'!B2</f>
        <v>45190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547"/>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1"/>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3" t="s">
        <v>1691</v>
      </c>
      <c r="Q15" s="1352" t="str">
        <f t="shared" si="6"/>
        <v>居住社区成熟度</v>
      </c>
      <c r="R15" s="705" t="s">
        <v>14</v>
      </c>
      <c r="S15" s="706">
        <f t="shared" si="0"/>
        <v>100</v>
      </c>
      <c r="T15" s="705" t="s">
        <v>14</v>
      </c>
      <c r="U15" s="706">
        <f t="shared" si="1"/>
        <v>100</v>
      </c>
      <c r="V15" s="705" t="s">
        <v>14</v>
      </c>
      <c r="W15" s="706">
        <f t="shared" si="2"/>
        <v>100</v>
      </c>
      <c r="X15" s="1355"/>
      <c r="Y15" s="369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4"/>
      <c r="Q20" s="1352"/>
      <c r="R20" s="705"/>
      <c r="S20" s="706"/>
      <c r="T20" s="705"/>
      <c r="U20" s="706"/>
      <c r="V20" s="705"/>
      <c r="W20" s="706"/>
      <c r="X20" s="1355"/>
      <c r="Y20" s="369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4"/>
      <c r="Q24" s="1352"/>
      <c r="R24" s="705"/>
      <c r="S24" s="706"/>
      <c r="T24" s="705"/>
      <c r="U24" s="706"/>
      <c r="V24" s="705"/>
      <c r="W24" s="706"/>
      <c r="X24" s="1355"/>
      <c r="Y24" s="369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4"/>
      <c r="Q26" s="1352"/>
      <c r="R26" s="705"/>
      <c r="S26" s="706"/>
      <c r="T26" s="705"/>
      <c r="U26" s="706"/>
      <c r="V26" s="705"/>
      <c r="W26" s="706"/>
      <c r="X26" s="1355"/>
      <c r="Y26" s="369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4"/>
      <c r="Q28" s="1343"/>
      <c r="R28" s="701"/>
      <c r="S28" s="702"/>
      <c r="T28" s="701"/>
      <c r="U28" s="702"/>
      <c r="V28" s="701"/>
      <c r="W28" s="702"/>
      <c r="X28" s="703"/>
      <c r="Y28" s="369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4"/>
      <c r="Q30" s="1343"/>
      <c r="R30" s="701"/>
      <c r="S30" s="702"/>
      <c r="T30" s="701"/>
      <c r="U30" s="702"/>
      <c r="V30" s="701"/>
      <c r="W30" s="702"/>
      <c r="X30" s="703"/>
      <c r="Y30" s="369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4"/>
      <c r="Q33" s="1352"/>
      <c r="R33" s="705"/>
      <c r="S33" s="706"/>
      <c r="T33" s="705"/>
      <c r="U33" s="706"/>
      <c r="V33" s="705"/>
      <c r="W33" s="706"/>
      <c r="X33" s="1355"/>
      <c r="Y33" s="369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9" t="s">
        <v>1696</v>
      </c>
      <c r="Q36" s="1352">
        <f t="shared" si="8"/>
        <v>111</v>
      </c>
      <c r="R36" s="705" t="s">
        <v>14</v>
      </c>
      <c r="S36" s="706">
        <f t="shared" si="10"/>
        <v>100</v>
      </c>
      <c r="T36" s="705" t="s">
        <v>14</v>
      </c>
      <c r="U36" s="706">
        <f t="shared" si="11"/>
        <v>100</v>
      </c>
      <c r="V36" s="705" t="s">
        <v>14</v>
      </c>
      <c r="W36" s="706">
        <f t="shared" si="12"/>
        <v>100</v>
      </c>
      <c r="X36" s="1355"/>
      <c r="Y36" s="369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8" t="s">
        <v>1696</v>
      </c>
      <c r="Q42" s="1352" t="str">
        <f t="shared" si="14"/>
        <v>工程地质条件</v>
      </c>
      <c r="R42" s="705" t="s">
        <v>14</v>
      </c>
      <c r="S42" s="706">
        <f t="shared" si="10"/>
        <v>100</v>
      </c>
      <c r="T42" s="705" t="s">
        <v>14</v>
      </c>
      <c r="U42" s="706">
        <f t="shared" si="11"/>
        <v>100</v>
      </c>
      <c r="V42" s="705" t="s">
        <v>14</v>
      </c>
      <c r="W42" s="706">
        <f t="shared" si="12"/>
        <v>100</v>
      </c>
      <c r="X42" s="1355"/>
      <c r="Y42" s="369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1" t="str">
        <f>A46</f>
        <v>成交单价</v>
      </c>
      <c r="Q46" s="3691"/>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1" t="str">
        <f>A47</f>
        <v>比较价值（元/平方米）</v>
      </c>
      <c r="Q47" s="3691"/>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8" t="str">
        <f>A48</f>
        <v>估价对象XX用房的比较价值（楼面单价，元/平方米）</v>
      </c>
      <c r="Q48" s="3689"/>
      <c r="R48" s="3752" t="e">
        <f>ROUND(IF(D47="简单平均",AVERAGE(R47:W47),R47*F47+T47*H47+V47*J47),0)</f>
        <v>#DIV/0!</v>
      </c>
      <c r="S48" s="3752"/>
      <c r="T48" s="3752"/>
      <c r="U48" s="3752"/>
      <c r="V48" s="3752"/>
      <c r="W48" s="375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6" t="s">
        <v>1887</v>
      </c>
      <c r="H55" s="375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797.64</v>
      </c>
      <c r="F56" s="886" t="e">
        <f t="shared" ref="F56:F64" si="15">ROUND(B56*E56/10000,0)</f>
        <v>#DIV/0!</v>
      </c>
      <c r="G56" s="3702"/>
      <c r="H56" s="369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797.64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54" t="s">
        <v>1919</v>
      </c>
      <c r="D6" s="3755"/>
      <c r="E6" s="3756" t="s">
        <v>1919</v>
      </c>
      <c r="F6" s="3757"/>
      <c r="G6" s="3754" t="s">
        <v>1919</v>
      </c>
      <c r="H6" s="3755"/>
      <c r="I6" s="3754" t="s">
        <v>1919</v>
      </c>
      <c r="J6" s="3755"/>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45190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547"/>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4"/>
      <c r="Q20" s="1352"/>
      <c r="R20" s="705"/>
      <c r="S20" s="706"/>
      <c r="T20" s="705"/>
      <c r="U20" s="706"/>
      <c r="V20" s="705"/>
      <c r="W20" s="706"/>
      <c r="X20" s="1355"/>
      <c r="Y20" s="369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4"/>
      <c r="Q24" s="1343"/>
      <c r="R24" s="701"/>
      <c r="S24" s="702"/>
      <c r="T24" s="701"/>
      <c r="U24" s="702"/>
      <c r="V24" s="701"/>
      <c r="W24" s="702"/>
      <c r="X24" s="703"/>
      <c r="Y24" s="369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4"/>
      <c r="Q26" s="1343"/>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4"/>
      <c r="Q29" s="1352"/>
      <c r="R29" s="705"/>
      <c r="S29" s="706"/>
      <c r="T29" s="705"/>
      <c r="U29" s="706"/>
      <c r="V29" s="705"/>
      <c r="W29" s="706"/>
      <c r="X29" s="1355"/>
      <c r="Y29" s="369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9" t="s">
        <v>1696</v>
      </c>
      <c r="Q32" s="1352">
        <f t="shared" si="8"/>
        <v>111</v>
      </c>
      <c r="R32" s="705" t="s">
        <v>14</v>
      </c>
      <c r="S32" s="706">
        <f t="shared" si="10"/>
        <v>100</v>
      </c>
      <c r="T32" s="705" t="s">
        <v>14</v>
      </c>
      <c r="U32" s="706">
        <f t="shared" si="11"/>
        <v>100</v>
      </c>
      <c r="V32" s="705" t="s">
        <v>14</v>
      </c>
      <c r="W32" s="706">
        <f t="shared" si="12"/>
        <v>100</v>
      </c>
      <c r="X32" s="1355"/>
      <c r="Y32" s="369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8" t="s">
        <v>1696</v>
      </c>
      <c r="Q37" s="1352" t="str">
        <f t="shared" si="14"/>
        <v>工程地质条件</v>
      </c>
      <c r="R37" s="705" t="s">
        <v>14</v>
      </c>
      <c r="S37" s="706">
        <f t="shared" si="10"/>
        <v>100</v>
      </c>
      <c r="T37" s="705" t="s">
        <v>14</v>
      </c>
      <c r="U37" s="706">
        <f t="shared" si="11"/>
        <v>100</v>
      </c>
      <c r="V37" s="705" t="s">
        <v>14</v>
      </c>
      <c r="W37" s="706">
        <f t="shared" si="12"/>
        <v>100</v>
      </c>
      <c r="X37" s="1355"/>
      <c r="Y37" s="369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1" t="str">
        <f>A41</f>
        <v>成交单价</v>
      </c>
      <c r="Q41" s="3691"/>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1" t="str">
        <f>A42</f>
        <v>比较价值（元/平方米）</v>
      </c>
      <c r="Q42" s="3691"/>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8" t="str">
        <f>A43</f>
        <v>估价对象XX用房的比较价值（楼面单价，元/平方米）</v>
      </c>
      <c r="Q43" s="3689"/>
      <c r="R43" s="3752" t="e">
        <f>ROUND(IF(D42="简单平均",AVERAGE(R42:W42),R42*F42+T42*H42+V42*J42),0)</f>
        <v>#DIV/0!</v>
      </c>
      <c r="S43" s="3752"/>
      <c r="T43" s="3752"/>
      <c r="U43" s="3752"/>
      <c r="V43" s="3752"/>
      <c r="W43" s="375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6" t="s">
        <v>1887</v>
      </c>
      <c r="H50" s="375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797.64</v>
      </c>
      <c r="F51" s="639" t="e">
        <f t="shared" ref="F51:F60" si="15">ROUND(B51*E51/10000,0)</f>
        <v>#DIV/0!</v>
      </c>
      <c r="G51" s="3702"/>
      <c r="H51" s="369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3319</v>
      </c>
      <c r="C2" s="2145" t="s">
        <v>2074</v>
      </c>
      <c r="D2" s="2145" t="s">
        <v>2075</v>
      </c>
      <c r="E2" s="2612">
        <f ca="1">SUMIF(E6:E13,"&lt;&gt;#ref!",E6:E13)</f>
        <v>1307.6300000000001</v>
      </c>
      <c r="F2" s="2793"/>
      <c r="G2" s="2793"/>
      <c r="H2" s="2793"/>
      <c r="I2" s="2793"/>
      <c r="J2" s="2793"/>
      <c r="K2" s="2793"/>
      <c r="L2" s="2793"/>
      <c r="M2" s="2793"/>
      <c r="N2" s="2793"/>
      <c r="O2" s="2793"/>
      <c r="P2" s="2793"/>
    </row>
    <row r="3" spans="1:16" ht="15.75">
      <c r="A3" s="2145" t="s">
        <v>2076</v>
      </c>
      <c r="B3" s="2602">
        <f ca="1">ROUND(B2*10000/E2,0)</f>
        <v>25382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3319</v>
      </c>
      <c r="C6" s="2145" t="s">
        <v>2074</v>
      </c>
      <c r="D6" s="2793"/>
      <c r="E6" s="2612">
        <f ca="1">SUMIF(INDIRECT("'"&amp;A6&amp;"'"&amp;"!C:C"),"建筑面积",INDIRECT("'"&amp;A6&amp;"'"&amp;"!D:D"))</f>
        <v>1307.6300000000001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3" t="s">
        <v>2611</v>
      </c>
      <c r="B20" s="3768" t="s">
        <v>2632</v>
      </c>
      <c r="C20" s="3103" t="s">
        <v>2443</v>
      </c>
      <c r="D20" s="3104"/>
      <c r="E20" s="3105">
        <v>1</v>
      </c>
      <c r="F20" s="3106" t="s">
        <v>2444</v>
      </c>
      <c r="G20" s="3106"/>
    </row>
    <row r="21" spans="1:13" ht="19.5" customHeight="1">
      <c r="A21" s="3774"/>
      <c r="B21" s="3767"/>
      <c r="C21" s="3107" t="s">
        <v>2445</v>
      </c>
      <c r="D21" s="3108"/>
      <c r="E21" s="3109">
        <v>1</v>
      </c>
      <c r="F21" s="3106" t="s">
        <v>2446</v>
      </c>
      <c r="G21" s="3106"/>
    </row>
    <row r="22" spans="1:13" ht="19.5" customHeight="1">
      <c r="A22" s="3774"/>
      <c r="B22" s="3767"/>
      <c r="C22" s="3107" t="s">
        <v>2447</v>
      </c>
      <c r="D22" s="3108"/>
      <c r="E22" s="3109">
        <v>0.9</v>
      </c>
      <c r="F22" s="3106" t="s">
        <v>2448</v>
      </c>
      <c r="G22" s="3106"/>
    </row>
    <row r="23" spans="1:13" ht="19.5" customHeight="1">
      <c r="A23" s="3774"/>
      <c r="B23" s="3767"/>
      <c r="C23" s="3107" t="s">
        <v>2449</v>
      </c>
      <c r="D23" s="3108"/>
      <c r="E23" s="3109">
        <v>0.9</v>
      </c>
      <c r="F23" s="3106" t="s">
        <v>2450</v>
      </c>
      <c r="G23" s="3106"/>
    </row>
    <row r="24" spans="1:13" ht="19.5" customHeight="1">
      <c r="A24" s="3774"/>
      <c r="B24" s="3767"/>
      <c r="C24" s="3107" t="s">
        <v>2451</v>
      </c>
      <c r="D24" s="3108"/>
      <c r="E24" s="3109">
        <v>0.8</v>
      </c>
      <c r="F24" s="3106" t="s">
        <v>2452</v>
      </c>
      <c r="G24" s="3106"/>
    </row>
    <row r="25" spans="1:13" ht="19.5" customHeight="1" thickBot="1">
      <c r="A25" s="3775"/>
      <c r="B25" s="376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0" t="s">
        <v>2635</v>
      </c>
      <c r="B27" s="3768" t="s">
        <v>2616</v>
      </c>
      <c r="C27" s="3103" t="s">
        <v>2456</v>
      </c>
      <c r="D27" s="3104"/>
      <c r="E27" s="3105">
        <v>1</v>
      </c>
      <c r="F27" s="3106" t="s">
        <v>2457</v>
      </c>
      <c r="G27" s="3106"/>
    </row>
    <row r="28" spans="1:13" ht="19.5" customHeight="1">
      <c r="A28" s="3771"/>
      <c r="B28" s="3767"/>
      <c r="C28" s="3107" t="s">
        <v>2458</v>
      </c>
      <c r="D28" s="3108"/>
      <c r="E28" s="3109">
        <v>1</v>
      </c>
      <c r="F28" s="3106" t="s">
        <v>2459</v>
      </c>
      <c r="G28" s="3106"/>
    </row>
    <row r="29" spans="1:13" ht="19.5" customHeight="1">
      <c r="A29" s="3771"/>
      <c r="B29" s="3767"/>
      <c r="C29" s="3107" t="s">
        <v>2460</v>
      </c>
      <c r="D29" s="3108"/>
      <c r="E29" s="3109">
        <v>0.8</v>
      </c>
      <c r="F29" s="3106" t="s">
        <v>2461</v>
      </c>
      <c r="G29" s="3106"/>
    </row>
    <row r="30" spans="1:13" ht="19.5" customHeight="1">
      <c r="A30" s="3771"/>
      <c r="B30" s="3767"/>
      <c r="C30" s="3107" t="s">
        <v>2462</v>
      </c>
      <c r="D30" s="3108"/>
      <c r="E30" s="3109">
        <v>0.8</v>
      </c>
      <c r="F30" s="3106" t="s">
        <v>2463</v>
      </c>
      <c r="G30" s="3106"/>
    </row>
    <row r="31" spans="1:13" ht="19.5" customHeight="1">
      <c r="A31" s="3771"/>
      <c r="B31" s="3767"/>
      <c r="C31" s="3107" t="s">
        <v>2464</v>
      </c>
      <c r="D31" s="3108"/>
      <c r="E31" s="3109">
        <v>0.8</v>
      </c>
      <c r="F31" s="3106" t="s">
        <v>2465</v>
      </c>
      <c r="G31" s="3106"/>
    </row>
    <row r="32" spans="1:13" ht="19.5" customHeight="1">
      <c r="A32" s="3771"/>
      <c r="B32" s="3767"/>
      <c r="C32" s="3107" t="s">
        <v>2466</v>
      </c>
      <c r="D32" s="3108"/>
      <c r="E32" s="3109">
        <v>0.7</v>
      </c>
      <c r="F32" s="3106" t="s">
        <v>2467</v>
      </c>
      <c r="G32" s="3106"/>
    </row>
    <row r="33" spans="1:7" ht="19.5" customHeight="1">
      <c r="A33" s="3771"/>
      <c r="B33" s="3767"/>
      <c r="C33" s="3107" t="s">
        <v>2468</v>
      </c>
      <c r="D33" s="3108"/>
      <c r="E33" s="3109">
        <v>0.8</v>
      </c>
      <c r="F33" s="3106" t="s">
        <v>2469</v>
      </c>
      <c r="G33" s="3106"/>
    </row>
    <row r="34" spans="1:7" ht="19.5" customHeight="1">
      <c r="A34" s="3771"/>
      <c r="B34" s="3767"/>
      <c r="C34" s="3107" t="s">
        <v>2470</v>
      </c>
      <c r="D34" s="3108"/>
      <c r="E34" s="3109">
        <v>0.6</v>
      </c>
      <c r="F34" s="3106" t="s">
        <v>2471</v>
      </c>
      <c r="G34" s="3106"/>
    </row>
    <row r="35" spans="1:7" ht="19.5" customHeight="1">
      <c r="A35" s="3771"/>
      <c r="B35" s="3767"/>
      <c r="C35" s="3107" t="s">
        <v>2472</v>
      </c>
      <c r="D35" s="3108"/>
      <c r="E35" s="3109">
        <v>0.2</v>
      </c>
      <c r="F35" s="3106" t="s">
        <v>2473</v>
      </c>
      <c r="G35" s="3106"/>
    </row>
    <row r="36" spans="1:7" ht="19.5" customHeight="1">
      <c r="A36" s="3771"/>
      <c r="B36" s="3767"/>
      <c r="C36" s="3107" t="s">
        <v>2474</v>
      </c>
      <c r="D36" s="3108"/>
      <c r="E36" s="3109">
        <v>0.2</v>
      </c>
      <c r="F36" s="3106" t="s">
        <v>2475</v>
      </c>
      <c r="G36" s="3106"/>
    </row>
    <row r="37" spans="1:7" ht="19.5" customHeight="1">
      <c r="A37" s="3771"/>
      <c r="B37" s="3765" t="s">
        <v>2636</v>
      </c>
      <c r="C37" s="3107" t="s">
        <v>2476</v>
      </c>
      <c r="D37" s="3108"/>
      <c r="E37" s="3109">
        <v>0.6</v>
      </c>
      <c r="F37" s="3106" t="s">
        <v>2477</v>
      </c>
      <c r="G37" s="3106"/>
    </row>
    <row r="38" spans="1:7" ht="19.5" customHeight="1">
      <c r="A38" s="3771"/>
      <c r="B38" s="3767"/>
      <c r="C38" s="3107" t="s">
        <v>2478</v>
      </c>
      <c r="D38" s="3108"/>
      <c r="E38" s="3109">
        <v>0.6</v>
      </c>
      <c r="F38" s="3106" t="s">
        <v>2479</v>
      </c>
      <c r="G38" s="3106"/>
    </row>
    <row r="39" spans="1:7" ht="19.5" customHeight="1" thickBot="1">
      <c r="A39" s="3772"/>
      <c r="B39" s="376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3" t="s">
        <v>2614</v>
      </c>
      <c r="B41" s="3768" t="s">
        <v>2638</v>
      </c>
      <c r="C41" s="3103" t="s">
        <v>2483</v>
      </c>
      <c r="D41" s="3104"/>
      <c r="E41" s="3105">
        <v>1</v>
      </c>
      <c r="F41" s="3106" t="s">
        <v>2484</v>
      </c>
      <c r="G41" s="3106"/>
    </row>
    <row r="42" spans="1:7" ht="19.5" customHeight="1">
      <c r="A42" s="3774"/>
      <c r="B42" s="3767"/>
      <c r="C42" s="3107" t="s">
        <v>2485</v>
      </c>
      <c r="D42" s="3108"/>
      <c r="E42" s="3109">
        <v>1</v>
      </c>
      <c r="F42" s="3106" t="s">
        <v>2486</v>
      </c>
      <c r="G42" s="3106"/>
    </row>
    <row r="43" spans="1:7" ht="19.5" customHeight="1">
      <c r="A43" s="3774"/>
      <c r="B43" s="3766"/>
      <c r="C43" s="3107" t="s">
        <v>2487</v>
      </c>
      <c r="D43" s="3108"/>
      <c r="E43" s="3109">
        <v>1.5</v>
      </c>
      <c r="F43" s="3106" t="s">
        <v>2488</v>
      </c>
      <c r="G43" s="3106"/>
    </row>
    <row r="44" spans="1:7" ht="19.5" customHeight="1">
      <c r="A44" s="3774"/>
      <c r="B44" s="3118" t="s">
        <v>2639</v>
      </c>
      <c r="C44" s="3107" t="s">
        <v>2640</v>
      </c>
      <c r="D44" s="3108"/>
      <c r="E44" s="3109">
        <v>2</v>
      </c>
      <c r="F44" s="3106" t="s">
        <v>2489</v>
      </c>
      <c r="G44" s="3106"/>
    </row>
    <row r="45" spans="1:7" ht="19.5" customHeight="1">
      <c r="A45" s="3774"/>
      <c r="B45" s="3765" t="s">
        <v>2641</v>
      </c>
      <c r="C45" s="3107" t="s">
        <v>2490</v>
      </c>
      <c r="D45" s="3108"/>
      <c r="E45" s="3109">
        <v>1</v>
      </c>
      <c r="F45" s="3106" t="s">
        <v>2491</v>
      </c>
      <c r="G45" s="3106"/>
    </row>
    <row r="46" spans="1:7" ht="19.5" customHeight="1">
      <c r="A46" s="3774"/>
      <c r="B46" s="3767"/>
      <c r="C46" s="3107" t="s">
        <v>2492</v>
      </c>
      <c r="D46" s="3108"/>
      <c r="E46" s="3109">
        <v>1</v>
      </c>
      <c r="F46" s="3106" t="s">
        <v>2493</v>
      </c>
      <c r="G46" s="3106"/>
    </row>
    <row r="47" spans="1:7" ht="19.5" customHeight="1">
      <c r="A47" s="3774"/>
      <c r="B47" s="3767"/>
      <c r="C47" s="3107" t="s">
        <v>2494</v>
      </c>
      <c r="D47" s="3108"/>
      <c r="E47" s="3109">
        <v>1</v>
      </c>
      <c r="F47" s="3106" t="s">
        <v>2495</v>
      </c>
      <c r="G47" s="3106"/>
    </row>
    <row r="48" spans="1:7" ht="19.5" customHeight="1">
      <c r="A48" s="3774"/>
      <c r="B48" s="3767"/>
      <c r="C48" s="3107" t="s">
        <v>2496</v>
      </c>
      <c r="D48" s="3108"/>
      <c r="E48" s="3109">
        <v>1</v>
      </c>
      <c r="F48" s="3106" t="s">
        <v>2497</v>
      </c>
      <c r="G48" s="3106"/>
    </row>
    <row r="49" spans="1:7" ht="19.5" customHeight="1">
      <c r="A49" s="3774"/>
      <c r="B49" s="3767"/>
      <c r="C49" s="3107" t="s">
        <v>2498</v>
      </c>
      <c r="D49" s="3108"/>
      <c r="E49" s="3109">
        <v>1</v>
      </c>
      <c r="F49" s="3106" t="s">
        <v>2499</v>
      </c>
      <c r="G49" s="3106"/>
    </row>
    <row r="50" spans="1:7" ht="19.5" customHeight="1">
      <c r="A50" s="3774"/>
      <c r="B50" s="3767"/>
      <c r="C50" s="3107" t="s">
        <v>2500</v>
      </c>
      <c r="D50" s="3108"/>
      <c r="E50" s="3109">
        <v>1</v>
      </c>
      <c r="F50" s="3106" t="s">
        <v>2501</v>
      </c>
      <c r="G50" s="3106"/>
    </row>
    <row r="51" spans="1:7" ht="19.5" customHeight="1" thickBot="1">
      <c r="A51" s="3775"/>
      <c r="B51" s="376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7"/>
      <c r="C74" s="3092" t="s">
        <v>2658</v>
      </c>
      <c r="D74" s="3092" t="s">
        <v>2659</v>
      </c>
      <c r="E74" s="3118">
        <v>0.2</v>
      </c>
      <c r="F74" s="3118">
        <v>25</v>
      </c>
    </row>
    <row r="75" spans="1:7" ht="24">
      <c r="A75" s="3118">
        <v>3</v>
      </c>
      <c r="B75" s="3767"/>
      <c r="C75" s="3092" t="s">
        <v>2660</v>
      </c>
      <c r="D75" s="3092" t="s">
        <v>2661</v>
      </c>
      <c r="E75" s="3118">
        <v>0.2</v>
      </c>
      <c r="F75" s="3118">
        <v>25</v>
      </c>
    </row>
    <row r="76" spans="1:7" ht="13.5">
      <c r="A76" s="3118">
        <v>4</v>
      </c>
      <c r="B76" s="3767"/>
      <c r="C76" s="3092" t="s">
        <v>2662</v>
      </c>
      <c r="D76" s="3092" t="s">
        <v>2663</v>
      </c>
      <c r="E76" s="3118">
        <v>0.15</v>
      </c>
      <c r="F76" s="3118">
        <v>20</v>
      </c>
    </row>
    <row r="77" spans="1:7" ht="24">
      <c r="A77" s="3118">
        <v>5</v>
      </c>
      <c r="B77" s="3767"/>
      <c r="C77" s="3092" t="s">
        <v>2664</v>
      </c>
      <c r="D77" s="3092" t="s">
        <v>2665</v>
      </c>
      <c r="E77" s="3118">
        <v>0.15</v>
      </c>
      <c r="F77" s="3118">
        <v>20</v>
      </c>
    </row>
    <row r="78" spans="1:7" ht="24">
      <c r="A78" s="3118">
        <v>6</v>
      </c>
      <c r="B78" s="3767"/>
      <c r="C78" s="3092" t="s">
        <v>2666</v>
      </c>
      <c r="D78" s="3092" t="s">
        <v>2667</v>
      </c>
      <c r="E78" s="3118">
        <v>0.15</v>
      </c>
      <c r="F78" s="3118">
        <v>20</v>
      </c>
    </row>
    <row r="79" spans="1:7" ht="24">
      <c r="A79" s="3118">
        <v>7</v>
      </c>
      <c r="B79" s="3767"/>
      <c r="C79" s="3092" t="s">
        <v>2668</v>
      </c>
      <c r="D79" s="3092" t="s">
        <v>2669</v>
      </c>
      <c r="E79" s="3118">
        <v>0.15</v>
      </c>
      <c r="F79" s="3118">
        <v>20</v>
      </c>
    </row>
    <row r="80" spans="1:7" ht="24">
      <c r="A80" s="3118">
        <v>8</v>
      </c>
      <c r="B80" s="3767"/>
      <c r="C80" s="3092" t="s">
        <v>2670</v>
      </c>
      <c r="D80" s="3092" t="s">
        <v>2671</v>
      </c>
      <c r="E80" s="3118">
        <v>0.1</v>
      </c>
      <c r="F80" s="3118">
        <v>15</v>
      </c>
    </row>
    <row r="81" spans="1:6" ht="24">
      <c r="A81" s="3118">
        <v>9</v>
      </c>
      <c r="B81" s="3767"/>
      <c r="C81" s="3092" t="s">
        <v>2672</v>
      </c>
      <c r="D81" s="3092" t="s">
        <v>2673</v>
      </c>
      <c r="E81" s="3118">
        <v>0.1</v>
      </c>
      <c r="F81" s="3118">
        <v>15</v>
      </c>
    </row>
    <row r="82" spans="1:6" ht="24">
      <c r="A82" s="3118">
        <v>10</v>
      </c>
      <c r="B82" s="3767"/>
      <c r="C82" s="3092" t="s">
        <v>2674</v>
      </c>
      <c r="D82" s="3092" t="s">
        <v>2675</v>
      </c>
      <c r="E82" s="3118">
        <v>0.1</v>
      </c>
      <c r="F82" s="3118">
        <v>15</v>
      </c>
    </row>
    <row r="83" spans="1:6" ht="24">
      <c r="A83" s="3118">
        <v>11</v>
      </c>
      <c r="B83" s="3767"/>
      <c r="C83" s="3092" t="s">
        <v>2676</v>
      </c>
      <c r="D83" s="3092" t="s">
        <v>2677</v>
      </c>
      <c r="E83" s="3118">
        <v>0.1</v>
      </c>
      <c r="F83" s="3118">
        <v>15</v>
      </c>
    </row>
    <row r="84" spans="1:6" ht="24">
      <c r="A84" s="3118">
        <v>12</v>
      </c>
      <c r="B84" s="3767"/>
      <c r="C84" s="3092" t="s">
        <v>2678</v>
      </c>
      <c r="D84" s="3092" t="s">
        <v>2679</v>
      </c>
      <c r="E84" s="3118">
        <v>0.1</v>
      </c>
      <c r="F84" s="3118">
        <v>15</v>
      </c>
    </row>
    <row r="85" spans="1:6" ht="13.5">
      <c r="A85" s="3118">
        <v>13</v>
      </c>
      <c r="B85" s="3767"/>
      <c r="C85" s="3092" t="s">
        <v>2680</v>
      </c>
      <c r="D85" s="3092" t="s">
        <v>2681</v>
      </c>
      <c r="E85" s="3118">
        <v>0.1</v>
      </c>
      <c r="F85" s="3118">
        <v>15</v>
      </c>
    </row>
    <row r="86" spans="1:6" ht="13.5">
      <c r="A86" s="3118">
        <v>14</v>
      </c>
      <c r="B86" s="3767"/>
      <c r="C86" s="3092" t="s">
        <v>2682</v>
      </c>
      <c r="D86" s="3092" t="s">
        <v>2683</v>
      </c>
      <c r="E86" s="3118">
        <v>0.1</v>
      </c>
      <c r="F86" s="3118">
        <v>15</v>
      </c>
    </row>
    <row r="87" spans="1:6" ht="13.5">
      <c r="A87" s="3118">
        <v>15</v>
      </c>
      <c r="B87" s="3767"/>
      <c r="C87" s="3092" t="s">
        <v>2684</v>
      </c>
      <c r="D87" s="3092" t="s">
        <v>2685</v>
      </c>
      <c r="E87" s="3118">
        <v>0.1</v>
      </c>
      <c r="F87" s="3118">
        <v>15</v>
      </c>
    </row>
    <row r="88" spans="1:6" ht="24">
      <c r="A88" s="3118">
        <v>16</v>
      </c>
      <c r="B88" s="376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7"/>
      <c r="C91" s="3092" t="s">
        <v>2693</v>
      </c>
      <c r="D91" s="3092" t="s">
        <v>2694</v>
      </c>
      <c r="E91" s="3118">
        <v>0.2</v>
      </c>
      <c r="F91" s="3118">
        <v>25</v>
      </c>
    </row>
    <row r="92" spans="1:6" ht="13.5">
      <c r="A92" s="3118">
        <v>20</v>
      </c>
      <c r="B92" s="3767"/>
      <c r="C92" s="3092" t="s">
        <v>2695</v>
      </c>
      <c r="D92" s="3092" t="s">
        <v>2696</v>
      </c>
      <c r="E92" s="3118">
        <v>0.15</v>
      </c>
      <c r="F92" s="3118">
        <v>20</v>
      </c>
    </row>
    <row r="93" spans="1:6" ht="13.5">
      <c r="A93" s="3118">
        <v>21</v>
      </c>
      <c r="B93" s="3767"/>
      <c r="C93" s="3092" t="s">
        <v>2697</v>
      </c>
      <c r="D93" s="3092" t="s">
        <v>2698</v>
      </c>
      <c r="E93" s="3118">
        <v>0.15</v>
      </c>
      <c r="F93" s="3118">
        <v>20</v>
      </c>
    </row>
    <row r="94" spans="1:6" ht="13.5">
      <c r="A94" s="3118">
        <v>22</v>
      </c>
      <c r="B94" s="3767"/>
      <c r="C94" s="3092" t="s">
        <v>2699</v>
      </c>
      <c r="D94" s="3092" t="s">
        <v>2700</v>
      </c>
      <c r="E94" s="3118">
        <v>0.15</v>
      </c>
      <c r="F94" s="3118">
        <v>20</v>
      </c>
    </row>
    <row r="95" spans="1:6" ht="36">
      <c r="A95" s="3118">
        <v>23</v>
      </c>
      <c r="B95" s="3767"/>
      <c r="C95" s="3092" t="s">
        <v>2701</v>
      </c>
      <c r="D95" s="3092" t="s">
        <v>2702</v>
      </c>
      <c r="E95" s="3118">
        <v>0.15</v>
      </c>
      <c r="F95" s="3118">
        <v>20</v>
      </c>
    </row>
    <row r="96" spans="1:6" ht="13.5">
      <c r="A96" s="3118">
        <v>24</v>
      </c>
      <c r="B96" s="3767"/>
      <c r="C96" s="3092" t="s">
        <v>2703</v>
      </c>
      <c r="D96" s="3092" t="s">
        <v>2704</v>
      </c>
      <c r="E96" s="3118">
        <v>0.1</v>
      </c>
      <c r="F96" s="3118">
        <v>15</v>
      </c>
    </row>
    <row r="97" spans="1:6" ht="13.5">
      <c r="A97" s="3118">
        <v>25</v>
      </c>
      <c r="B97" s="3767"/>
      <c r="C97" s="3092" t="s">
        <v>2705</v>
      </c>
      <c r="D97" s="3092" t="s">
        <v>2706</v>
      </c>
      <c r="E97" s="3118">
        <v>0.1</v>
      </c>
      <c r="F97" s="3118">
        <v>15</v>
      </c>
    </row>
    <row r="98" spans="1:6" ht="24">
      <c r="A98" s="3118">
        <v>26</v>
      </c>
      <c r="B98" s="3767"/>
      <c r="C98" s="3092" t="s">
        <v>2707</v>
      </c>
      <c r="D98" s="3092" t="s">
        <v>2708</v>
      </c>
      <c r="E98" s="3118">
        <v>0.1</v>
      </c>
      <c r="F98" s="3118">
        <v>15</v>
      </c>
    </row>
    <row r="99" spans="1:6" ht="24">
      <c r="A99" s="3118">
        <v>27</v>
      </c>
      <c r="B99" s="3767"/>
      <c r="C99" s="3092" t="s">
        <v>2709</v>
      </c>
      <c r="D99" s="3092" t="s">
        <v>2710</v>
      </c>
      <c r="E99" s="3118">
        <v>0.1</v>
      </c>
      <c r="F99" s="3118">
        <v>15</v>
      </c>
    </row>
    <row r="100" spans="1:6" ht="13.5">
      <c r="A100" s="3118">
        <v>28</v>
      </c>
      <c r="B100" s="3767"/>
      <c r="C100" s="3092" t="s">
        <v>2711</v>
      </c>
      <c r="D100" s="3092" t="s">
        <v>2712</v>
      </c>
      <c r="E100" s="3118">
        <v>0.1</v>
      </c>
      <c r="F100" s="3118">
        <v>15</v>
      </c>
    </row>
    <row r="101" spans="1:6" ht="13.5">
      <c r="A101" s="3118">
        <v>29</v>
      </c>
      <c r="B101" s="3767"/>
      <c r="C101" s="3092" t="s">
        <v>2713</v>
      </c>
      <c r="D101" s="3092" t="s">
        <v>2714</v>
      </c>
      <c r="E101" s="3118">
        <v>0.1</v>
      </c>
      <c r="F101" s="3118">
        <v>15</v>
      </c>
    </row>
    <row r="102" spans="1:6" ht="13.5">
      <c r="A102" s="3118">
        <v>30</v>
      </c>
      <c r="B102" s="3767"/>
      <c r="C102" s="3092" t="s">
        <v>2715</v>
      </c>
      <c r="D102" s="3092" t="s">
        <v>2716</v>
      </c>
      <c r="E102" s="3118">
        <v>0.1</v>
      </c>
      <c r="F102" s="3118">
        <v>15</v>
      </c>
    </row>
    <row r="103" spans="1:6" ht="24">
      <c r="A103" s="3118">
        <v>31</v>
      </c>
      <c r="B103" s="3767"/>
      <c r="C103" s="3092" t="s">
        <v>2717</v>
      </c>
      <c r="D103" s="3092" t="s">
        <v>2718</v>
      </c>
      <c r="E103" s="3118">
        <v>0.1</v>
      </c>
      <c r="F103" s="3118">
        <v>15</v>
      </c>
    </row>
    <row r="104" spans="1:6" ht="24">
      <c r="A104" s="3118">
        <v>32</v>
      </c>
      <c r="B104" s="3767"/>
      <c r="C104" s="3092" t="s">
        <v>2719</v>
      </c>
      <c r="D104" s="3092" t="s">
        <v>2720</v>
      </c>
      <c r="E104" s="3118">
        <v>0.1</v>
      </c>
      <c r="F104" s="3118">
        <v>15</v>
      </c>
    </row>
    <row r="105" spans="1:6" ht="24">
      <c r="A105" s="3118">
        <v>33</v>
      </c>
      <c r="B105" s="376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7"/>
      <c r="C108" s="3118" t="s">
        <v>2728</v>
      </c>
      <c r="D108" s="3092" t="s">
        <v>2729</v>
      </c>
      <c r="E108" s="3118">
        <v>0.15</v>
      </c>
      <c r="F108" s="3118">
        <v>20</v>
      </c>
    </row>
    <row r="109" spans="1:6" ht="13.5">
      <c r="A109" s="3118">
        <v>37</v>
      </c>
      <c r="B109" s="3767"/>
      <c r="C109" s="3118" t="s">
        <v>2730</v>
      </c>
      <c r="D109" s="3092" t="s">
        <v>2731</v>
      </c>
      <c r="E109" s="3118">
        <v>0.15</v>
      </c>
      <c r="F109" s="3118">
        <v>20</v>
      </c>
    </row>
    <row r="110" spans="1:6" ht="13.5">
      <c r="A110" s="3118">
        <v>38</v>
      </c>
      <c r="B110" s="3767"/>
      <c r="C110" s="3118" t="s">
        <v>2732</v>
      </c>
      <c r="D110" s="3092" t="s">
        <v>2733</v>
      </c>
      <c r="E110" s="3118">
        <v>0.1</v>
      </c>
      <c r="F110" s="3118">
        <v>15</v>
      </c>
    </row>
    <row r="111" spans="1:6" ht="24">
      <c r="A111" s="3118">
        <v>39</v>
      </c>
      <c r="B111" s="376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4" t="s">
        <v>2738</v>
      </c>
      <c r="C113" s="3118" t="s">
        <v>2739</v>
      </c>
      <c r="D113" s="3092" t="s">
        <v>2740</v>
      </c>
      <c r="E113" s="3118">
        <v>0.1</v>
      </c>
      <c r="F113" s="3118">
        <v>15</v>
      </c>
    </row>
    <row r="114" spans="1:6" ht="13.5">
      <c r="A114" s="3118">
        <v>42</v>
      </c>
      <c r="B114" s="3764"/>
      <c r="C114" s="3118" t="s">
        <v>2741</v>
      </c>
      <c r="D114" s="3092" t="s">
        <v>2742</v>
      </c>
      <c r="E114" s="3118">
        <v>0.1</v>
      </c>
      <c r="F114" s="3118">
        <v>15</v>
      </c>
    </row>
    <row r="115" spans="1:6" ht="24">
      <c r="A115" s="3118">
        <v>43</v>
      </c>
      <c r="B115" s="3764"/>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4" t="s">
        <v>2760</v>
      </c>
      <c r="C122" s="3118" t="s">
        <v>2761</v>
      </c>
      <c r="D122" s="3092" t="s">
        <v>2762</v>
      </c>
      <c r="E122" s="3118">
        <v>0.1</v>
      </c>
      <c r="F122" s="3118">
        <v>15</v>
      </c>
    </row>
    <row r="123" spans="1:6" ht="24">
      <c r="A123" s="3118">
        <v>51</v>
      </c>
      <c r="B123" s="3764"/>
      <c r="C123" s="3118" t="s">
        <v>2763</v>
      </c>
      <c r="D123" s="3092" t="s">
        <v>2764</v>
      </c>
      <c r="E123" s="3118">
        <v>0.1</v>
      </c>
      <c r="F123" s="3118">
        <v>15</v>
      </c>
    </row>
    <row r="124" spans="1:6" ht="24">
      <c r="A124" s="3118">
        <v>52</v>
      </c>
      <c r="B124" s="3764" t="s">
        <v>2765</v>
      </c>
      <c r="C124" s="3118" t="s">
        <v>2766</v>
      </c>
      <c r="D124" s="3092" t="s">
        <v>2767</v>
      </c>
      <c r="E124" s="3118">
        <v>0.1</v>
      </c>
      <c r="F124" s="3118">
        <v>15</v>
      </c>
    </row>
    <row r="125" spans="1:6" ht="24">
      <c r="A125" s="3118">
        <v>53</v>
      </c>
      <c r="B125" s="3764"/>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4" t="s">
        <v>2773</v>
      </c>
      <c r="C127" s="3118" t="s">
        <v>2774</v>
      </c>
      <c r="D127" s="3092" t="s">
        <v>2775</v>
      </c>
      <c r="E127" s="3118">
        <v>0.1</v>
      </c>
      <c r="F127" s="3118">
        <v>15</v>
      </c>
    </row>
    <row r="128" spans="1:6" ht="13.5">
      <c r="A128" s="3118">
        <v>56</v>
      </c>
      <c r="B128" s="3764"/>
      <c r="C128" s="3118" t="s">
        <v>2776</v>
      </c>
      <c r="D128" s="3092" t="s">
        <v>2777</v>
      </c>
      <c r="E128" s="3118">
        <v>0.1</v>
      </c>
      <c r="F128" s="3118">
        <v>15</v>
      </c>
    </row>
    <row r="129" spans="1:6" ht="24">
      <c r="A129" s="3118">
        <v>57</v>
      </c>
      <c r="B129" s="3764"/>
      <c r="C129" s="3118" t="s">
        <v>2778</v>
      </c>
      <c r="D129" s="3092" t="s">
        <v>2779</v>
      </c>
      <c r="E129" s="3118">
        <v>0.1</v>
      </c>
      <c r="F129" s="3118">
        <v>15</v>
      </c>
    </row>
    <row r="130" spans="1:6" ht="24">
      <c r="A130" s="3118">
        <v>58</v>
      </c>
      <c r="B130" s="3764" t="s">
        <v>2780</v>
      </c>
      <c r="C130" s="3118" t="s">
        <v>2781</v>
      </c>
      <c r="D130" s="3092" t="s">
        <v>2782</v>
      </c>
      <c r="E130" s="3118">
        <v>0.1</v>
      </c>
      <c r="F130" s="3118">
        <v>15</v>
      </c>
    </row>
    <row r="131" spans="1:6" ht="13.5">
      <c r="A131" s="3118">
        <v>59</v>
      </c>
      <c r="B131" s="3764"/>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4" t="s">
        <v>2793</v>
      </c>
      <c r="C135" s="3118" t="s">
        <v>2794</v>
      </c>
      <c r="D135" s="3092" t="s">
        <v>2795</v>
      </c>
      <c r="E135" s="3118">
        <v>0.1</v>
      </c>
      <c r="F135" s="3118">
        <v>15</v>
      </c>
    </row>
    <row r="136" spans="1:6" ht="13.5">
      <c r="A136" s="3118">
        <v>64</v>
      </c>
      <c r="B136" s="3764"/>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1715</v>
      </c>
      <c r="E5" s="1491"/>
    </row>
    <row r="6" spans="1:5" ht="15.75">
      <c r="A6" s="1491"/>
      <c r="B6" s="3459"/>
      <c r="C6" s="1494" t="s">
        <v>911</v>
      </c>
      <c r="D6" s="850" t="str">
        <f ca="1">NUMBERSTRING(INT(D5*10000),2)&amp;"元整"</f>
        <v>壹仟柒佰壹拾伍万元整</v>
      </c>
      <c r="E6" s="1491"/>
    </row>
    <row r="7" spans="1:5" ht="15.75">
      <c r="A7" s="1491"/>
      <c r="B7" s="3464"/>
      <c r="C7" s="1495" t="s">
        <v>912</v>
      </c>
      <c r="D7" s="851">
        <f ca="1">结果表!H102</f>
        <v>21499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1715</v>
      </c>
      <c r="E13" s="1491"/>
    </row>
    <row r="14" spans="1:5" ht="15.75">
      <c r="A14" s="1491"/>
      <c r="B14" s="3459"/>
      <c r="C14" s="1494" t="s">
        <v>911</v>
      </c>
      <c r="D14" s="850" t="str">
        <f ca="1">NUMBERSTRING(INT(D13*10000),2)&amp;"元整"</f>
        <v>壹仟柒佰壹拾伍万元整</v>
      </c>
      <c r="E14" s="1491"/>
    </row>
    <row r="15" spans="1:5" ht="15">
      <c r="A15" s="1491"/>
      <c r="B15" s="3464"/>
      <c r="C15" s="1495" t="s">
        <v>921</v>
      </c>
      <c r="D15" s="859">
        <f ca="1">结果表!H108</f>
        <v>21499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30017</v>
      </c>
      <c r="C2" s="2" t="s">
        <v>106</v>
      </c>
      <c r="D2" s="199"/>
      <c r="E2" s="199"/>
      <c r="F2" s="199"/>
      <c r="G2" s="199"/>
    </row>
    <row r="3" spans="1:7" s="200" customFormat="1" ht="18" customHeight="1" thickBot="1">
      <c r="A3" s="203" t="s">
        <v>58</v>
      </c>
      <c r="B3" s="204">
        <f ca="1">ROUND(B2*10000/'数据-汇总表'!E3,0)</f>
        <v>376323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15</v>
      </c>
      <c r="D10" s="845">
        <f>'数据-汇总表'!E6</f>
        <v>797.64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797.64</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279</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797.64</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1E-3</v>
      </c>
      <c r="D44" s="238"/>
      <c r="E44" s="238"/>
      <c r="F44" s="239"/>
      <c r="G44" s="3642"/>
    </row>
    <row r="45" spans="1:7" s="214" customFormat="1" ht="13.5" customHeight="1">
      <c r="A45" s="777" t="s">
        <v>341</v>
      </c>
      <c r="B45" s="244" t="s">
        <v>85</v>
      </c>
      <c r="C45" s="245">
        <f>C46</f>
        <v>63</v>
      </c>
      <c r="D45" s="235">
        <f>C47</f>
        <v>6.0000000000000001E-3</v>
      </c>
      <c r="E45" s="236" t="s">
        <v>102</v>
      </c>
      <c r="F45" s="246"/>
      <c r="G45" s="247" t="s">
        <v>434</v>
      </c>
    </row>
    <row r="46" spans="1:7" s="214" customFormat="1" ht="13.5" customHeight="1">
      <c r="A46" s="780" t="s">
        <v>349</v>
      </c>
      <c r="B46" s="248" t="s">
        <v>427</v>
      </c>
      <c r="C46" s="249">
        <f>ROUND((C33+C39)*F27,0)</f>
        <v>63</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428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407</v>
      </c>
      <c r="D51" s="232"/>
      <c r="E51" s="232"/>
      <c r="F51" s="264"/>
      <c r="G51" s="234" t="s">
        <v>37</v>
      </c>
    </row>
    <row r="52" spans="1:7" s="208" customFormat="1" ht="16.5" thickBot="1">
      <c r="A52" s="265" t="s">
        <v>38</v>
      </c>
      <c r="B52" s="266"/>
      <c r="C52" s="267">
        <f ca="1">C31+C51</f>
        <v>30017</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2845</v>
      </c>
      <c r="B1" s="3778"/>
      <c r="C1" s="3778"/>
      <c r="D1" s="3778"/>
      <c r="E1" s="3778"/>
      <c r="F1" s="3778"/>
      <c r="G1" s="3779"/>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6"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7"/>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3187</v>
      </c>
      <c r="B1" s="3780"/>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1" t="s">
        <v>3238</v>
      </c>
      <c r="B1" s="3781"/>
      <c r="C1" s="3781"/>
      <c r="D1" s="3781"/>
      <c r="E1" s="3781"/>
      <c r="F1" s="3782"/>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45190</v>
      </c>
      <c r="B1" s="3210" t="s">
        <v>2844</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3" t="s">
        <v>2832</v>
      </c>
      <c r="S21" s="3784"/>
      <c r="T21" s="3784"/>
      <c r="U21" s="3784"/>
      <c r="V21" s="3784"/>
      <c r="W21" s="3784"/>
      <c r="X21" s="3165"/>
      <c r="Y21" s="3783" t="s">
        <v>2833</v>
      </c>
      <c r="Z21" s="3784"/>
      <c r="AA21" s="3784"/>
      <c r="AB21" s="3784"/>
      <c r="AC21" s="3784"/>
      <c r="AD21" s="3784"/>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45190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797.64</v>
      </c>
      <c r="C4" s="854">
        <f>项目基本情况!C18</f>
        <v>0</v>
      </c>
      <c r="D4" s="854" t="e">
        <f ca="1">结果表!D118</f>
        <v>#REF!</v>
      </c>
      <c r="E4" s="854" t="e">
        <f ca="1">结果表!E118</f>
        <v>#REF!</v>
      </c>
      <c r="F4" s="854" t="e">
        <f ca="1">结果表!F118</f>
        <v>#REF!</v>
      </c>
      <c r="G4" s="854" t="e">
        <f ca="1">结果表!G118</f>
        <v>#REF!</v>
      </c>
      <c r="H4" s="854">
        <f ca="1">结果表!H118</f>
        <v>1715</v>
      </c>
      <c r="I4" s="854">
        <f ca="1">结果表!I118</f>
        <v>21499</v>
      </c>
    </row>
    <row r="5" spans="1:9" ht="30" customHeight="1">
      <c r="A5" s="3471" t="s">
        <v>927</v>
      </c>
      <c r="B5" s="3471"/>
      <c r="C5" s="3471"/>
      <c r="D5" s="3471" t="e">
        <f ca="1">结果表!D119</f>
        <v>#REF!</v>
      </c>
      <c r="E5" s="3471"/>
      <c r="F5" s="3471" t="e">
        <f ca="1">结果表!F119</f>
        <v>#REF!</v>
      </c>
      <c r="G5" s="3471"/>
      <c r="H5" s="3471" t="str">
        <f ca="1">结果表!H119</f>
        <v>壹仟柒佰壹拾伍万元整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1715</v>
      </c>
      <c r="E8" s="3470"/>
      <c r="F8" s="3470"/>
      <c r="G8" s="3470"/>
      <c r="H8" s="3470"/>
      <c r="I8" s="3470"/>
    </row>
    <row r="9" spans="1:9" ht="15">
      <c r="A9" s="3471" t="s">
        <v>927</v>
      </c>
      <c r="B9" s="3471"/>
      <c r="C9" s="3471"/>
      <c r="D9" s="3471" t="str">
        <f ca="1">结果表!D123</f>
        <v>壹仟柒佰壹拾伍万元整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2023-09-21T10:31:49Z</dcterms:modified>
</cp:coreProperties>
</file>