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0" i="1" l="1"/>
  <c r="C13" i="12" l="1"/>
  <c r="C14" i="12" s="1"/>
  <c r="C15" i="12"/>
  <c r="D16" i="12"/>
  <c r="D19" i="12"/>
  <c r="C19" i="12" s="1"/>
  <c r="D21" i="12"/>
  <c r="C21" i="12" s="1"/>
  <c r="D22" i="12"/>
  <c r="C22" i="12" s="1"/>
  <c r="F33" i="12"/>
  <c r="C34" i="12" s="1"/>
  <c r="D33" i="12" s="1"/>
  <c r="C30" i="31"/>
  <c r="C29" i="31"/>
  <c r="C28" i="31"/>
  <c r="C27" i="31"/>
  <c r="C26" i="31"/>
  <c r="C25" i="31"/>
  <c r="B16" i="66"/>
  <c r="C20" i="66"/>
  <c r="C19" i="66"/>
  <c r="C18" i="66"/>
  <c r="C17" i="66"/>
  <c r="C16" i="66"/>
  <c r="C15" i="66"/>
  <c r="B20" i="66"/>
  <c r="B19" i="66"/>
  <c r="B18" i="66"/>
  <c r="B17" i="66"/>
  <c r="B15" i="66"/>
  <c r="K7" i="1"/>
  <c r="BB13" i="3"/>
  <c r="BA13" i="3"/>
  <c r="AZ13" i="3"/>
  <c r="AZ5" i="3"/>
  <c r="H13" i="3"/>
  <c r="G13" i="3"/>
  <c r="G5" i="3"/>
  <c r="B3" i="3"/>
  <c r="AY6" i="3"/>
  <c r="D3" i="6"/>
  <c r="E3" i="6"/>
  <c r="D20" i="6"/>
  <c r="F19" i="6"/>
  <c r="E19" i="6"/>
  <c r="BA5" i="3"/>
  <c r="E27" i="6"/>
  <c r="K20" i="6"/>
  <c r="L20" i="6"/>
  <c r="M20" i="6"/>
  <c r="I20" i="6"/>
  <c r="H20" i="6"/>
  <c r="R20" i="6"/>
  <c r="R7" i="1"/>
  <c r="M7" i="1"/>
  <c r="K14" i="1"/>
  <c r="M14" i="1"/>
  <c r="S7" i="1"/>
  <c r="K19" i="6"/>
  <c r="S6" i="1"/>
  <c r="S8" i="1"/>
  <c r="S9" i="1"/>
  <c r="S10" i="1"/>
  <c r="S11" i="1"/>
  <c r="S12" i="1"/>
  <c r="S13" i="1"/>
  <c r="S16" i="1"/>
  <c r="T7" i="1"/>
  <c r="D9" i="12"/>
  <c r="C9"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Q16" i="1"/>
  <c r="D3" i="4"/>
  <c r="D19" i="4"/>
  <c r="F6" i="1" s="1"/>
  <c r="C15" i="31" s="1"/>
  <c r="B10" i="70"/>
  <c r="C10" i="70"/>
  <c r="H10" i="70"/>
  <c r="F10" i="70"/>
  <c r="E10" i="70"/>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U7" i="1"/>
  <c r="A6" i="1"/>
  <c r="A7" i="1"/>
  <c r="G1" i="15"/>
  <c r="F20" i="6"/>
  <c r="E20" i="6"/>
  <c r="C1" i="65"/>
  <c r="N1" i="65"/>
  <c r="B43" i="1"/>
  <c r="B41" i="1"/>
  <c r="F32" i="15" s="1"/>
  <c r="F59" i="15" s="1"/>
  <c r="F33" i="15"/>
  <c r="BC13" i="3"/>
  <c r="BD13" i="3"/>
  <c r="BE13" i="3"/>
  <c r="BF13" i="3"/>
  <c r="BG13" i="3"/>
  <c r="BH13" i="3"/>
  <c r="BI13" i="3"/>
  <c r="BJ13" i="3"/>
  <c r="BK13" i="3"/>
  <c r="BS13" i="3"/>
  <c r="BO13" i="3"/>
  <c r="BM13" i="3"/>
  <c r="BN13" i="3"/>
  <c r="BP13" i="3"/>
  <c r="BQ13" i="3"/>
  <c r="BR13" i="3"/>
  <c r="BT13" i="3"/>
  <c r="BL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H1" i="65"/>
  <c r="B22" i="1"/>
  <c r="C2" i="65"/>
  <c r="I1" i="65"/>
  <c r="F23" i="15"/>
  <c r="F21" i="15"/>
  <c r="F28" i="15"/>
  <c r="C28" i="15" s="1"/>
  <c r="B2" i="1"/>
  <c r="C42" i="1"/>
  <c r="E19" i="4"/>
  <c r="F7" i="1" s="1"/>
  <c r="M47" i="15"/>
  <c r="J50" i="15"/>
  <c r="J51" i="15"/>
  <c r="R47" i="21"/>
  <c r="C7" i="21"/>
  <c r="E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s="1"/>
  <c r="R48" i="21" s="1"/>
  <c r="E48" i="21" s="1"/>
  <c r="E52" i="21" s="1"/>
  <c r="F52" i="21" s="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s="1"/>
  <c r="T48" i="21" s="1"/>
  <c r="G48" i="21" s="1"/>
  <c r="G52" i="21" s="1"/>
  <c r="H52" i="21" s="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s="1"/>
  <c r="V48" i="21" s="1"/>
  <c r="I48" i="21" s="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83" i="39"/>
  <c r="E83" i="39"/>
  <c r="F83" i="39"/>
  <c r="D82" i="39"/>
  <c r="E82" i="39"/>
  <c r="F82" i="39"/>
  <c r="G82" i="39"/>
  <c r="H82" i="39"/>
  <c r="F13" i="39"/>
  <c r="AA13" i="39" s="1"/>
  <c r="E40" i="39"/>
  <c r="D119" i="39"/>
  <c r="D120" i="39"/>
  <c r="E120" i="39"/>
  <c r="F120" i="39"/>
  <c r="F40" i="39"/>
  <c r="AA40" i="39"/>
  <c r="D122" i="39"/>
  <c r="E122" i="39"/>
  <c r="F122" i="39"/>
  <c r="F41" i="39"/>
  <c r="AA41"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s="1"/>
  <c r="R48" i="39"/>
  <c r="F10" i="39"/>
  <c r="AA10" i="39"/>
  <c r="F11" i="39"/>
  <c r="AA11" i="39"/>
  <c r="H13" i="39"/>
  <c r="AB13" i="39"/>
  <c r="G40" i="39"/>
  <c r="H40" i="39"/>
  <c r="AB40" i="39"/>
  <c r="H41" i="39"/>
  <c r="AB41" i="39"/>
  <c r="H9" i="39"/>
  <c r="AB9" i="39" s="1"/>
  <c r="T48" i="39"/>
  <c r="H10" i="39"/>
  <c r="AB10" i="39"/>
  <c r="H11" i="39"/>
  <c r="AB11" i="39"/>
  <c r="J13" i="39"/>
  <c r="AC13" i="39"/>
  <c r="I40" i="39"/>
  <c r="J40" i="39"/>
  <c r="AC40" i="39"/>
  <c r="J41" i="39"/>
  <c r="AC41" i="39"/>
  <c r="J9" i="39"/>
  <c r="AC9" i="39" s="1"/>
  <c r="V48" i="39"/>
  <c r="J10" i="39"/>
  <c r="AC10" i="39"/>
  <c r="J11" i="39"/>
  <c r="AC11" i="39"/>
  <c r="BC5" i="3"/>
  <c r="BB10" i="3"/>
  <c r="BC10" i="3"/>
  <c r="BD10" i="3"/>
  <c r="BE10" i="3"/>
  <c r="BF10" i="3"/>
  <c r="BG10" i="3"/>
  <c r="BH10" i="3"/>
  <c r="BI10" i="3"/>
  <c r="BJ10" i="3"/>
  <c r="BK10" i="3"/>
  <c r="BD5" i="3"/>
  <c r="BE5" i="3"/>
  <c r="BF5" i="3"/>
  <c r="BG5" i="3"/>
  <c r="BH5" i="3"/>
  <c r="BI5" i="3"/>
  <c r="BJ5" i="3"/>
  <c r="BK5" i="3"/>
  <c r="E8" i="6"/>
  <c r="E58" i="39"/>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21" i="12"/>
  <c r="E22" i="12"/>
  <c r="F23" i="12"/>
  <c r="F24" i="12"/>
  <c r="B24" i="1"/>
  <c r="F29" i="12"/>
  <c r="F25" i="12"/>
  <c r="C25" i="12"/>
  <c r="C17" i="9"/>
  <c r="D17" i="9"/>
  <c r="C18" i="9"/>
  <c r="D18" i="9"/>
  <c r="F27" i="6"/>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N16" i="4" s="1"/>
  <c r="K17" i="4" s="1"/>
  <c r="A22" i="51" s="1"/>
  <c r="B16" i="63" s="1"/>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2" i="31"/>
  <c r="O94" i="31"/>
  <c r="O96" i="31"/>
  <c r="O98"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s="1"/>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M44" i="9"/>
  <c r="M43" i="9"/>
  <c r="M20" i="15"/>
  <c r="D96" i="9"/>
  <c r="M18" i="15"/>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G9" i="1"/>
  <c r="AP8" i="1"/>
  <c r="G8" i="1"/>
  <c r="I20" i="46"/>
  <c r="C20" i="46" s="1"/>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W42" i="39"/>
  <c r="W36"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E53" i="40"/>
  <c r="AT6" i="3"/>
  <c r="G29" i="6"/>
  <c r="H16" i="1"/>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c r="E29" i="6"/>
  <c r="K15" i="1"/>
  <c r="L19" i="6"/>
  <c r="B21" i="55"/>
  <c r="B72" i="63"/>
  <c r="B20" i="55"/>
  <c r="B70" i="63"/>
  <c r="E67" i="40"/>
  <c r="F65" i="40"/>
  <c r="F67" i="40"/>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83" i="39"/>
  <c r="H83" i="39"/>
  <c r="I83" i="39" s="1"/>
  <c r="J83" i="39" s="1"/>
  <c r="K83" i="39" s="1"/>
  <c r="L83" i="39" s="1"/>
  <c r="M83" i="39" s="1"/>
  <c r="A30" i="51"/>
  <c r="B22" i="63"/>
  <c r="A30" i="64"/>
  <c r="L27" i="6"/>
  <c r="F18" i="11"/>
  <c r="C18" i="11"/>
  <c r="F31" i="6"/>
  <c r="G30" i="6"/>
  <c r="G31" i="6"/>
  <c r="E30" i="6"/>
  <c r="E10" i="6"/>
  <c r="K24" i="6"/>
  <c r="M24" i="6"/>
  <c r="I24" i="6"/>
  <c r="S24" i="6"/>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H22" i="46"/>
  <c r="AB11" i="46"/>
  <c r="AB13" i="46"/>
  <c r="AE11" i="46"/>
  <c r="AE13" i="46"/>
  <c r="AJ11" i="46"/>
  <c r="AJ13" i="46"/>
  <c r="AF11" i="46"/>
  <c r="AF13" i="46"/>
  <c r="AA11" i="46"/>
  <c r="AA13" i="46"/>
  <c r="AH11" i="46"/>
  <c r="AH13" i="46"/>
  <c r="Z11" i="46"/>
  <c r="Z13" i="46"/>
  <c r="Y11" i="46"/>
  <c r="Y13" i="46"/>
  <c r="AG11" i="46"/>
  <c r="AG13" i="46"/>
  <c r="AC11" i="46"/>
  <c r="AC13" i="46"/>
  <c r="E22" i="46"/>
  <c r="N101" i="46"/>
  <c r="Z7" i="46"/>
  <c r="E101" i="46"/>
  <c r="F22" i="46"/>
  <c r="L101" i="46"/>
  <c r="N104" i="45"/>
  <c r="B113" i="46"/>
  <c r="G101" i="46"/>
  <c r="AI11" i="46"/>
  <c r="AI13" i="46"/>
  <c r="C23" i="46"/>
  <c r="C21" i="46"/>
  <c r="AD11" i="46"/>
  <c r="AD13" i="46"/>
  <c r="F101" i="46"/>
  <c r="F107" i="46"/>
  <c r="K101" i="46"/>
  <c r="H101" i="46"/>
  <c r="M101" i="46"/>
  <c r="D101" i="46"/>
  <c r="I101" i="46"/>
  <c r="G22" i="46"/>
  <c r="J101" i="46"/>
  <c r="C101" i="46"/>
  <c r="C105" i="46"/>
  <c r="K105" i="46"/>
  <c r="K104" i="46"/>
  <c r="J109" i="46"/>
  <c r="J105" i="46"/>
  <c r="J103" i="46"/>
  <c r="J65" i="40"/>
  <c r="I67" i="40"/>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S13" i="39"/>
  <c r="W13" i="39"/>
  <c r="U13" i="39"/>
  <c r="F24" i="43"/>
  <c r="C26" i="43" s="1"/>
  <c r="D24" i="43" s="1"/>
  <c r="E561" i="3"/>
  <c r="E23" i="3"/>
  <c r="E443" i="3"/>
  <c r="E265" i="3"/>
  <c r="E194" i="3"/>
  <c r="AM6" i="3"/>
  <c r="E78" i="3"/>
  <c r="E337" i="3"/>
  <c r="E390" i="3"/>
  <c r="E158" i="3"/>
  <c r="E296" i="3"/>
  <c r="E472"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E31" i="6"/>
  <c r="H6" i="3"/>
  <c r="K16" i="1"/>
  <c r="K22" i="6"/>
  <c r="M22" i="6"/>
  <c r="I22" i="6"/>
  <c r="S22" i="6"/>
  <c r="K23" i="6"/>
  <c r="M23" i="6"/>
  <c r="I23" i="6"/>
  <c r="S23" i="6"/>
  <c r="K25" i="6"/>
  <c r="M25" i="6"/>
  <c r="I25" i="6"/>
  <c r="S25" i="6"/>
  <c r="K26" i="6"/>
  <c r="M26" i="6"/>
  <c r="I26" i="6"/>
  <c r="S26" i="6"/>
  <c r="K21" i="6"/>
  <c r="M21" i="6"/>
  <c r="I21" i="6"/>
  <c r="S21" i="6"/>
  <c r="AC6" i="3"/>
  <c r="C106" i="46"/>
  <c r="C104" i="46"/>
  <c r="C109" i="46"/>
  <c r="C103" i="46"/>
  <c r="C107" i="46"/>
  <c r="C102" i="46"/>
  <c r="D106" i="46"/>
  <c r="D105" i="46"/>
  <c r="D107" i="46"/>
  <c r="D104" i="46"/>
  <c r="D103" i="46"/>
  <c r="D102" i="46"/>
  <c r="D109" i="46"/>
  <c r="H102" i="46"/>
  <c r="H107" i="46"/>
  <c r="H103" i="46"/>
  <c r="H104" i="46"/>
  <c r="H106" i="46"/>
  <c r="H105" i="46"/>
  <c r="H109" i="46"/>
  <c r="F109" i="46"/>
  <c r="F106" i="46"/>
  <c r="F104" i="46"/>
  <c r="F103" i="46"/>
  <c r="F105" i="46"/>
  <c r="F102" i="46"/>
  <c r="G104" i="46"/>
  <c r="G107" i="46"/>
  <c r="G106" i="46"/>
  <c r="G103" i="46"/>
  <c r="G109" i="46"/>
  <c r="G102" i="46"/>
  <c r="G105" i="46"/>
  <c r="D22" i="46"/>
  <c r="J104" i="46"/>
  <c r="J106" i="46"/>
  <c r="J107" i="46"/>
  <c r="J102" i="46"/>
  <c r="I105" i="46"/>
  <c r="I104" i="46"/>
  <c r="I103" i="46"/>
  <c r="I106" i="46"/>
  <c r="I102" i="46"/>
  <c r="I107" i="46"/>
  <c r="I109" i="46"/>
  <c r="M107" i="46"/>
  <c r="M102" i="46"/>
  <c r="M109" i="46"/>
  <c r="M106" i="46"/>
  <c r="M103" i="46"/>
  <c r="M104" i="46"/>
  <c r="M105" i="46"/>
  <c r="K109" i="46"/>
  <c r="K107" i="46"/>
  <c r="K102" i="46"/>
  <c r="K106" i="46"/>
  <c r="K103" i="46"/>
  <c r="D118" i="46"/>
  <c r="E118" i="46"/>
  <c r="F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B115" i="46"/>
  <c r="B116" i="46"/>
  <c r="C116" i="46"/>
  <c r="D117" i="46"/>
  <c r="E117" i="46"/>
  <c r="F117" i="46"/>
  <c r="G117" i="46"/>
  <c r="H117" i="46"/>
  <c r="D115" i="46"/>
  <c r="E115" i="46"/>
  <c r="F115" i="46"/>
  <c r="G115" i="46"/>
  <c r="H115" i="46"/>
  <c r="G118" i="46"/>
  <c r="H118" i="46"/>
  <c r="B118" i="46"/>
  <c r="C118" i="46"/>
  <c r="L106" i="46"/>
  <c r="L107" i="46"/>
  <c r="L109" i="46"/>
  <c r="L103" i="46"/>
  <c r="L105" i="46"/>
  <c r="L102" i="46"/>
  <c r="L104" i="46"/>
  <c r="E103" i="46"/>
  <c r="E107" i="46"/>
  <c r="E102" i="46"/>
  <c r="E104" i="46"/>
  <c r="E105" i="46"/>
  <c r="E106" i="46"/>
  <c r="E109" i="46"/>
  <c r="N109" i="46"/>
  <c r="N103" i="46"/>
  <c r="N104" i="46"/>
  <c r="N106" i="46"/>
  <c r="N105" i="46"/>
  <c r="N107" i="46"/>
  <c r="N102" i="46"/>
  <c r="AB7" i="33"/>
  <c r="T48" i="33"/>
  <c r="G48" i="33"/>
  <c r="U7" i="33"/>
  <c r="J7" i="33"/>
  <c r="F7" i="33"/>
  <c r="G59" i="34"/>
  <c r="AB7" i="37"/>
  <c r="T42" i="37"/>
  <c r="G42" i="37"/>
  <c r="U7" i="37"/>
  <c r="AB7" i="36"/>
  <c r="T36" i="36"/>
  <c r="G36" i="36"/>
  <c r="U7" i="36"/>
  <c r="F48" i="35"/>
  <c r="AA7" i="37"/>
  <c r="R42" i="37"/>
  <c r="S7" i="37"/>
  <c r="W7" i="37"/>
  <c r="AC7" i="37"/>
  <c r="V42" i="37"/>
  <c r="I42" i="37"/>
  <c r="W7" i="36"/>
  <c r="AC7" i="36"/>
  <c r="V36" i="36"/>
  <c r="I36" i="36"/>
  <c r="AA7" i="36"/>
  <c r="R36" i="36"/>
  <c r="S7" i="36"/>
  <c r="J67" i="40"/>
  <c r="K65" i="40"/>
  <c r="K27" i="6"/>
  <c r="M19" i="6"/>
  <c r="M27" i="6"/>
  <c r="S20" i="6"/>
  <c r="E6" i="3"/>
  <c r="L38" i="9"/>
  <c r="B14" i="66"/>
  <c r="B1" i="66"/>
  <c r="D16" i="43"/>
  <c r="C16" i="43" s="1"/>
  <c r="D10" i="11"/>
  <c r="C21" i="4"/>
  <c r="O5" i="54"/>
  <c r="B45" i="63"/>
  <c r="D45" i="9"/>
  <c r="D44" i="9"/>
  <c r="D46" i="9"/>
  <c r="M16" i="1"/>
  <c r="AY504" i="3"/>
  <c r="AY191" i="3"/>
  <c r="AY92" i="3"/>
  <c r="AY118" i="3"/>
  <c r="AY209" i="3"/>
  <c r="AY416" i="3"/>
  <c r="AY55" i="3"/>
  <c r="AY250"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42" i="3"/>
  <c r="AY325" i="3"/>
  <c r="AY417"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83" i="3"/>
  <c r="AY31" i="3"/>
  <c r="AY317" i="3"/>
  <c r="AY181" i="3"/>
  <c r="AY329" i="3"/>
  <c r="AY131" i="3"/>
  <c r="AY206" i="3"/>
  <c r="AY520" i="3"/>
  <c r="AY249" i="3"/>
  <c r="AY453" i="3"/>
  <c r="AY225" i="3"/>
  <c r="AY184" i="3"/>
  <c r="BQ6" i="3"/>
  <c r="AY151" i="3"/>
  <c r="AY360" i="3"/>
  <c r="AY531" i="3"/>
  <c r="AY137" i="3"/>
  <c r="AY565" i="3"/>
  <c r="BP6" i="3"/>
  <c r="AY553" i="3"/>
  <c r="AY208" i="3"/>
  <c r="AY78" i="3"/>
  <c r="AY174" i="3"/>
  <c r="AY299" i="3"/>
  <c r="AY90" i="3"/>
  <c r="AY153" i="3"/>
  <c r="AY351" i="3"/>
  <c r="AY447" i="3"/>
  <c r="AY358" i="3"/>
  <c r="AY375" i="3"/>
  <c r="AY328" i="3"/>
  <c r="AY185" i="3"/>
  <c r="AY344"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04" i="3"/>
  <c r="AY234" i="3"/>
  <c r="AY402" i="3"/>
  <c r="AY365" i="3"/>
  <c r="AY471" i="3"/>
  <c r="AY138" i="3"/>
  <c r="AY316" i="3"/>
  <c r="AY29" i="3"/>
  <c r="AY367" i="3"/>
  <c r="AY166" i="3"/>
  <c r="AY413" i="3"/>
  <c r="AY319" i="3"/>
  <c r="BT6" i="3"/>
  <c r="AY323" i="3"/>
  <c r="AY370" i="3"/>
  <c r="AY388" i="3"/>
  <c r="AY485" i="3"/>
  <c r="AY244" i="3"/>
  <c r="AY399" i="3"/>
  <c r="AY199" i="3"/>
  <c r="AY480" i="3"/>
  <c r="AY186" i="3"/>
  <c r="AY287" i="3"/>
  <c r="BF6" i="3"/>
  <c r="AY163" i="3"/>
  <c r="AY222" i="3"/>
  <c r="AY385" i="3"/>
  <c r="AY390" i="3"/>
  <c r="AY492" i="3"/>
  <c r="AY540" i="3"/>
  <c r="AY15" i="3"/>
  <c r="AY484" i="3"/>
  <c r="AY355"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180" i="3"/>
  <c r="BJ6" i="3"/>
  <c r="AY477" i="3"/>
  <c r="AY517" i="3"/>
  <c r="AY292" i="3"/>
  <c r="AY535" i="3"/>
  <c r="AY452" i="3"/>
  <c r="AY523" i="3"/>
  <c r="AY521" i="3"/>
  <c r="AY474" i="3"/>
  <c r="AY354" i="3"/>
  <c r="AY482" i="3"/>
  <c r="BE6" i="3"/>
  <c r="AY441" i="3"/>
  <c r="AY121" i="3"/>
  <c r="AY491" i="3"/>
  <c r="AY508" i="3"/>
  <c r="AY47" i="3"/>
  <c r="AY515" i="3"/>
  <c r="AY175" i="3"/>
  <c r="AY264" i="3"/>
  <c r="AY467" i="3"/>
  <c r="AY479" i="3"/>
  <c r="AY139"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BL6" i="3"/>
  <c r="AY64" i="3"/>
  <c r="AY154" i="3"/>
  <c r="AY42"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5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486" i="3"/>
  <c r="AY82" i="3"/>
  <c r="AY80" i="3"/>
  <c r="AY37" i="3"/>
  <c r="AY67" i="3"/>
  <c r="AY41" i="3"/>
  <c r="AY58" i="3"/>
  <c r="AY100" i="3"/>
  <c r="AY160" i="3"/>
  <c r="AY75" i="3"/>
  <c r="AY277" i="3"/>
  <c r="AY384" i="3"/>
  <c r="AY425" i="3"/>
  <c r="AY202"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13" i="3"/>
  <c r="AY103" i="3"/>
  <c r="AY21" i="3"/>
  <c r="AY52"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537" i="3"/>
  <c r="AY73"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30" i="3"/>
  <c r="AY549" i="3"/>
  <c r="AY87" i="3"/>
  <c r="AY69" i="3"/>
  <c r="AY97" i="3"/>
  <c r="AY88" i="3"/>
  <c r="AY109" i="3"/>
  <c r="AY26" i="3"/>
  <c r="I19" i="6"/>
  <c r="S7" i="46"/>
  <c r="S4" i="46"/>
  <c r="S6" i="46"/>
  <c r="S2" i="46"/>
  <c r="S3" i="46"/>
  <c r="S5" i="46"/>
  <c r="C115" i="46"/>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G40" i="36"/>
  <c r="H40" i="36"/>
  <c r="G41" i="36"/>
  <c r="H41" i="36"/>
  <c r="G47" i="37"/>
  <c r="H47" i="37"/>
  <c r="G46" i="37"/>
  <c r="H46" i="37"/>
  <c r="AC7" i="33"/>
  <c r="V48" i="33"/>
  <c r="I48" i="33"/>
  <c r="W7" i="33"/>
  <c r="G52" i="33"/>
  <c r="H52" i="33"/>
  <c r="G53" i="33"/>
  <c r="H53" i="33"/>
  <c r="J7" i="35"/>
  <c r="T11" i="1"/>
  <c r="T12" i="1"/>
  <c r="T8" i="1"/>
  <c r="T10" i="1"/>
  <c r="T13" i="1"/>
  <c r="T6" i="1"/>
  <c r="T9" i="1"/>
  <c r="T16" i="1"/>
  <c r="N16" i="1"/>
  <c r="C29" i="43"/>
  <c r="L16" i="1"/>
  <c r="C13" i="43"/>
  <c r="C17" i="43" s="1"/>
  <c r="C7" i="66"/>
  <c r="C6" i="66"/>
  <c r="C8" i="66"/>
  <c r="D21" i="6"/>
  <c r="D24" i="6"/>
  <c r="D22" i="6"/>
  <c r="H25" i="6"/>
  <c r="D5" i="6"/>
  <c r="H22" i="6"/>
  <c r="E45" i="9"/>
  <c r="E46" i="9"/>
  <c r="D19" i="6"/>
  <c r="D25" i="6"/>
  <c r="H24" i="6"/>
  <c r="D23" i="6"/>
  <c r="D28" i="6"/>
  <c r="H26" i="6"/>
  <c r="K38" i="9"/>
  <c r="C14" i="66"/>
  <c r="B2" i="66"/>
  <c r="D26" i="6"/>
  <c r="R26" i="6"/>
  <c r="D9" i="6"/>
  <c r="D29" i="6"/>
  <c r="H23" i="6"/>
  <c r="F45" i="9"/>
  <c r="F46" i="9"/>
  <c r="F44" i="9"/>
  <c r="C22" i="4"/>
  <c r="D10" i="6"/>
  <c r="H21" i="6"/>
  <c r="D6" i="6"/>
  <c r="E63" i="40"/>
  <c r="D8" i="6"/>
  <c r="E44" i="9"/>
  <c r="O16" i="1"/>
  <c r="D13" i="11"/>
  <c r="C13" i="11"/>
  <c r="I27" i="6"/>
  <c r="S19" i="6"/>
  <c r="S27" i="6"/>
  <c r="H19" i="6"/>
  <c r="AC7" i="35"/>
  <c r="V38" i="35"/>
  <c r="I38" i="35"/>
  <c r="W7" i="35"/>
  <c r="I59" i="34"/>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A20" i="51"/>
  <c r="B15" i="63"/>
  <c r="A6" i="51"/>
  <c r="B7" i="63"/>
  <c r="N5" i="54"/>
  <c r="B43" i="63"/>
  <c r="A20" i="64"/>
  <c r="A6" i="64"/>
  <c r="D7" i="66"/>
  <c r="D6" i="66"/>
  <c r="D8" i="66"/>
  <c r="D30" i="6"/>
  <c r="R25" i="6"/>
  <c r="R24" i="6"/>
  <c r="R21" i="6"/>
  <c r="R23" i="6"/>
  <c r="D27" i="6"/>
  <c r="R22" i="6"/>
  <c r="H27" i="6"/>
  <c r="R19" i="6"/>
  <c r="R39" i="35"/>
  <c r="E38" i="35"/>
  <c r="C49" i="33"/>
  <c r="B3" i="33"/>
  <c r="B2" i="33"/>
  <c r="C48" i="33"/>
  <c r="AB7" i="35"/>
  <c r="T38" i="35"/>
  <c r="G38" i="35"/>
  <c r="U7" i="35"/>
  <c r="N65" i="40"/>
  <c r="N67" i="40"/>
  <c r="M67" i="40"/>
  <c r="F9" i="40"/>
  <c r="E53" i="33"/>
  <c r="F53" i="33"/>
  <c r="E52" i="33"/>
  <c r="F52" i="33"/>
  <c r="J59" i="34"/>
  <c r="I42" i="35"/>
  <c r="J42" i="35"/>
  <c r="I43" i="35"/>
  <c r="J43" i="35"/>
  <c r="R27" i="6"/>
  <c r="R6" i="1"/>
  <c r="R16" i="1"/>
  <c r="D31" i="6"/>
  <c r="AA9" i="40"/>
  <c r="R44" i="40"/>
  <c r="E44" i="40" s="1"/>
  <c r="S9" i="40"/>
  <c r="K59" i="34"/>
  <c r="L59" i="34"/>
  <c r="M59" i="34"/>
  <c r="N59" i="34"/>
  <c r="O59" i="34"/>
  <c r="J7" i="34"/>
  <c r="J9" i="40"/>
  <c r="H9" i="40"/>
  <c r="S9" i="39"/>
  <c r="U9" i="39"/>
  <c r="E43" i="35"/>
  <c r="F43" i="35"/>
  <c r="E42" i="35"/>
  <c r="F42" i="35"/>
  <c r="H7" i="34"/>
  <c r="W9" i="39"/>
  <c r="G42" i="35"/>
  <c r="H42" i="35"/>
  <c r="G43" i="35"/>
  <c r="H43" i="35"/>
  <c r="C38" i="35"/>
  <c r="C39" i="35"/>
  <c r="B3" i="35"/>
  <c r="B2" i="35"/>
  <c r="I6" i="6"/>
  <c r="I5" i="6"/>
  <c r="AB7" i="34"/>
  <c r="T49" i="34"/>
  <c r="G49" i="34"/>
  <c r="U7" i="34"/>
  <c r="AC9" i="40"/>
  <c r="V44" i="40"/>
  <c r="I44" i="40"/>
  <c r="I48" i="40" s="1"/>
  <c r="J48" i="40" s="1"/>
  <c r="W9" i="40"/>
  <c r="F7" i="34"/>
  <c r="AB9" i="40"/>
  <c r="T44" i="40"/>
  <c r="G44" i="40" s="1"/>
  <c r="U9" i="40"/>
  <c r="W7" i="34"/>
  <c r="AC7" i="34"/>
  <c r="V49" i="34"/>
  <c r="I49" i="34"/>
  <c r="R45" i="40"/>
  <c r="C45" i="40" s="1"/>
  <c r="I53" i="34"/>
  <c r="J53" i="34"/>
  <c r="S7" i="34"/>
  <c r="AA7" i="34"/>
  <c r="R49" i="34"/>
  <c r="G53" i="34"/>
  <c r="H53" i="34"/>
  <c r="G54" i="34"/>
  <c r="H54" i="34"/>
  <c r="R50" i="34"/>
  <c r="E49" i="34"/>
  <c r="C49" i="34"/>
  <c r="C50" i="34"/>
  <c r="B3" i="34"/>
  <c r="B2" i="34"/>
  <c r="E54" i="34"/>
  <c r="F54" i="34"/>
  <c r="E53" i="34"/>
  <c r="F53" i="34"/>
  <c r="I54" i="34"/>
  <c r="J54" i="34"/>
  <c r="D113" i="46"/>
  <c r="J22" i="46"/>
  <c r="E11" i="6"/>
  <c r="E63" i="39"/>
  <c r="E12" i="6"/>
  <c r="E64" i="39"/>
  <c r="E13" i="6"/>
  <c r="E65" i="39"/>
  <c r="E14" i="6"/>
  <c r="E66" i="39"/>
  <c r="E15" i="6"/>
  <c r="E67" i="39"/>
  <c r="E58" i="40"/>
  <c r="E62" i="40"/>
  <c r="E59" i="40"/>
  <c r="E60" i="40"/>
  <c r="E61" i="40"/>
  <c r="D11" i="6"/>
  <c r="D12" i="6"/>
  <c r="D13" i="6"/>
  <c r="D14" i="6"/>
  <c r="D15" i="6"/>
  <c r="D16" i="6"/>
  <c r="E68" i="39"/>
  <c r="E16" i="6"/>
  <c r="F9" i="15"/>
  <c r="F35" i="15"/>
  <c r="F36" i="15"/>
  <c r="F37" i="15"/>
  <c r="F42" i="15"/>
  <c r="M6" i="15"/>
  <c r="I6" i="65"/>
  <c r="F14" i="67"/>
  <c r="B9" i="67"/>
  <c r="I7" i="65"/>
  <c r="M27" i="15"/>
  <c r="F39" i="44"/>
  <c r="M8" i="44"/>
  <c r="L47" i="15"/>
  <c r="L49" i="44"/>
  <c r="F13" i="67"/>
  <c r="E14" i="67"/>
  <c r="B10" i="67"/>
  <c r="J5" i="65"/>
  <c r="F7" i="15"/>
  <c r="F16" i="15"/>
  <c r="F40" i="15"/>
  <c r="M9" i="15"/>
  <c r="E9" i="67"/>
  <c r="J6" i="65"/>
  <c r="M26" i="15"/>
  <c r="M31" i="44"/>
  <c r="E8" i="67"/>
  <c r="N7" i="65"/>
  <c r="F11" i="44"/>
  <c r="F15" i="44"/>
  <c r="M26" i="44"/>
  <c r="F9" i="44"/>
  <c r="M24" i="44"/>
  <c r="M21" i="15"/>
  <c r="F12" i="67"/>
  <c r="I3" i="65"/>
  <c r="J17" i="44"/>
  <c r="F8" i="44"/>
  <c r="F11" i="67"/>
  <c r="B12" i="67"/>
  <c r="J3" i="65"/>
  <c r="M25" i="44"/>
  <c r="F10" i="44"/>
  <c r="M23" i="15"/>
  <c r="F43" i="44"/>
  <c r="F46" i="44"/>
  <c r="F37" i="44"/>
  <c r="F8" i="15"/>
  <c r="N4" i="65"/>
  <c r="I5" i="65"/>
  <c r="E2" i="65" s="1"/>
  <c r="F13" i="15"/>
  <c r="F38" i="15"/>
  <c r="L48" i="15"/>
  <c r="F10" i="67"/>
  <c r="E11" i="67"/>
  <c r="B11" i="67"/>
  <c r="N3" i="65"/>
  <c r="M28" i="15"/>
  <c r="M10" i="44"/>
  <c r="M28" i="44"/>
  <c r="M30" i="44"/>
  <c r="F9" i="67"/>
  <c r="E10" i="67"/>
  <c r="B8" i="67"/>
  <c r="J7" i="65"/>
  <c r="F6" i="15"/>
  <c r="C14" i="15"/>
  <c r="F43" i="15"/>
  <c r="F26" i="15"/>
  <c r="M8" i="15"/>
  <c r="F8" i="67"/>
  <c r="B13" i="67"/>
  <c r="F18" i="44"/>
  <c r="F28" i="44"/>
  <c r="I4" i="65"/>
  <c r="B14" i="67"/>
  <c r="N6" i="65"/>
  <c r="M24" i="15"/>
  <c r="M29" i="44"/>
  <c r="F40" i="44"/>
  <c r="M29" i="15"/>
  <c r="F31" i="15"/>
  <c r="C19" i="44"/>
  <c r="E13" i="67"/>
  <c r="J4" i="65"/>
  <c r="J36" i="15"/>
  <c r="E12" i="67"/>
  <c r="M11" i="44"/>
  <c r="M22" i="15"/>
  <c r="J15" i="15"/>
  <c r="C16" i="44"/>
  <c r="F33" i="44"/>
  <c r="N5" i="65"/>
  <c r="L48" i="44"/>
  <c r="F45" i="44"/>
  <c r="F38" i="44"/>
  <c r="M23" i="44"/>
  <c r="I53" i="21" l="1"/>
  <c r="J53" i="21" s="1"/>
  <c r="I52" i="21"/>
  <c r="J52" i="21" s="1"/>
  <c r="C14" i="43"/>
  <c r="C39" i="46"/>
  <c r="C29" i="46"/>
  <c r="C36" i="46"/>
  <c r="G36" i="46" s="1"/>
  <c r="I36" i="46" s="1"/>
  <c r="T8" i="46"/>
  <c r="V8" i="46" s="1"/>
  <c r="T12" i="46"/>
  <c r="V12" i="46" s="1"/>
  <c r="T16" i="46"/>
  <c r="V16" i="46" s="1"/>
  <c r="T11" i="46"/>
  <c r="V11" i="46" s="1"/>
  <c r="T15" i="46"/>
  <c r="V15" i="46" s="1"/>
  <c r="T4" i="46"/>
  <c r="V4" i="46" s="1"/>
  <c r="T5" i="46"/>
  <c r="V5" i="46" s="1"/>
  <c r="T2" i="46"/>
  <c r="V2" i="46" s="1"/>
  <c r="C38" i="46"/>
  <c r="C34" i="46"/>
  <c r="T10" i="46"/>
  <c r="V10" i="46" s="1"/>
  <c r="T14" i="46"/>
  <c r="V14" i="46" s="1"/>
  <c r="T9" i="46"/>
  <c r="V9" i="46" s="1"/>
  <c r="T13" i="46"/>
  <c r="V13" i="46" s="1"/>
  <c r="G7" i="1"/>
  <c r="G16" i="1" s="1"/>
  <c r="AP7" i="1"/>
  <c r="AP16" i="1" s="1"/>
  <c r="F22" i="11" s="1"/>
  <c r="C44" i="40"/>
  <c r="B55" i="40"/>
  <c r="F55" i="40" s="1"/>
  <c r="B61" i="40"/>
  <c r="F61" i="40" s="1"/>
  <c r="B53" i="40"/>
  <c r="F53" i="40" s="1"/>
  <c r="B59" i="40"/>
  <c r="F59" i="40" s="1"/>
  <c r="B58" i="40"/>
  <c r="F58" i="40" s="1"/>
  <c r="B57" i="40"/>
  <c r="F57" i="40" s="1"/>
  <c r="B54" i="40"/>
  <c r="F54" i="40" s="1"/>
  <c r="B60" i="40"/>
  <c r="F60" i="40" s="1"/>
  <c r="B56" i="40"/>
  <c r="F56" i="40" s="1"/>
  <c r="B62" i="40"/>
  <c r="F62" i="40" s="1"/>
  <c r="F63" i="40"/>
  <c r="B2" i="40" s="1"/>
  <c r="G48" i="40"/>
  <c r="H48" i="40" s="1"/>
  <c r="G49" i="40"/>
  <c r="H49" i="40" s="1"/>
  <c r="I49" i="40"/>
  <c r="J49" i="40" s="1"/>
  <c r="E48" i="40"/>
  <c r="F48" i="40" s="1"/>
  <c r="E49" i="40"/>
  <c r="F49" i="40" s="1"/>
  <c r="G39" i="46"/>
  <c r="I39" i="46" s="1"/>
  <c r="E39" i="46"/>
  <c r="H12" i="40"/>
  <c r="J12" i="39"/>
  <c r="H12" i="39"/>
  <c r="T3" i="46"/>
  <c r="V3" i="46" s="1"/>
  <c r="T6" i="46"/>
  <c r="V6" i="46" s="1"/>
  <c r="T7" i="46"/>
  <c r="V7" i="46" s="1"/>
  <c r="E36" i="46"/>
  <c r="C33" i="46"/>
  <c r="C35" i="46"/>
  <c r="C37" i="46"/>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88" i="31"/>
  <c r="O90"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R49" i="21"/>
  <c r="C49" i="21" s="1"/>
  <c r="B3" i="21" s="1"/>
  <c r="G53" i="21"/>
  <c r="H53" i="21" s="1"/>
  <c r="E53" i="21"/>
  <c r="F53" i="21" s="1"/>
  <c r="C16" i="12"/>
  <c r="F101" i="39"/>
  <c r="G101" i="39" s="1"/>
  <c r="H27" i="39"/>
  <c r="AB27" i="39" s="1"/>
  <c r="F27" i="39"/>
  <c r="J27" i="39"/>
  <c r="AC27" i="39" s="1"/>
  <c r="U27" i="39"/>
  <c r="W27" i="39"/>
  <c r="F23" i="39"/>
  <c r="AA23" i="39" s="1"/>
  <c r="H23" i="39"/>
  <c r="AB23" i="39" s="1"/>
  <c r="G103" i="39"/>
  <c r="H29" i="39"/>
  <c r="U29" i="39" s="1"/>
  <c r="J29" i="39"/>
  <c r="AC29" i="39" s="1"/>
  <c r="F29" i="39"/>
  <c r="W29" i="39"/>
  <c r="U23" i="39"/>
  <c r="F109" i="39"/>
  <c r="G109" i="39" s="1"/>
  <c r="H109" i="39" s="1"/>
  <c r="I109" i="39" s="1"/>
  <c r="J109" i="39" s="1"/>
  <c r="K109" i="39" s="1"/>
  <c r="L109" i="39" s="1"/>
  <c r="M109" i="39" s="1"/>
  <c r="F34" i="39"/>
  <c r="H34" i="39"/>
  <c r="J34" i="39"/>
  <c r="W23" i="39"/>
  <c r="F19" i="39"/>
  <c r="S19" i="39" s="1"/>
  <c r="J19" i="39"/>
  <c r="G93" i="39"/>
  <c r="H19" i="39"/>
  <c r="F17" i="39"/>
  <c r="AA17" i="39" s="1"/>
  <c r="J17" i="39"/>
  <c r="AC17" i="39" s="1"/>
  <c r="G91" i="39"/>
  <c r="H17" i="39"/>
  <c r="AA19" i="39"/>
  <c r="S17" i="39"/>
  <c r="E6" i="52"/>
  <c r="E21" i="52"/>
  <c r="B13" i="52"/>
  <c r="E8" i="52"/>
  <c r="E16" i="52"/>
  <c r="E5" i="52"/>
  <c r="B16" i="52"/>
  <c r="E10" i="52"/>
  <c r="B8" i="52"/>
  <c r="B9" i="52"/>
  <c r="B7" i="52"/>
  <c r="E7" i="52"/>
  <c r="B14" i="52"/>
  <c r="B22" i="52"/>
  <c r="B5" i="52"/>
  <c r="B11" i="52"/>
  <c r="E4" i="52"/>
  <c r="B6" i="52"/>
  <c r="B23" i="52"/>
  <c r="E9" i="52"/>
  <c r="B4" i="52"/>
  <c r="B10" i="52"/>
  <c r="E11" i="52"/>
  <c r="C18" i="43"/>
  <c r="C20" i="12"/>
  <c r="C17" i="44"/>
  <c r="C20" i="44"/>
  <c r="C36" i="44"/>
  <c r="J22" i="44"/>
  <c r="Q73" i="44"/>
  <c r="L60" i="44"/>
  <c r="L59" i="44"/>
  <c r="J1" i="65"/>
  <c r="C8" i="44"/>
  <c r="Q72" i="15"/>
  <c r="J20" i="15"/>
  <c r="M9" i="44"/>
  <c r="E20" i="46"/>
  <c r="C29" i="44"/>
  <c r="F67" i="15"/>
  <c r="C27" i="15"/>
  <c r="B40" i="1"/>
  <c r="F70" i="15"/>
  <c r="C15" i="15"/>
  <c r="C18" i="15"/>
  <c r="M7" i="15"/>
  <c r="F49" i="15"/>
  <c r="C6" i="15"/>
  <c r="J54" i="44"/>
  <c r="J60" i="44"/>
  <c r="J58" i="44"/>
  <c r="J56" i="44" s="1"/>
  <c r="J59" i="44" s="1"/>
  <c r="Q52" i="44" s="1"/>
  <c r="J61" i="44"/>
  <c r="Q50" i="44" s="1"/>
  <c r="I55" i="44"/>
  <c r="L57" i="44"/>
  <c r="L58" i="15"/>
  <c r="L59" i="15"/>
  <c r="J8" i="44"/>
  <c r="J6" i="15"/>
  <c r="J60" i="15"/>
  <c r="Q49" i="15" s="1"/>
  <c r="J53" i="15"/>
  <c r="I54" i="15"/>
  <c r="J57" i="15"/>
  <c r="J55" i="15" s="1"/>
  <c r="J58" i="15" s="1"/>
  <c r="Q51" i="15" s="1"/>
  <c r="L56" i="15"/>
  <c r="J59" i="15"/>
  <c r="L60" i="15"/>
  <c r="L57" i="15"/>
  <c r="F65" i="15"/>
  <c r="F64" i="15"/>
  <c r="F63" i="15"/>
  <c r="C34" i="15"/>
  <c r="F62" i="15"/>
  <c r="C61" i="15" s="1"/>
  <c r="C4" i="65"/>
  <c r="B39" i="1" s="1"/>
  <c r="F50" i="15"/>
  <c r="C48" i="15" s="1"/>
  <c r="C19" i="43"/>
  <c r="C17" i="12"/>
  <c r="C18" i="12" s="1"/>
  <c r="M19" i="44"/>
  <c r="C17" i="15"/>
  <c r="M17" i="15"/>
  <c r="E3" i="65"/>
  <c r="F58" i="15"/>
  <c r="C16" i="15"/>
  <c r="C18" i="44"/>
  <c r="F12" i="39" l="1"/>
  <c r="J12" i="40"/>
  <c r="F12" i="40"/>
  <c r="E38" i="46"/>
  <c r="G38" i="46"/>
  <c r="I38" i="46" s="1"/>
  <c r="C30" i="46"/>
  <c r="E30" i="46" s="1"/>
  <c r="E29" i="46"/>
  <c r="E34" i="46"/>
  <c r="G34" i="46"/>
  <c r="I34" i="46" s="1"/>
  <c r="G37" i="46"/>
  <c r="I37" i="46" s="1"/>
  <c r="E37" i="46"/>
  <c r="G33" i="46"/>
  <c r="I33" i="46" s="1"/>
  <c r="C27" i="46" s="1"/>
  <c r="E33" i="46"/>
  <c r="AC12" i="39"/>
  <c r="W12" i="39"/>
  <c r="G35" i="46"/>
  <c r="I35" i="46" s="1"/>
  <c r="E35" i="46"/>
  <c r="AB12" i="39"/>
  <c r="U12" i="39"/>
  <c r="AB12" i="40"/>
  <c r="U12" i="40"/>
  <c r="B5" i="40"/>
  <c r="B3" i="40"/>
  <c r="B4" i="40"/>
  <c r="C48" i="21"/>
  <c r="B2" i="21"/>
  <c r="C8" i="12"/>
  <c r="C10" i="12" s="1"/>
  <c r="AA27" i="39"/>
  <c r="S27" i="39"/>
  <c r="S23" i="39"/>
  <c r="AB29" i="39"/>
  <c r="AA29" i="39"/>
  <c r="S29" i="39"/>
  <c r="L46" i="15"/>
  <c r="W17" i="39"/>
  <c r="AC34" i="39"/>
  <c r="W34" i="39"/>
  <c r="AA34" i="39"/>
  <c r="S34" i="39"/>
  <c r="AB34" i="39"/>
  <c r="U34" i="39"/>
  <c r="AB19" i="39"/>
  <c r="U19" i="39"/>
  <c r="W19" i="39"/>
  <c r="AC19" i="39"/>
  <c r="V49" i="39" s="1"/>
  <c r="I49" i="39" s="1"/>
  <c r="I53" i="39" s="1"/>
  <c r="J53" i="39" s="1"/>
  <c r="U17" i="39"/>
  <c r="AB17" i="39"/>
  <c r="T49" i="39" s="1"/>
  <c r="G49" i="39" s="1"/>
  <c r="G53" i="39" s="1"/>
  <c r="H53" i="39" s="1"/>
  <c r="C21" i="44"/>
  <c r="F17" i="11"/>
  <c r="C17" i="11" s="1"/>
  <c r="C19" i="11" s="1"/>
  <c r="C23" i="12"/>
  <c r="C19" i="15"/>
  <c r="Q75" i="15"/>
  <c r="Q62" i="15"/>
  <c r="P17" i="46"/>
  <c r="O17" i="46"/>
  <c r="N17" i="46"/>
  <c r="M17" i="46"/>
  <c r="Q75" i="44"/>
  <c r="Q62" i="44"/>
  <c r="C25" i="43"/>
  <c r="C24" i="43" s="1"/>
  <c r="F11" i="15"/>
  <c r="C52" i="15" s="1"/>
  <c r="C47" i="15" s="1"/>
  <c r="M11" i="15"/>
  <c r="J10" i="15" s="1"/>
  <c r="J5" i="15" s="1"/>
  <c r="M13" i="44"/>
  <c r="J12" i="44" s="1"/>
  <c r="J7" i="44" s="1"/>
  <c r="F13" i="44"/>
  <c r="C12" i="44" s="1"/>
  <c r="C7" i="44" s="1"/>
  <c r="Q58" i="15"/>
  <c r="Q67" i="15"/>
  <c r="F1" i="15"/>
  <c r="Q53" i="15"/>
  <c r="Q74" i="15"/>
  <c r="Q61" i="15"/>
  <c r="L47" i="44"/>
  <c r="F1" i="44"/>
  <c r="Q54" i="44"/>
  <c r="F24" i="15"/>
  <c r="C24" i="15" s="1"/>
  <c r="F26" i="12"/>
  <c r="C27" i="12" s="1"/>
  <c r="D26" i="12" s="1"/>
  <c r="C32" i="12" s="1"/>
  <c r="D30" i="12" s="1"/>
  <c r="F21" i="43"/>
  <c r="C23" i="43" s="1"/>
  <c r="D21" i="43" s="1"/>
  <c r="F26" i="44"/>
  <c r="C26" i="44" s="1"/>
  <c r="Q76" i="44"/>
  <c r="Q63" i="44"/>
  <c r="F7" i="67"/>
  <c r="AE7" i="1"/>
  <c r="W12" i="40" l="1"/>
  <c r="AC12" i="40"/>
  <c r="AA12" i="40"/>
  <c r="S12" i="40"/>
  <c r="AA12" i="39"/>
  <c r="R49" i="39" s="1"/>
  <c r="E49" i="39" s="1"/>
  <c r="E53" i="39" s="1"/>
  <c r="F53" i="39" s="1"/>
  <c r="S12" i="39"/>
  <c r="E4" i="67"/>
  <c r="C26" i="46"/>
  <c r="I54" i="39"/>
  <c r="J54" i="39" s="1"/>
  <c r="G54" i="39"/>
  <c r="H54" i="39" s="1"/>
  <c r="C40" i="44"/>
  <c r="C34" i="44"/>
  <c r="C65" i="15"/>
  <c r="C59" i="15"/>
  <c r="C60" i="15"/>
  <c r="J26" i="15"/>
  <c r="J18" i="15"/>
  <c r="J24" i="15"/>
  <c r="C10" i="15"/>
  <c r="C5" i="15" s="1"/>
  <c r="J20" i="44"/>
  <c r="J28" i="44"/>
  <c r="J31" i="44" s="1"/>
  <c r="J26" i="44"/>
  <c r="C22" i="43"/>
  <c r="C21" i="43" s="1"/>
  <c r="C28" i="43" s="1"/>
  <c r="C30" i="43" s="1"/>
  <c r="C32" i="43" s="1"/>
  <c r="B2" i="43" s="1"/>
  <c r="C20" i="15"/>
  <c r="C23" i="15" s="1"/>
  <c r="C20" i="11"/>
  <c r="C21" i="11" s="1"/>
  <c r="C22" i="11" s="1"/>
  <c r="C23" i="11" s="1"/>
  <c r="B2" i="11" s="1"/>
  <c r="C22" i="44"/>
  <c r="C25" i="44" s="1"/>
  <c r="E7" i="67"/>
  <c r="F41" i="15"/>
  <c r="L52" i="44"/>
  <c r="R50" i="39" l="1"/>
  <c r="E54" i="39"/>
  <c r="F54" i="39" s="1"/>
  <c r="E3" i="67"/>
  <c r="B2" i="46"/>
  <c r="C49" i="39"/>
  <c r="C50" i="39"/>
  <c r="C28" i="44"/>
  <c r="C31" i="44" s="1"/>
  <c r="F68" i="15"/>
  <c r="J29" i="15"/>
  <c r="C26" i="15"/>
  <c r="C29" i="15" s="1"/>
  <c r="Q69" i="44"/>
  <c r="L58" i="44"/>
  <c r="L61" i="44" s="1"/>
  <c r="B5" i="11"/>
  <c r="B3" i="11"/>
  <c r="B4" i="11"/>
  <c r="Q49" i="44"/>
  <c r="Q55" i="44" s="1"/>
  <c r="Q58" i="44"/>
  <c r="Q67" i="44"/>
  <c r="C32" i="15"/>
  <c r="C33" i="15"/>
  <c r="C38" i="15"/>
  <c r="B5" i="43"/>
  <c r="B3" i="43"/>
  <c r="B4" i="43"/>
  <c r="C58" i="15"/>
  <c r="B7" i="67"/>
  <c r="B2" i="67" l="1"/>
  <c r="D4" i="46"/>
  <c r="B4" i="46"/>
  <c r="B3" i="46"/>
  <c r="B59" i="39"/>
  <c r="F59" i="39" s="1"/>
  <c r="B61" i="39"/>
  <c r="F61" i="39" s="1"/>
  <c r="B63" i="39"/>
  <c r="F63" i="39" s="1"/>
  <c r="B65" i="39"/>
  <c r="F65" i="39" s="1"/>
  <c r="B67" i="39"/>
  <c r="F67" i="39" s="1"/>
  <c r="B58" i="39"/>
  <c r="F58" i="39" s="1"/>
  <c r="B60" i="39"/>
  <c r="F60" i="39" s="1"/>
  <c r="B62" i="39"/>
  <c r="F62" i="39" s="1"/>
  <c r="B64" i="39"/>
  <c r="F64" i="39" s="1"/>
  <c r="B66" i="39"/>
  <c r="F66" i="39" s="1"/>
  <c r="Q51" i="44"/>
  <c r="J21" i="44"/>
  <c r="J19" i="44" s="1"/>
  <c r="C35" i="44"/>
  <c r="C33" i="44" s="1"/>
  <c r="C15" i="44"/>
  <c r="Q72" i="44" s="1"/>
  <c r="C38" i="44"/>
  <c r="J16" i="44"/>
  <c r="J15" i="44" s="1"/>
  <c r="J25" i="44" s="1"/>
  <c r="C13" i="15"/>
  <c r="C55" i="15" s="1"/>
  <c r="C64" i="15" s="1"/>
  <c r="J19" i="15"/>
  <c r="J17" i="15" s="1"/>
  <c r="J14" i="15"/>
  <c r="J22" i="15" s="1"/>
  <c r="C36" i="15"/>
  <c r="Q50" i="15"/>
  <c r="C56" i="15"/>
  <c r="C63" i="15" s="1"/>
  <c r="Q59" i="44"/>
  <c r="Q64" i="44" s="1"/>
  <c r="Q68" i="44"/>
  <c r="Q77" i="44" s="1"/>
  <c r="C31" i="15"/>
  <c r="C43" i="44"/>
  <c r="B3" i="67" l="1"/>
  <c r="B4" i="67"/>
  <c r="C39" i="44"/>
  <c r="J24" i="44"/>
  <c r="J35" i="15"/>
  <c r="C37" i="15"/>
  <c r="C30" i="15" s="1"/>
  <c r="C39" i="15" s="1"/>
  <c r="C32" i="44"/>
  <c r="C42" i="44" s="1"/>
  <c r="C44" i="44" s="1"/>
  <c r="C45" i="44" s="1"/>
  <c r="B2" i="44" s="1"/>
  <c r="Q71" i="15"/>
  <c r="J13" i="15"/>
  <c r="J23" i="15" s="1"/>
  <c r="J16" i="15" s="1"/>
  <c r="J25" i="15" s="1"/>
  <c r="F68" i="39"/>
  <c r="B2" i="39" s="1"/>
  <c r="C57" i="15"/>
  <c r="C66" i="15" s="1"/>
  <c r="C67" i="15" s="1"/>
  <c r="C70" i="15" s="1"/>
  <c r="J18" i="44"/>
  <c r="J27" i="44" s="1"/>
  <c r="Q71" i="44"/>
  <c r="Q70" i="44" s="1"/>
  <c r="C19" i="9"/>
  <c r="L51" i="15"/>
  <c r="C40" i="15" l="1"/>
  <c r="Q66" i="15" s="1"/>
  <c r="Q76" i="15" s="1"/>
  <c r="J39" i="15"/>
  <c r="J40" i="15" s="1"/>
  <c r="L43" i="9"/>
  <c r="B4" i="39"/>
  <c r="B3" i="39"/>
  <c r="B5" i="39"/>
  <c r="Q70" i="15"/>
  <c r="Q69" i="15" s="1"/>
  <c r="Q68" i="15"/>
  <c r="B2" i="15"/>
  <c r="B3" i="15" s="1"/>
  <c r="D8" i="12" s="1"/>
  <c r="D10" i="12" s="1"/>
  <c r="C6" i="12" s="1"/>
  <c r="B3" i="44"/>
  <c r="B5" i="44"/>
  <c r="B4" i="44"/>
  <c r="C20" i="9"/>
  <c r="C21" i="9"/>
  <c r="Q57" i="15" l="1"/>
  <c r="Q63" i="15" s="1"/>
  <c r="C46" i="15"/>
  <c r="Q48" i="15"/>
  <c r="Q54" i="15" s="1"/>
  <c r="J42" i="15"/>
  <c r="J43" i="15" s="1"/>
  <c r="C43" i="15"/>
  <c r="C24" i="12"/>
  <c r="C29" i="12"/>
  <c r="C28" i="12" l="1"/>
  <c r="C26" i="12" s="1"/>
  <c r="C31" i="12" s="1"/>
  <c r="C30" i="12" s="1"/>
  <c r="C35" i="12"/>
  <c r="C33" i="12" s="1"/>
  <c r="C36" i="12" l="1"/>
  <c r="B2" i="12" s="1"/>
  <c r="B5" i="12" s="1"/>
  <c r="D19" i="9"/>
  <c r="B4" i="12" l="1"/>
  <c r="B3" i="12"/>
  <c r="L44" i="9"/>
  <c r="D22" i="9"/>
  <c r="G19" i="9"/>
  <c r="C32" i="9" s="1"/>
  <c r="D21" i="9"/>
  <c r="D20" i="9"/>
  <c r="N43" i="9" l="1"/>
  <c r="G22" i="9"/>
  <c r="G20" i="9"/>
  <c r="R24" i="31" s="1"/>
  <c r="S24" i="31" s="1"/>
  <c r="G21" i="9"/>
  <c r="R29" i="31"/>
  <c r="S29" i="31" s="1"/>
  <c r="I8" i="70" s="1"/>
  <c r="R27" i="31"/>
  <c r="S27" i="31" s="1"/>
  <c r="I6" i="70" s="1"/>
  <c r="R30" i="31"/>
  <c r="S30" i="31" s="1"/>
  <c r="I9" i="70" s="1"/>
  <c r="R28" i="31"/>
  <c r="S28" i="31" s="1"/>
  <c r="I7" i="70" s="1"/>
  <c r="C33" i="9"/>
  <c r="O43" i="9"/>
  <c r="C34" i="9"/>
  <c r="O38" i="9"/>
  <c r="C42" i="9"/>
  <c r="C35" i="9"/>
  <c r="F42" i="9" s="1"/>
  <c r="R25" i="31" l="1"/>
  <c r="S25" i="31" s="1"/>
  <c r="I4" i="70" s="1"/>
  <c r="J4" i="70" s="1"/>
  <c r="R26" i="31"/>
  <c r="S26" i="31" s="1"/>
  <c r="I5" i="70" s="1"/>
  <c r="D16" i="66" s="1"/>
  <c r="R5" i="54"/>
  <c r="B48" i="63" s="1"/>
  <c r="D63" i="9"/>
  <c r="N68" i="9"/>
  <c r="D14" i="66"/>
  <c r="N38" i="9"/>
  <c r="K28" i="9" s="1"/>
  <c r="D42" i="9"/>
  <c r="Q5" i="54" s="1"/>
  <c r="B47" i="63" s="1"/>
  <c r="D17" i="66"/>
  <c r="J6" i="70"/>
  <c r="K6" i="70"/>
  <c r="M38" i="9"/>
  <c r="K27" i="9" s="1"/>
  <c r="E42" i="9"/>
  <c r="P5" i="54" s="1"/>
  <c r="B46" i="63" s="1"/>
  <c r="D18" i="66"/>
  <c r="J7" i="70"/>
  <c r="K7" i="70"/>
  <c r="I3" i="70"/>
  <c r="K25" i="9"/>
  <c r="K26" i="9"/>
  <c r="D20" i="66"/>
  <c r="J9" i="70"/>
  <c r="K9" i="70"/>
  <c r="D19" i="66"/>
  <c r="J8" i="70"/>
  <c r="K8" i="70"/>
  <c r="D15" i="66" l="1"/>
  <c r="F15" i="66" s="1"/>
  <c r="K4" i="70"/>
  <c r="S22" i="31"/>
  <c r="R22" i="31" s="1"/>
  <c r="B21" i="31" s="1"/>
  <c r="J5" i="70"/>
  <c r="K5" i="70"/>
  <c r="E19" i="66"/>
  <c r="F19" i="66"/>
  <c r="E20" i="66"/>
  <c r="F20" i="66"/>
  <c r="E18" i="66"/>
  <c r="F18" i="66"/>
  <c r="F14" i="66"/>
  <c r="B5" i="66"/>
  <c r="E14" i="66"/>
  <c r="D70" i="9"/>
  <c r="C96" i="9"/>
  <c r="C91" i="9" s="1"/>
  <c r="C111" i="9"/>
  <c r="C104" i="9" s="1"/>
  <c r="D71" i="9"/>
  <c r="D66" i="9" s="1"/>
  <c r="N72" i="9" s="1"/>
  <c r="C82" i="9"/>
  <c r="C81" i="9" s="1"/>
  <c r="C85" i="9" s="1"/>
  <c r="C86" i="9" s="1"/>
  <c r="D72" i="9" s="1"/>
  <c r="C90" i="9"/>
  <c r="C103" i="9"/>
  <c r="D77" i="9"/>
  <c r="N75" i="9" s="1"/>
  <c r="E15" i="66"/>
  <c r="E16" i="66"/>
  <c r="F16" i="66"/>
  <c r="I10" i="70"/>
  <c r="K3" i="70"/>
  <c r="J3" i="70"/>
  <c r="E17" i="66"/>
  <c r="F17" i="66"/>
  <c r="C97" i="9" l="1"/>
  <c r="C98" i="9" s="1"/>
  <c r="E98" i="9" s="1"/>
  <c r="E99" i="9" s="1"/>
  <c r="B20" i="31"/>
  <c r="C113" i="9"/>
  <c r="C114" i="9" s="1"/>
  <c r="E114" i="9" s="1"/>
  <c r="E115" i="9" s="1"/>
  <c r="J10" i="70"/>
  <c r="K10" i="70"/>
  <c r="D5" i="66"/>
  <c r="C5" i="66"/>
  <c r="C115" i="9" l="1"/>
  <c r="D76" i="9" s="1"/>
  <c r="D74" i="9" s="1"/>
  <c r="N74" i="9" s="1"/>
  <c r="O77" i="9" s="1"/>
  <c r="O7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<sst xmlns="http://schemas.openxmlformats.org/spreadsheetml/2006/main" count="7411" uniqueCount="3196">
  <si>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</si>
  <si>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</si>
  <si>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</si>
  <si>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</si>
  <si>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</si>
  <si>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</si>
  <si>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</si>
  <si>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</si>
  <si>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</si>
  <si>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</si>
  <si>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</si>
  <si>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</si>
  <si>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</si>
  <si>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</si>
  <si>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</si>
  <si>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</si>
  <si>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</si>
  <si>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</si>
  <si>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</si>
  <si>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</si>
  <si>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</si>
  <si>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</si>
  <si>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</si>
  <si>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</si>
  <si>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</si>
  <si>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</si>
  <si>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</si>
  <si>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</si>
  <si>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</si>
  <si>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</si>
  <si>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</si>
  <si>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</si>
  <si>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</si>
  <si>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</si>
  <si>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</si>
  <si>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</si>
  <si>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</si>
  <si>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</si>
  <si>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</si>
  <si>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</si>
  <si>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</si>
  <si>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</si>
  <si>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</si>
  <si>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</si>
  <si>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</si>
  <si>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</si>
  <si>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</si>
  <si>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</si>
  <si>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</si>
  <si>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</si>
  <si>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</si>
  <si>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</si>
  <si>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</si>
  <si>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</si>
  <si>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</si>
  <si>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</si>
  <si>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</si>
  <si>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</si>
  <si>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</si>
  <si>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</si>
  <si>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</si>
  <si>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</si>
  <si>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</si>
  <si>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</si>
  <si>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</si>
  <si>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</si>
  <si>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</si>
  <si>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</si>
  <si>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</si>
  <si>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</si>
  <si>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</si>
  <si>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</si>
  <si>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</si>
  <si>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</si>
  <si>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</si>
  <si>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</si>
  <si>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</si>
  <si>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</si>
  <si>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</si>
  <si>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</si>
  <si>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</si>
  <si>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</si>
  <si>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</si>
  <si>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</si>
  <si>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</si>
  <si>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</si>
  <si>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</si>
  <si>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</si>
  <si>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</si>
  <si>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</si>
  <si>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</si>
  <si>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</si>
  <si>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</si>
  <si>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</si>
  <si>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</si>
  <si>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</si>
  <si>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</si>
  <si>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</si>
  <si>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</si>
  <si>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</si>
  <si>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</si>
  <si>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</si>
  <si>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</si>
  <si>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</si>
  <si>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</si>
  <si>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</si>
  <si>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</si>
  <si>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</si>
  <si>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</si>
  <si>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</si>
  <si>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</si>
  <si>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</si>
  <si>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</si>
  <si>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</si>
  <si>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</si>
  <si>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</si>
  <si>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</si>
  <si>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</si>
  <si>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</si>
  <si>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</si>
  <si>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</si>
  <si>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</si>
  <si>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</si>
  <si>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</si>
  <si>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</si>
  <si>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</si>
  <si>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</si>
  <si>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</si>
  <si>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</si>
  <si>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</si>
  <si>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</si>
  <si>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</si>
  <si>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</si>
  <si>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</si>
  <si>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</si>
  <si>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</si>
  <si>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</si>
  <si>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</si>
  <si>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</si>
  <si>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</si>
  <si>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</si>
  <si>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</si>
  <si>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</si>
  <si>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</si>
  <si>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</si>
  <si>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</si>
  <si>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</si>
  <si>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</si>
  <si>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</si>
  <si>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</si>
  <si>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</si>
  <si>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</si>
  <si>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</si>
  <si>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</si>
  <si>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</si>
  <si>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</si>
  <si>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</si>
  <si>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</si>
  <si>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</si>
  <si>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</si>
  <si>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</si>
  <si>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</si>
  <si>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</si>
  <si>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</si>
  <si>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</si>
  <si>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</si>
  <si>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</si>
  <si>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</si>
  <si>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</si>
  <si>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</si>
  <si>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</si>
  <si>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</si>
  <si>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</si>
  <si>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</si>
  <si>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</si>
  <si>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</si>
  <si>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</si>
  <si>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</si>
  <si>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</si>
  <si>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</si>
  <si>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</si>
  <si>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</si>
  <si>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</si>
  <si>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</si>
  <si>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</si>
  <si>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</si>
  <si>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</si>
  <si>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</si>
  <si>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</si>
  <si>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</si>
  <si>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</si>
  <si>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</si>
  <si>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</si>
  <si>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</si>
  <si>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</si>
  <si>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</si>
  <si>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</si>
  <si>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</si>
  <si>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</si>
  <si>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</si>
  <si>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</si>
  <si>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</si>
  <si>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</si>
  <si>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</si>
  <si>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</si>
  <si>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</si>
  <si>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</si>
  <si>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</si>
  <si>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</si>
  <si>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</si>
  <si>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</si>
  <si>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</si>
  <si>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</si>
  <si>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</si>
  <si>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</si>
  <si>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</si>
  <si>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</si>
  <si>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</si>
  <si>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</si>
  <si>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</si>
  <si>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</si>
  <si>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</si>
  <si>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</si>
  <si>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</si>
  <si>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</si>
  <si>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</si>
  <si>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</si>
  <si>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</si>
  <si>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</si>
  <si>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</si>
  <si>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</si>
  <si>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</si>
  <si>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</si>
  <si>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</si>
  <si>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</si>
  <si>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</si>
  <si>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</si>
  <si>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</si>
  <si>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</si>
  <si>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</si>
  <si>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</si>
  <si>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</si>
  <si>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</si>
  <si>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</si>
  <si>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</si>
  <si>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</si>
  <si>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</si>
  <si>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</si>
  <si>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</si>
  <si>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</si>
  <si>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</si>
  <si>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</si>
  <si>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</si>
  <si>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</si>
  <si>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</si>
  <si>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</si>
  <si>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</si>
  <si>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</si>
  <si>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</si>
  <si>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</si>
  <si>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</si>
  <si>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</si>
  <si>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</si>
  <si>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</si>
  <si>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</si>
  <si>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</si>
  <si>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</si>
  <si>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</si>
  <si>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</si>
  <si>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</si>
  <si>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</si>
  <si>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</si>
  <si>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</si>
  <si>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</si>
  <si>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</si>
  <si>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</si>
  <si>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</si>
  <si>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</si>
  <si>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</si>
  <si>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</si>
  <si>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</si>
  <si>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</si>
  <si>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</si>
  <si>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</si>
  <si>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</si>
  <si>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</si>
  <si>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</si>
  <si>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</si>
  <si>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</si>
  <si>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</si>
  <si>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</si>
  <si>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</si>
  <si>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</si>
  <si>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</si>
  <si>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</si>
  <si>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</si>
  <si>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</si>
  <si>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</si>
  <si>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</si>
  <si>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</si>
  <si>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</si>
  <si>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</si>
  <si>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</si>
  <si>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</si>
  <si>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</si>
  <si>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</si>
  <si>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</si>
  <si>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</si>
  <si>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</si>
  <si>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</si>
  <si>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</si>
  <si>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</si>
  <si>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</si>
  <si>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</si>
  <si>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</si>
  <si>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</si>
  <si>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</si>
  <si>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</si>
  <si>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</si>
  <si>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</si>
  <si>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</si>
  <si>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</si>
  <si>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</si>
  <si>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</si>
  <si>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</si>
  <si>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</si>
  <si>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</si>
  <si>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</si>
  <si>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</si>
  <si>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</si>
  <si>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</si>
  <si>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</si>
  <si>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</si>
  <si>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</si>
  <si>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</si>
  <si>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</si>
  <si>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</si>
  <si>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</si>
  <si>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</si>
  <si>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</si>
  <si>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</si>
  <si>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</si>
  <si>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</si>
  <si>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</si>
  <si>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</si>
  <si>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</si>
  <si>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</si>
  <si>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</si>
  <si>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</si>
  <si>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</si>
  <si>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</si>
  <si>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</si>
  <si>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</si>
  <si>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</si>
  <si>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</si>
  <si>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</si>
  <si>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</si>
  <si>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</si>
  <si>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</si>
  <si>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</si>
  <si>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</si>
  <si>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</si>
  <si>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</si>
  <si>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</si>
  <si>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</si>
  <si>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</si>
  <si>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</si>
  <si>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</si>
  <si>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</si>
  <si>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</si>
  <si>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</si>
  <si>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</si>
  <si>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</si>
  <si>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</si>
  <si>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</si>
  <si>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</si>
  <si>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</si>
  <si>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</si>
  <si>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</si>
  <si>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</si>
  <si>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</si>
  <si>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</si>
  <si>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</si>
  <si>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</si>
  <si>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</si>
  <si>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</si>
  <si>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</si>
  <si>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</si>
  <si>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</si>
  <si>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</si>
  <si>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</si>
  <si>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</si>
  <si>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</si>
  <si>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</si>
  <si>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</si>
  <si>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</si>
  <si>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</si>
  <si>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</si>
  <si>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</si>
  <si>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</si>
  <si>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</si>
  <si>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</si>
  <si>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</si>
  <si>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</si>
  <si>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</si>
  <si>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</si>
  <si>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</si>
  <si>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</si>
  <si>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</si>
  <si>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</si>
  <si>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</si>
  <si>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</si>
  <si>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</si>
  <si>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</si>
  <si>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</si>
  <si>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</si>
  <si>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</si>
  <si>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</si>
  <si>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</si>
  <si>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</si>
  <si>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</si>
  <si>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</si>
  <si>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</si>
  <si>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</si>
  <si>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</si>
  <si>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</si>
  <si>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</si>
  <si>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</si>
  <si>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</si>
  <si>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</si>
  <si>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</si>
  <si>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</si>
  <si>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</si>
  <si>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</si>
  <si>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</si>
  <si>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</si>
  <si>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</si>
  <si>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</si>
  <si>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</si>
  <si>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</si>
  <si>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</si>
  <si>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</si>
  <si>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</si>
  <si>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</si>
  <si>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</si>
  <si>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</si>
  <si>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</si>
  <si>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</si>
  <si>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</si>
  <si>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</si>
  <si>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</si>
  <si>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</si>
  <si>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</si>
  <si>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</si>
  <si>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</si>
  <si>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</si>
  <si>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</si>
  <si>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</si>
  <si>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</si>
  <si>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</si>
  <si>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</si>
  <si>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</si>
  <si>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</si>
  <si>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</si>
  <si>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</si>
  <si>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</si>
  <si>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</si>
  <si>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</si>
  <si>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</si>
  <si>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</si>
  <si>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</si>
  <si>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</si>
  <si>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</si>
  <si>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</si>
  <si>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</si>
  <si>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</si>
  <si>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</si>
  <si>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</si>
  <si>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</si>
  <si>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</si>
  <si>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</si>
  <si>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</si>
  <si>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</si>
  <si>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</si>
  <si>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</si>
  <si>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</si>
  <si>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</si>
  <si>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</si>
  <si>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</si>
  <si>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</si>
  <si>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</si>
  <si>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</si>
  <si>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</si>
  <si>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</si>
  <si>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</si>
  <si>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</si>
  <si>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</si>
  <si>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</si>
  <si>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</si>
  <si>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</si>
  <si>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</si>
  <si>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</si>
  <si>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</si>
  <si>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</si>
  <si>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</si>
  <si>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</si>
  <si>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</si>
  <si>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</si>
  <si>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</si>
  <si>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</si>
  <si>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</si>
  <si>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</si>
  <si>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</si>
  <si>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</si>
  <si>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</si>
  <si>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</si>
  <si>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</si>
  <si>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</si>
  <si>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</si>
  <si>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</si>
  <si>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</si>
  <si>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</si>
  <si>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</si>
  <si>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</si>
  <si>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</si>
  <si>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</si>
  <si>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</si>
  <si>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</si>
  <si>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</si>
  <si>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</si>
  <si>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</si>
  <si>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</si>
  <si>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</si>
  <si>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</si>
  <si>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</si>
  <si>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</si>
  <si>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</si>
  <si>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</si>
  <si>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</si>
  <si>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</si>
  <si>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</si>
  <si>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</si>
  <si>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</si>
  <si>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</si>
  <si>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</si>
  <si>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</si>
  <si>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</si>
  <si>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</si>
  <si>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</si>
  <si>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</si>
  <si>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</si>
  <si>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</si>
  <si>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</si>
  <si>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</si>
  <si>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</si>
  <si>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</si>
  <si>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</si>
  <si>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</si>
  <si>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</si>
  <si>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</si>
  <si>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</si>
  <si>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</si>
  <si>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</si>
  <si>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</si>
  <si>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</si>
  <si>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</si>
  <si>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</si>
  <si>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</si>
  <si>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</si>
  <si>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</si>
  <si>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</si>
  <si>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</si>
  <si>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</si>
  <si>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</si>
  <si>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</si>
  <si>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</si>
  <si>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</si>
  <si>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</si>
  <si>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</si>
  <si>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</si>
  <si>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</si>
  <si>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</si>
  <si>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</si>
  <si>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</si>
  <si>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</si>
  <si>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</si>
  <si>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</si>
  <si>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</si>
  <si>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</si>
  <si>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</si>
  <si>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</si>
  <si>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</si>
  <si>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</si>
  <si>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</si>
  <si>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</si>
  <si>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</si>
  <si>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</si>
  <si>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</si>
  <si>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</si>
  <si>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</si>
  <si>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</si>
  <si>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</si>
  <si>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</si>
  <si>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</si>
  <si>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</si>
  <si>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</si>
  <si>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</si>
  <si>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</si>
  <si>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</si>
  <si>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</si>
  <si>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</si>
  <si>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</si>
  <si>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</si>
  <si>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</si>
  <si>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</si>
  <si>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</si>
  <si>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</si>
  <si>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</si>
  <si>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</si>
  <si>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</si>
  <si>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</si>
  <si>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</si>
  <si>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</si>
  <si>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</si>
  <si>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</si>
  <si>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</si>
  <si>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</si>
  <si>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</si>
  <si>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</si>
  <si>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</si>
  <si>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</si>
  <si>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</si>
  <si>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</si>
  <si>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</si>
  <si>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</si>
  <si>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</si>
  <si>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</si>
  <si>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</si>
  <si>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</si>
  <si>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</si>
  <si>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</si>
  <si>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</si>
  <si>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</si>
  <si>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</si>
  <si>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</si>
  <si>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</si>
  <si>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</si>
  <si>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</si>
  <si>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</si>
  <si>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</si>
  <si>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</si>
  <si>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</si>
  <si>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</si>
  <si>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</si>
  <si>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</si>
  <si>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</si>
  <si>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</si>
  <si>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</si>
  <si>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</si>
  <si>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</si>
  <si>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</si>
  <si>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</si>
  <si>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</si>
  <si>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</si>
  <si>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</si>
  <si>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</si>
  <si>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</si>
  <si>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</si>
  <si>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</si>
  <si>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</si>
  <si>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</si>
  <si>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</si>
  <si>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</si>
  <si>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</si>
  <si>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</si>
  <si>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</si>
  <si>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</si>
  <si>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</si>
  <si>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</si>
  <si>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</si>
  <si>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</si>
  <si>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</si>
  <si>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</si>
  <si>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</si>
  <si>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</si>
  <si>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</si>
  <si>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</si>
  <si>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</si>
  <si>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</si>
  <si>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</si>
  <si>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</si>
  <si>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</si>
  <si>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</si>
  <si>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</si>
  <si>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</si>
  <si>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</si>
  <si>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</si>
  <si>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</si>
  <si>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</si>
  <si>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</si>
  <si>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</si>
  <si>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</si>
  <si>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</si>
  <si>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</si>
  <si>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</si>
  <si>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</si>
  <si>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</si>
  <si>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</si>
  <si>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</si>
  <si>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</si>
  <si>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</si>
  <si>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</si>
  <si>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</si>
  <si>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</si>
  <si>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</si>
  <si>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</si>
  <si>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</si>
  <si>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</si>
  <si>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</si>
  <si>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</si>
  <si>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</si>
  <si>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</si>
  <si>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</si>
  <si>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</si>
  <si>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</si>
  <si>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</si>
  <si>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</si>
  <si>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</si>
  <si>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</si>
  <si>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</si>
  <si>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</si>
  <si>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</si>
  <si>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</si>
  <si>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</si>
  <si>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</si>
  <si>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</si>
  <si>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</si>
  <si>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</si>
  <si>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</si>
  <si>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</si>
  <si>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</si>
  <si>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</si>
  <si>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</si>
  <si>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</si>
  <si>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</si>
  <si>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</si>
  <si>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</si>
  <si>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</si>
  <si>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</si>
  <si>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</si>
  <si>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</si>
  <si>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</si>
  <si>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</si>
  <si>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</si>
  <si>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</si>
  <si>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</si>
  <si>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</si>
  <si>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</si>
  <si>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</si>
  <si>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</si>
  <si>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</si>
  <si>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</si>
  <si>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</si>
  <si>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</si>
  <si>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</si>
  <si>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</si>
  <si>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</si>
  <si>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</si>
  <si>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</si>
  <si>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</si>
  <si>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</si>
  <si>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</si>
  <si>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</si>
  <si>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</si>
  <si>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</si>
  <si>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</si>
  <si>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</si>
  <si>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</si>
  <si>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</si>
  <si>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</si>
  <si>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</si>
  <si>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</si>
  <si>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</si>
  <si>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</si>
  <si>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</si>
  <si>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</si>
  <si>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</si>
  <si>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</si>
  <si>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</si>
  <si>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</si>
  <si>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</si>
  <si>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</si>
  <si>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</si>
  <si>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</si>
  <si>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</si>
  <si>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</si>
  <si>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</si>
  <si>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</si>
  <si>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</si>
  <si>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</si>
  <si>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</si>
  <si>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</si>
  <si>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</si>
  <si>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</si>
  <si>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</si>
  <si>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</si>
  <si>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</si>
  <si>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</si>
  <si>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</si>
  <si>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</si>
  <si>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</si>
  <si>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</si>
  <si>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</si>
  <si>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</si>
  <si>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</si>
  <si>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</si>
  <si>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</si>
  <si>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</si>
  <si>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</si>
  <si>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</si>
  <si>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</si>
  <si>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</si>
  <si>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</si>
  <si>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</si>
  <si>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</si>
  <si>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</si>
  <si>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</si>
  <si>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</si>
  <si>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</si>
  <si>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</si>
  <si>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</si>
  <si>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</si>
  <si>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</si>
  <si>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</si>
  <si>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</si>
  <si>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</si>
  <si>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</si>
  <si>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</si>
  <si>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</si>
  <si>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</si>
  <si>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</si>
  <si>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</si>
  <si>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</si>
  <si>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</si>
  <si>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</si>
  <si>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</si>
  <si>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</si>
  <si>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</si>
  <si>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</si>
  <si>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</si>
  <si>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</si>
  <si>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</si>
  <si>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</si>
  <si>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</si>
  <si>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</si>
  <si>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</si>
  <si>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</si>
  <si>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</si>
  <si>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</si>
  <si>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</si>
  <si>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</si>
  <si>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</si>
  <si>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</si>
  <si>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</si>
  <si>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</si>
  <si>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</si>
  <si>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</si>
  <si>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</si>
  <si>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</si>
  <si>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</si>
  <si>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</si>
  <si>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</si>
  <si>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</si>
  <si>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</si>
  <si>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</si>
  <si>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</si>
  <si>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</si>
  <si>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</si>
  <si>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</si>
  <si>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</si>
  <si>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</si>
  <si>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</si>
  <si>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</si>
  <si>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</si>
  <si>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</si>
  <si>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</si>
  <si>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</si>
  <si>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</si>
  <si>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</si>
  <si>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</si>
  <si>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</si>
  <si>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</si>
  <si>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</si>
  <si>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</si>
  <si>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</si>
  <si>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</si>
  <si>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</si>
  <si>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</si>
  <si>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</si>
  <si>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</si>
  <si>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</si>
  <si>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</si>
  <si>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</si>
  <si>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</si>
  <si>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</si>
  <si>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</si>
  <si>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</si>
  <si>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</si>
  <si>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</si>
  <si>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</si>
  <si>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</si>
  <si>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</si>
  <si>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</si>
  <si>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</si>
  <si>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</si>
  <si>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</si>
  <si>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</si>
  <si>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</si>
  <si>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</si>
  <si>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</si>
  <si>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</si>
  <si>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</si>
  <si>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</si>
  <si>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</si>
  <si>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</si>
  <si>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</si>
  <si>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</si>
  <si>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</si>
  <si>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</si>
  <si>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</si>
  <si>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</si>
  <si>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</si>
  <si>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</si>
  <si>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</si>
  <si>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</si>
  <si>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</si>
  <si>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</si>
  <si>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</si>
  <si>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</si>
  <si>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</si>
  <si>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</si>
  <si>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</si>
  <si>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</si>
  <si>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</si>
  <si>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</si>
  <si>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</si>
  <si>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</si>
  <si>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</si>
  <si>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</si>
  <si>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</si>
  <si>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</si>
  <si>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</si>
  <si>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</si>
  <si>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</si>
  <si>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</si>
  <si>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</si>
  <si>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</si>
  <si>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</si>
  <si>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</si>
  <si>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</si>
  <si>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</si>
  <si>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</si>
  <si>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</si>
  <si>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</si>
  <si>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</si>
  <si>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</si>
  <si>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</si>
  <si>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</si>
  <si>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</si>
  <si>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</si>
  <si>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</si>
  <si>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</si>
  <si>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</si>
  <si>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</si>
  <si>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</si>
  <si>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</si>
  <si>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</si>
  <si>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</si>
  <si>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</si>
  <si>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</si>
  <si>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</si>
  <si>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</si>
  <si>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</si>
  <si>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</si>
  <si>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</si>
  <si>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</si>
  <si>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</si>
  <si>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</si>
  <si>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</si>
  <si>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</si>
  <si>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</si>
  <si>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</si>
  <si>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</si>
  <si>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</si>
  <si>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</si>
  <si>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</si>
  <si>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</si>
  <si>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</si>
  <si>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</si>
  <si>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</si>
  <si>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</si>
  <si>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</si>
  <si>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</si>
  <si>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</si>
  <si>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</si>
  <si>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</si>
  <si>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</si>
  <si>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</si>
  <si>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</si>
  <si>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</si>
  <si>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</si>
  <si>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</si>
  <si>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</si>
  <si>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</si>
  <si>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</si>
  <si>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</si>
  <si>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</si>
  <si>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</si>
  <si>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</si>
  <si>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</si>
  <si>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</si>
  <si>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</si>
  <si>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</si>
  <si>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</si>
  <si>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</si>
  <si>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</si>
  <si>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</si>
  <si>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</si>
  <si>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</si>
  <si>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</si>
  <si>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</si>
  <si>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</si>
  <si>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</si>
  <si>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</si>
  <si>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</si>
  <si>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</si>
  <si>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</si>
  <si>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</si>
  <si>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</si>
  <si>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</si>
  <si>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</si>
  <si>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</si>
  <si>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</si>
  <si>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</si>
  <si>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</si>
  <si>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</si>
  <si>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</si>
  <si>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</si>
  <si>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</si>
  <si>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</si>
  <si>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</si>
  <si>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</si>
  <si>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</si>
  <si>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</si>
  <si>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</si>
  <si>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</si>
  <si>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</si>
  <si>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</si>
  <si>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</si>
  <si>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</si>
  <si>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</si>
  <si>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</si>
  <si>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</si>
  <si>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</si>
  <si>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</si>
  <si>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</si>
  <si>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</si>
  <si>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</si>
  <si>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</si>
  <si>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</si>
  <si>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</si>
  <si>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</si>
  <si>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</si>
  <si>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</si>
  <si>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</si>
  <si>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</si>
  <si>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</si>
  <si>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</si>
  <si>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</si>
  <si>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</si>
  <si>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</si>
  <si>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</si>
  <si>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</si>
  <si>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</si>
  <si>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</si>
  <si>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</si>
  <si>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</si>
  <si>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</si>
  <si>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</si>
  <si>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</si>
  <si>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</si>
  <si>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</si>
  <si>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</si>
  <si>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</si>
  <si>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</si>
  <si>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</si>
  <si>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</si>
  <si>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</si>
  <si>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</si>
  <si>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</si>
  <si>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</si>
  <si>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</si>
  <si>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</si>
  <si>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</si>
  <si>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</si>
  <si>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</si>
  <si>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</si>
  <si>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</si>
  <si>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</si>
  <si>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</si>
  <si>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</si>
  <si>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</si>
  <si>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</si>
  <si>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</si>
  <si>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</si>
  <si>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</si>
  <si>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</si>
  <si>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</si>
  <si>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</si>
  <si>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</si>
  <si>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</si>
  <si>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</si>
  <si>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</si>
  <si>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</si>
  <si>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</si>
  <si>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</si>
  <si>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</si>
  <si>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</si>
  <si>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</si>
  <si>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</si>
  <si>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</si>
  <si>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</si>
  <si>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</si>
  <si>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</si>
  <si>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</si>
  <si>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</si>
  <si>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</si>
  <si>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</si>
  <si>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</si>
  <si>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</si>
  <si>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</si>
  <si>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</si>
  <si>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</si>
  <si>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</si>
  <si>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</si>
  <si>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</si>
  <si>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</si>
  <si>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</si>
  <si>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</si>
  <si>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</si>
  <si>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</si>
  <si>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</si>
  <si>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</si>
  <si>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</si>
  <si>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</si>
  <si>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</si>
  <si>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</si>
  <si>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</si>
  <si>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</si>
  <si>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</si>
  <si>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</si>
  <si>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</si>
  <si>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</si>
  <si>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</si>
  <si>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</si>
  <si>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</si>
  <si>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</si>
  <si>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</si>
  <si>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</si>
  <si>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</si>
  <si>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</si>
  <si>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</si>
  <si>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</si>
  <si>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</si>
  <si>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</si>
  <si>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</si>
  <si>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</si>
  <si>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</si>
  <si>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</si>
  <si>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</si>
  <si>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</si>
  <si>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</si>
  <si>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</si>
  <si>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</si>
  <si>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</si>
  <si>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</si>
  <si>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</si>
  <si>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</si>
  <si>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</si>
  <si>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</si>
  <si>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</si>
  <si>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</si>
  <si>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</si>
  <si>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</si>
  <si>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</si>
  <si>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</si>
  <si>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</si>
  <si>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</si>
  <si>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</si>
  <si>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</si>
  <si>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</si>
  <si>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</si>
  <si>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</si>
  <si>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</si>
  <si>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</si>
  <si>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</si>
  <si>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</si>
  <si>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</si>
  <si>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</si>
  <si>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</si>
  <si>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</si>
  <si>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</si>
  <si>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</si>
  <si>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</si>
  <si>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</si>
  <si>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</si>
  <si>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</si>
  <si>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</si>
  <si>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</si>
  <si>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</si>
  <si>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</si>
  <si>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</si>
  <si>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</si>
  <si>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</si>
  <si>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</si>
  <si>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</si>
  <si>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</si>
  <si>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</si>
  <si>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</si>
  <si>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</si>
  <si>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</si>
  <si>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</si>
  <si>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</si>
  <si>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</si>
  <si>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</si>
  <si>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</si>
  <si>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</si>
  <si>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</si>
  <si>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</si>
  <si>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</si>
  <si>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</si>
  <si>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</si>
  <si>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</si>
  <si>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</si>
  <si>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</si>
  <si>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</si>
  <si>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</si>
  <si>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</si>
  <si>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</si>
  <si>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</si>
  <si>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</si>
  <si>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</si>
  <si>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</si>
  <si>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</si>
  <si>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</si>
  <si>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</si>
  <si>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</si>
  <si>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</si>
  <si>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</si>
  <si>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</si>
  <si>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</si>
  <si>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</si>
  <si>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</si>
  <si>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</si>
  <si>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</si>
  <si>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</si>
  <si>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</si>
  <si>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</si>
  <si>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</si>
  <si>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</si>
  <si>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</si>
  <si>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</si>
  <si>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</si>
  <si>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</si>
  <si>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</si>
  <si>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</si>
  <si>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</si>
  <si>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</si>
  <si>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</si>
  <si>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</si>
  <si>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</si>
  <si>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</si>
  <si>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</si>
  <si>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</si>
  <si>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</si>
  <si>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</si>
  <si>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</si>
  <si>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</si>
  <si>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</si>
  <si>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</si>
  <si>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</si>
  <si>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</si>
  <si>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</si>
  <si>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</si>
  <si>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</si>
  <si>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</si>
  <si>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</si>
  <si>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</si>
  <si>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</si>
  <si>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</si>
  <si>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</si>
  <si>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</si>
  <si>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</si>
  <si>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</si>
  <si>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</si>
  <si>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</si>
  <si>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</si>
  <si>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</si>
  <si>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</si>
  <si>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</si>
  <si>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</si>
  <si>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</si>
  <si>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</si>
  <si>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</si>
  <si>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</si>
  <si>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</si>
  <si>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</si>
  <si>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</si>
  <si>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</si>
  <si>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</si>
  <si>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</si>
  <si>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</si>
  <si>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</si>
  <si>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</si>
  <si>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</si>
  <si>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</si>
  <si>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</si>
  <si>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</si>
  <si>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</si>
  <si>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</si>
  <si>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</si>
  <si>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</si>
  <si>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</si>
  <si>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</si>
  <si>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</si>
  <si>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</si>
  <si>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</si>
  <si>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</si>
  <si>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</si>
  <si>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</si>
  <si>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</si>
  <si>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</si>
  <si>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</si>
  <si>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</si>
  <si>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</si>
  <si>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</si>
  <si>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</si>
  <si>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</si>
  <si>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</si>
  <si>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</si>
  <si>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</si>
  <si>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</si>
  <si>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</si>
  <si>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</si>
  <si>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</si>
  <si>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</si>
  <si>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</si>
  <si>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</si>
  <si>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</si>
  <si>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</si>
  <si>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</si>
  <si>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</si>
  <si>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</si>
  <si>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</si>
  <si>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</si>
  <si>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</si>
  <si>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</si>
  <si>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</si>
  <si>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</si>
  <si>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</si>
  <si>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</si>
  <si>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</si>
  <si>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</si>
  <si>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</si>
  <si>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</si>
  <si>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</si>
  <si>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</si>
  <si>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</si>
  <si>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</si>
  <si>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</si>
  <si>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</si>
  <si>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</si>
  <si>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</si>
  <si>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</si>
  <si>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</si>
  <si>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</si>
  <si>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</si>
  <si>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</si>
  <si>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</si>
  <si>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</si>
  <si>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</si>
  <si>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</si>
  <si>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</si>
  <si>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</si>
  <si>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</si>
  <si>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</si>
  <si>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</si>
  <si>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</si>
  <si>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</si>
  <si>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</si>
  <si>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</si>
  <si>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</si>
  <si>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</si>
  <si>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</si>
  <si>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</si>
  <si>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</si>
  <si>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</si>
  <si>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</si>
  <si>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</si>
  <si>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</si>
  <si>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</si>
  <si>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</si>
  <si>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</si>
  <si>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</si>
  <si>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</si>
  <si>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</si>
  <si>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</si>
  <si>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</si>
  <si>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</si>
  <si>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</si>
  <si>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</si>
  <si>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</si>
  <si>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</si>
  <si>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</si>
  <si>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</si>
  <si>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</si>
  <si>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</si>
  <si>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</si>
  <si>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</si>
  <si>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</si>
  <si>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</si>
  <si>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</si>
  <si>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</si>
  <si>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</si>
  <si>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</si>
  <si>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</si>
  <si>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</si>
  <si>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</si>
  <si>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</si>
  <si>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</si>
  <si>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</si>
  <si>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</si>
  <si>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</si>
  <si>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</si>
  <si>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</si>
  <si>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</si>
  <si>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</si>
  <si>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</si>
  <si>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</si>
  <si>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</si>
  <si>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</si>
  <si>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</si>
  <si>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</si>
  <si>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</si>
  <si>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</si>
  <si>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</si>
  <si>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</si>
  <si>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</si>
  <si>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</si>
  <si>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</si>
  <si>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</si>
  <si>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</si>
  <si>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</si>
  <si>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</si>
  <si>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</si>
  <si>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</si>
  <si>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</si>
  <si>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</si>
  <si>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</si>
  <si>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</si>
  <si>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</si>
  <si>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</si>
  <si>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</si>
  <si>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</si>
  <si>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</si>
  <si>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</si>
  <si>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</si>
  <si>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</si>
  <si>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</si>
  <si>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</si>
  <si>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</si>
  <si>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</si>
  <si>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</si>
  <si>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</si>
  <si>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</si>
  <si>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</si>
  <si>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</si>
  <si>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</si>
  <si>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</si>
  <si>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</si>
  <si>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</si>
  <si>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</si>
  <si>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</si>
  <si>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</si>
  <si>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</si>
  <si>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</si>
  <si>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</si>
  <si>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</si>
  <si>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</si>
  <si>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</si>
  <si>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</si>
  <si>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</si>
  <si>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</si>
  <si>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</si>
  <si>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</si>
  <si>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</si>
  <si>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</si>
  <si>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</si>
  <si>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</si>
  <si>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</si>
  <si>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</si>
  <si>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</si>
  <si>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</si>
  <si>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</si>
  <si>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</si>
  <si>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</si>
  <si>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</si>
  <si>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</si>
  <si>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</si>
  <si>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</si>
  <si>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</si>
  <si>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</si>
  <si>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</si>
  <si>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</si>
  <si>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</si>
  <si>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</si>
  <si>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</si>
  <si>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</si>
  <si>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</si>
  <si>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</si>
  <si>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</si>
  <si>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</si>
  <si>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</si>
  <si>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</si>
  <si>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</si>
  <si>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</si>
  <si>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</si>
  <si>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</si>
  <si>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</si>
  <si>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</si>
  <si>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</si>
  <si>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</si>
  <si>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</si>
  <si>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</si>
  <si>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</si>
  <si>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</si>
  <si>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</si>
  <si>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</si>
  <si>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</si>
  <si>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</si>
  <si>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</si>
  <si>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</si>
  <si>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</si>
  <si>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</si>
  <si>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</si>
  <si>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</si>
  <si>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</si>
  <si>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</si>
  <si>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</si>
  <si>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</si>
  <si>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</si>
  <si>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</si>
  <si>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</si>
  <si>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</si>
  <si>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</si>
  <si>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</si>
  <si>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</si>
  <si>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</si>
  <si>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</si>
  <si>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</si>
  <si>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</si>
  <si>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</si>
  <si>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</si>
  <si>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</si>
  <si>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</si>
  <si>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</si>
  <si>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</si>
  <si>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</si>
  <si>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</si>
  <si>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</si>
  <si>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</si>
  <si>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</si>
  <si>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</si>
  <si>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</si>
  <si>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</si>
  <si>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</si>
  <si>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</si>
  <si>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</si>
  <si>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</si>
  <si>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</si>
  <si>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</si>
  <si>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</si>
  <si>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</si>
  <si>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</si>
  <si>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</si>
  <si>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</si>
  <si>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</si>
  <si>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</si>
  <si>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</si>
  <si>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</si>
  <si>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</si>
  <si>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</si>
  <si>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</si>
  <si>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</si>
  <si>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</si>
  <si>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</si>
  <si>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</si>
  <si>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</si>
  <si>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</si>
  <si>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</si>
  <si>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</si>
  <si>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</si>
  <si>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</si>
  <si>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</si>
  <si>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</si>
  <si>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</si>
  <si>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</si>
  <si>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</si>
  <si>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</si>
  <si>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</si>
  <si>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</si>
  <si>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</si>
  <si>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</si>
  <si>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</si>
  <si>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</si>
  <si>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</si>
  <si>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</si>
  <si>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</si>
  <si>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</si>
  <si>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</si>
  <si>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</si>
  <si>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</si>
  <si>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</si>
  <si>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</si>
  <si>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</si>
  <si>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</si>
  <si>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</si>
  <si>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</si>
  <si>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</si>
  <si>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</si>
  <si>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</si>
  <si>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</si>
  <si>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</si>
  <si>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</si>
  <si>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</si>
  <si>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</si>
  <si>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</si>
  <si>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</si>
  <si>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</si>
  <si>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</si>
  <si>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</si>
  <si>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</si>
  <si>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</si>
  <si>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</si>
  <si>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</si>
  <si>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</si>
  <si>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</si>
  <si>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</si>
  <si>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</si>
  <si>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</si>
  <si>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</si>
  <si>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</si>
  <si>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</si>
  <si>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</si>
  <si>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</si>
  <si>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</si>
  <si>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</si>
  <si>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</si>
  <si>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</si>
  <si>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</si>
  <si>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</si>
  <si>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</si>
  <si>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</si>
  <si>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</si>
  <si>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</si>
  <si>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</si>
  <si>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</si>
  <si>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</si>
  <si>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</si>
  <si>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</si>
  <si>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</si>
  <si>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</si>
  <si>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</si>
  <si>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</si>
  <si>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</si>
  <si>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</si>
  <si>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</si>
  <si>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</si>
  <si>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</si>
  <si>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</si>
  <si>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</si>
  <si>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</si>
  <si>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</si>
  <si>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</si>
  <si>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</si>
  <si>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</si>
  <si>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</si>
  <si>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</si>
  <si>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</si>
  <si>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</si>
  <si>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</si>
  <si>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</si>
  <si>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</si>
  <si>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</si>
  <si>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</si>
  <si>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</si>
  <si>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</si>
  <si>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</si>
  <si>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</si>
  <si>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</si>
  <si>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</si>
  <si>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</si>
  <si>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</si>
  <si>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</si>
  <si>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</si>
  <si>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</si>
  <si>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</si>
  <si>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</si>
  <si>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</si>
  <si>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</si>
  <si>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</si>
  <si>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</si>
  <si>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</si>
  <si>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</si>
  <si>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</si>
  <si>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</si>
  <si>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</si>
  <si>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</si>
  <si>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</si>
  <si>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</si>
  <si>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</si>
  <si>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</si>
  <si>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</si>
  <si>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</si>
  <si>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</si>
  <si>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</si>
  <si>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</si>
  <si>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</si>
  <si>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</si>
  <si>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</si>
  <si>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</si>
  <si>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</si>
  <si>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</si>
  <si>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</si>
  <si>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</si>
  <si>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</si>
  <si>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</si>
  <si>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</si>
  <si>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</si>
  <si>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</si>
  <si>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</si>
  <si>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</si>
  <si>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</si>
  <si>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</si>
  <si>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</si>
  <si>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</si>
  <si>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</si>
  <si>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</si>
  <si>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</si>
  <si>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</si>
  <si>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</si>
  <si>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</si>
  <si>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</si>
  <si>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</si>
  <si>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</si>
  <si>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</si>
  <si>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</si>
  <si>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</si>
  <si>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</si>
  <si>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</si>
  <si>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</si>
  <si>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</si>
  <si>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</si>
  <si>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</si>
  <si>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</si>
  <si>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</si>
  <si>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</si>
  <si>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</si>
  <si>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</si>
  <si>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</si>
  <si>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</si>
  <si>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</si>
  <si>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</si>
  <si>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</si>
  <si>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</si>
  <si>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</si>
  <si>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</si>
  <si>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</si>
  <si>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</si>
  <si>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</si>
  <si>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</si>
  <si>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</si>
  <si>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</si>
  <si>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</si>
  <si>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</si>
  <si>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</si>
  <si>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</si>
  <si>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</si>
  <si>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</si>
  <si>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</si>
  <si>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</si>
  <si>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</si>
  <si>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</si>
  <si>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</si>
  <si>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</si>
  <si>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</si>
  <si>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</si>
  <si>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</si>
  <si>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</si>
  <si>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</si>
  <si>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</si>
  <si>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</si>
  <si>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</si>
  <si>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</si>
  <si>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</si>
  <si>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</si>
  <si>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</si>
  <si>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</si>
  <si>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</si>
  <si>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</si>
  <si>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</si>
  <si>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</si>
  <si>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</si>
  <si>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</si>
  <si>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</si>
  <si>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</si>
  <si>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</si>
  <si>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</si>
  <si>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</si>
  <si>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</si>
  <si>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</si>
  <si>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</si>
  <si>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</si>
  <si>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</si>
  <si>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</si>
  <si>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</si>
  <si>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</si>
  <si>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</si>
  <si>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</si>
  <si>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</si>
  <si>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</si>
  <si>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</si>
  <si>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</si>
  <si>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</si>
  <si>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</si>
  <si>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</si>
  <si>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</si>
  <si>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</si>
  <si>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</si>
  <si>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</si>
  <si>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</si>
  <si>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</si>
  <si>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</si>
  <si>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</si>
  <si>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</si>
  <si>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</si>
  <si>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</si>
  <si>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</si>
  <si>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</si>
  <si>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</si>
  <si>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</si>
  <si>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</si>
  <si>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</si>
  <si>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</si>
  <si>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</si>
  <si>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</si>
  <si>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</si>
  <si>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</si>
  <si>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</si>
  <si>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</si>
  <si>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</si>
  <si>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</si>
  <si>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</si>
  <si>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</si>
  <si>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</si>
  <si>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</si>
  <si>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</si>
  <si>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</si>
  <si>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</si>
  <si>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</si>
  <si>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</si>
  <si>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</si>
  <si>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</si>
  <si>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</si>
  <si>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</si>
  <si>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</si>
  <si>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</si>
  <si>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</si>
  <si>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</si>
  <si>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</si>
  <si>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</si>
  <si>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</si>
  <si>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</si>
  <si>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</si>
  <si>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</si>
  <si>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</si>
  <si>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</si>
  <si>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</si>
  <si>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</si>
  <si>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</si>
  <si>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</si>
  <si>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</si>
  <si>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</si>
  <si>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</si>
  <si>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</si>
  <si>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</si>
  <si>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</si>
  <si>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</si>
  <si>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</si>
  <si>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</si>
  <si>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</si>
  <si>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</si>
  <si>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</si>
  <si>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</si>
  <si>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</si>
  <si>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</si>
  <si>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</si>
  <si>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</si>
  <si>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</si>
  <si>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</si>
  <si>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</si>
  <si>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</si>
  <si>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</si>
  <si>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</si>
  <si>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</si>
  <si>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</si>
  <si>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</si>
  <si>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</si>
  <si>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</si>
  <si>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</si>
  <si>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</si>
  <si>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</si>
  <si>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</si>
  <si>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</si>
  <si>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</si>
  <si>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</si>
  <si>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</si>
  <si>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</si>
  <si>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</si>
  <si>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</si>
  <si>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</si>
  <si>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</si>
  <si>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</si>
  <si>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</si>
  <si>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</si>
  <si>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</si>
  <si>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</si>
  <si>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</si>
  <si>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</si>
  <si>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</si>
  <si>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</si>
  <si>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</si>
  <si>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</si>
  <si>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</si>
  <si>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</si>
  <si>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</si>
  <si>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</si>
  <si>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</si>
  <si>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</si>
  <si>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</si>
  <si>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</si>
  <si>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</si>
  <si>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</si>
  <si>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</si>
  <si>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</si>
  <si>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</si>
  <si>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</si>
  <si>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</si>
  <si>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</si>
  <si>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</si>
  <si>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</si>
  <si>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</si>
  <si>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</si>
  <si>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</si>
  <si>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</si>
  <si>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</si>
  <si>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</si>
  <si>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</si>
  <si>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</si>
  <si>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</si>
  <si>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</si>
  <si>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</si>
  <si>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</si>
  <si>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</si>
  <si>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</si>
  <si>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</si>
  <si>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</si>
  <si>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</si>
  <si>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</si>
  <si>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</si>
  <si>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</si>
  <si>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</si>
  <si>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</si>
  <si>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</si>
  <si>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</si>
  <si>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</si>
  <si>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</si>
  <si>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</si>
  <si>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</si>
  <si>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</si>
  <si>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</si>
  <si>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</si>
  <si>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</si>
  <si>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</si>
  <si>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</si>
  <si>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</si>
  <si>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</si>
  <si>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</si>
  <si>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</si>
  <si>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</si>
  <si>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</si>
  <si>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</si>
  <si>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</si>
  <si>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</si>
  <si>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</si>
  <si>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</si>
  <si>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</si>
  <si>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</si>
  <si>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</si>
  <si>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</si>
  <si>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</si>
  <si>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</si>
  <si>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</si>
  <si>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</si>
  <si>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</si>
  <si>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</si>
  <si>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</si>
  <si>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</si>
  <si>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</si>
  <si>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</si>
  <si>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</si>
  <si>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</si>
  <si>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</si>
  <si>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</si>
  <si>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</si>
  <si>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</si>
  <si>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</si>
  <si>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</si>
  <si>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</si>
  <si>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</si>
  <si>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</si>
  <si>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</si>
  <si>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</si>
  <si>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</si>
  <si>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</si>
  <si>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</si>
  <si>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</si>
  <si>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</si>
  <si>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</si>
  <si>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</si>
  <si>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</si>
  <si>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</si>
  <si>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</si>
  <si>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</si>
  <si>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</si>
  <si>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</si>
  <si>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</si>
  <si>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</si>
  <si>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</si>
  <si>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</si>
  <si>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</si>
  <si>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</si>
  <si>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</si>
  <si>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</si>
  <si>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</si>
  <si>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</si>
  <si>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</si>
  <si>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</si>
  <si>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</si>
  <si>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</si>
  <si>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</si>
  <si>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</si>
  <si>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</si>
  <si>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</si>
  <si>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</si>
  <si>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</si>
  <si>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</si>
  <si>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</si>
  <si>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</si>
  <si>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</si>
  <si>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</si>
  <si>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</si>
  <si>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</si>
  <si>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</si>
  <si>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</si>
  <si>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</si>
  <si>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</si>
  <si>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</si>
  <si>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</si>
  <si>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</si>
  <si>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</si>
  <si>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</si>
  <si>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</si>
  <si>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</si>
  <si>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</si>
  <si>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</si>
  <si>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</si>
  <si>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</si>
  <si>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</si>
  <si>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</si>
  <si>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</si>
  <si>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</si>
  <si>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</si>
  <si>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</si>
  <si>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</si>
  <si>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</si>
  <si>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</si>
  <si>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</si>
  <si>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</si>
  <si>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</si>
  <si>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</si>
  <si>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</si>
  <si>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</si>
  <si>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</si>
  <si>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</si>
  <si>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</si>
  <si>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</si>
  <si>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</si>
  <si>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</si>
  <si>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</si>
  <si>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</si>
  <si>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</si>
  <si>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</si>
  <si>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</si>
  <si>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</si>
  <si>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</si>
  <si>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</si>
  <si>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</si>
  <si>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</si>
  <si>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</si>
  <si>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</si>
  <si>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</si>
  <si>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</si>
  <si>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</si>
  <si>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</si>
  <si>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</si>
  <si>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</si>
  <si>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</si>
  <si>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</si>
  <si>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</si>
  <si>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</si>
  <si>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</si>
  <si>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</si>
  <si>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</si>
  <si>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</si>
  <si>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</si>
  <si>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</si>
  <si>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</si>
  <si>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</si>
  <si>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</si>
  <si>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</si>
  <si>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</si>
  <si>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</si>
  <si>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</si>
  <si>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</si>
  <si>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</si>
  <si>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</si>
  <si>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</si>
  <si>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</si>
  <si>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</si>
  <si>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</si>
  <si>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</si>
  <si>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</si>
  <si>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</si>
  <si>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</si>
  <si>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</si>
  <si>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</si>
  <si>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</si>
  <si>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</si>
  <si>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</si>
  <si>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</si>
  <si>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</si>
  <si>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</si>
  <si>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</si>
  <si>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</si>
  <si>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</si>
  <si>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</si>
  <si>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</si>
  <si>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</si>
  <si>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</si>
  <si>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</si>
  <si>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</si>
  <si>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</si>
  <si>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</si>
  <si>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</si>
  <si>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</si>
  <si>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</si>
  <si>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</si>
  <si>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</si>
  <si>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</si>
  <si>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</si>
  <si>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</si>
  <si>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</si>
  <si>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</si>
  <si>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</si>
  <si>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</si>
  <si>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</si>
  <si>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</si>
  <si>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</si>
  <si>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</si>
  <si>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</si>
  <si>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</si>
  <si>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</si>
  <si>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</si>
  <si>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</si>
  <si>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</si>
  <si>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</si>
  <si>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</si>
  <si>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</si>
  <si>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</si>
  <si>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</si>
  <si>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</si>
  <si>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</si>
  <si>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</si>
  <si>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</si>
  <si>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</si>
  <si>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</si>
  <si>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</si>
  <si>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</si>
  <si>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</si>
  <si>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</si>
  <si>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</si>
  <si>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</si>
  <si>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</si>
  <si>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</si>
  <si>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</si>
  <si>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</si>
  <si>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</si>
  <si>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</si>
  <si>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</si>
  <si>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</si>
  <si>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</si>
  <si>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</si>
  <si>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</si>
  <si>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</si>
  <si>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</si>
  <si>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</si>
  <si>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</si>
  <si>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</si>
  <si>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</si>
  <si>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</si>
  <si>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</si>
  <si>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</si>
  <si>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</si>
  <si>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</si>
  <si>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</si>
  <si>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</si>
  <si>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</si>
  <si>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</si>
  <si>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</si>
  <si>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</si>
  <si>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</si>
  <si>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</si>
  <si>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</si>
  <si>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</si>
  <si>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</si>
  <si>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</si>
  <si>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</si>
  <si>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</si>
  <si>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</si>
  <si>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</si>
  <si>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</si>
  <si>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</si>
  <si>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</si>
  <si>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</si>
  <si>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</si>
  <si>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</si>
  <si>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</si>
  <si>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</si>
  <si>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</si>
  <si>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</si>
  <si>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</si>
  <si>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</si>
  <si>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</si>
  <si>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</si>
  <si>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</si>
  <si>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</si>
  <si>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</si>
  <si>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</si>
  <si>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</si>
  <si>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</si>
  <si>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</si>
  <si>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</si>
  <si>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</si>
  <si>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</si>
  <si>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</si>
  <si>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</si>
  <si>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</si>
  <si>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</si>
  <si>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</si>
  <si>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</si>
  <si>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</si>
  <si>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</si>
  <si>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</si>
  <si>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</si>
  <si>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</si>
  <si>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</si>
  <si>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</si>
  <si>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</si>
  <si>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</si>
  <si>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</si>
  <si>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</si>
  <si>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</si>
  <si>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</si>
  <si>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</si>
  <si>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</si>
  <si>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</si>
  <si>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</si>
  <si>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</si>
  <si>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</si>
  <si>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</si>
  <si>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</si>
  <si>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</si>
  <si>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</si>
  <si>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</si>
  <si>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</si>
  <si>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</si>
  <si>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</si>
  <si>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</si>
  <si>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</si>
  <si>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</si>
  <si>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</si>
  <si>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</si>
  <si>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</si>
  <si>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</si>
  <si>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</si>
  <si>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</si>
  <si>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</si>
  <si>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</si>
  <si>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</si>
  <si>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</si>
  <si>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</si>
  <si>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</si>
  <si>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</si>
  <si>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</si>
  <si>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</si>
  <si>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</si>
  <si>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</si>
  <si>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</si>
  <si>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</si>
  <si>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</si>
  <si>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</si>
  <si>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</si>
  <si>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</si>
  <si>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</si>
  <si>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</si>
  <si>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</si>
  <si>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</si>
  <si>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</si>
  <si>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</si>
  <si>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</si>
  <si>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</si>
  <si>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</si>
  <si>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</si>
  <si>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</si>
  <si>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</si>
  <si>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</si>
  <si>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</si>
  <si>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</si>
  <si>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</si>
  <si>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</si>
  <si>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</si>
  <si>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</si>
  <si>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</si>
  <si>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</si>
  <si>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</si>
  <si>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</si>
  <si>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</si>
  <si>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</si>
  <si>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</si>
  <si>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</si>
  <si>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</si>
  <si>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</si>
  <si>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</si>
  <si>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</si>
  <si>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</si>
  <si>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</si>
  <si>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</si>
  <si>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</si>
  <si>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</si>
  <si>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</si>
  <si>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</si>
  <si>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</si>
  <si>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</si>
  <si>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</si>
  <si>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</si>
  <si>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</si>
  <si>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</si>
  <si>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</si>
  <si>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</si>
  <si>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</si>
  <si>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</si>
  <si>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</si>
  <si>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</si>
  <si>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</si>
  <si>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</si>
  <si>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</si>
  <si>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</si>
  <si>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</si>
  <si>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</si>
  <si>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</si>
  <si>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</si>
  <si>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</si>
  <si>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</si>
  <si>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</si>
  <si>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</si>
  <si>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</si>
  <si>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</si>
  <si>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</si>
  <si>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</si>
  <si>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</si>
  <si>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</si>
  <si>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</si>
  <si>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</si>
  <si>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</si>
  <si>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</si>
  <si>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</si>
  <si>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</si>
  <si>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</si>
  <si>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</si>
  <si>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</si>
  <si>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</si>
  <si>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</si>
  <si>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</si>
  <si>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</si>
  <si>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</si>
  <si>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</si>
  <si>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</si>
  <si>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</si>
  <si>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</si>
  <si>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</si>
  <si>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</si>
  <si>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</si>
  <si>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</si>
  <si>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</si>
  <si>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</si>
  <si>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</si>
  <si>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</si>
  <si>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</si>
  <si>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</si>
  <si>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</si>
  <si>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</si>
  <si>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</si>
  <si>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</si>
  <si>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</si>
  <si>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</si>
  <si>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</si>
  <si>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</si>
  <si>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</si>
  <si>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</si>
  <si>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</si>
  <si>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</si>
  <si>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</si>
  <si>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</si>
  <si>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</si>
  <si>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</si>
  <si>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</si>
  <si>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</si>
  <si>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</si>
  <si>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</si>
  <si>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</si>
  <si>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</si>
  <si>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</si>
  <si>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</si>
  <si>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</si>
  <si>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</si>
  <si>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</si>
  <si>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</si>
  <si>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</si>
  <si>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</si>
  <si>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</si>
  <si>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</si>
  <si>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</si>
  <si>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</si>
  <si>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</si>
  <si>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</si>
  <si>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</si>
  <si>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</si>
  <si>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</si>
  <si>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</si>
  <si>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</si>
  <si>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</si>
  <si>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</si>
  <si>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</si>
  <si>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</si>
  <si>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</si>
  <si>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</si>
  <si>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</si>
  <si>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</si>
  <si>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</si>
  <si>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</si>
  <si>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</si>
  <si>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</si>
  <si>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</si>
  <si>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</si>
  <si>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</si>
  <si>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</si>
  <si>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</si>
  <si>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</si>
  <si>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</si>
  <si>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</si>
  <si>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</si>
  <si>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</si>
  <si>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</si>
  <si>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</si>
  <si>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</si>
  <si>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</si>
  <si>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</si>
  <si>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</si>
  <si>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</si>
  <si>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</si>
  <si>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</si>
  <si>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</si>
  <si>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</si>
  <si>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</si>
  <si>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</si>
  <si>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</si>
  <si>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</si>
  <si>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</si>
  <si>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</si>
  <si>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</si>
  <si>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</si>
  <si>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</si>
  <si>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</si>
  <si>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</si>
  <si>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</si>
  <si>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</si>
  <si>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</si>
  <si>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</si>
  <si>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</si>
  <si>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</si>
  <si>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</si>
  <si>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</si>
  <si>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</si>
  <si>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</si>
  <si>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</si>
  <si>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</si>
  <si>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</si>
  <si>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</si>
  <si>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</si>
  <si>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</si>
  <si>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</si>
  <si>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</si>
  <si>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</si>
  <si>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</si>
  <si>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</si>
  <si>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</si>
  <si>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</si>
  <si>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</si>
  <si>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</si>
  <si>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</si>
  <si>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</si>
  <si>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</si>
  <si>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</si>
  <si>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</si>
  <si>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</si>
  <si>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</si>
  <si>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</si>
  <si>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</si>
  <si>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</si>
  <si>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</si>
  <si>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</si>
  <si>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</si>
  <si>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</si>
  <si>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</si>
  <si>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</si>
  <si>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</si>
  <si>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</si>
  <si>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</si>
  <si>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</si>
  <si>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</si>
  <si>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</si>
  <si>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</si>
  <si>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</si>
  <si>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</si>
  <si>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</si>
  <si>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</si>
  <si>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</si>
  <si>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</si>
  <si>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</si>
  <si>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</si>
  <si>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</si>
  <si>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</si>
  <si>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</si>
  <si>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</si>
  <si>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</si>
  <si>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</si>
  <si>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</si>
  <si>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</si>
  <si>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</si>
  <si>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</si>
  <si>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</si>
  <si>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</si>
  <si>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</si>
  <si>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</si>
  <si>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</si>
  <si>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</si>
  <si>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</si>
  <si>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</si>
  <si>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</si>
  <si>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</si>
  <si>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</si>
  <si>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</si>
  <si>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</si>
  <si>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</si>
  <si>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</si>
  <si>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</si>
  <si>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</si>
  <si>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</si>
  <si>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</si>
  <si>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</si>
  <si>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</si>
  <si>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</si>
  <si>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</si>
  <si>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</si>
  <si>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</si>
  <si>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</si>
  <si>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</si>
  <si>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</si>
  <si>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</si>
  <si>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</si>
  <si>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</si>
  <si>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</si>
  <si>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</si>
  <si>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</si>
  <si>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</si>
  <si>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</si>
  <si>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</si>
  <si>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</si>
  <si>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</si>
  <si>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</si>
  <si>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</si>
  <si>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</si>
  <si>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</si>
  <si>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</si>
  <si>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</si>
  <si>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</si>
  <si>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</si>
  <si>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</si>
  <si>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</si>
  <si>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</si>
  <si>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</si>
  <si>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</si>
  <si>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</si>
  <si>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</si>
  <si>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</si>
  <si>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</si>
  <si>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</si>
  <si>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</si>
  <si>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</si>
  <si>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</si>
  <si>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</si>
  <si>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</si>
  <si>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</si>
  <si>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</si>
  <si>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</si>
  <si>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</si>
  <si>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</si>
  <si>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</si>
  <si>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</si>
  <si>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</si>
  <si>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</si>
  <si>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</si>
  <si>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</si>
  <si>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</si>
  <si>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</si>
  <si>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</si>
  <si>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</si>
  <si>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</si>
  <si>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</si>
  <si>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</si>
  <si>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</si>
  <si>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</si>
  <si>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</si>
  <si>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</si>
  <si>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</si>
  <si>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</si>
  <si>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</si>
  <si>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</si>
  <si>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</si>
  <si>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</si>
  <si>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</si>
  <si>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</si>
  <si>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</si>
  <si>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</si>
  <si>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</si>
  <si>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</si>
  <si>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</si>
  <si>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</si>
  <si>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</si>
  <si>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</si>
  <si>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</si>
  <si>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</si>
  <si>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</si>
  <si>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</si>
  <si>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</si>
  <si>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</si>
  <si>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</si>
  <si>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</si>
  <si>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</si>
  <si>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</si>
  <si>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</si>
  <si>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</si>
  <si>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</si>
  <si>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</si>
  <si>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</si>
  <si>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</si>
  <si>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</si>
  <si>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</si>
  <si>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</si>
  <si>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</si>
  <si>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</si>
  <si>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</si>
  <si>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</si>
  <si>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</si>
  <si>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</si>
  <si>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</si>
  <si>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</si>
  <si>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</si>
  <si>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</si>
  <si>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</si>
  <si>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</si>
  <si>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</si>
  <si>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</si>
  <si>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</si>
  <si>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</si>
  <si>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</si>
  <si>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</si>
  <si>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</si>
  <si>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</si>
  <si>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</si>
  <si>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</si>
  <si>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</si>
  <si>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</si>
  <si>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</si>
  <si>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</si>
  <si>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</si>
  <si>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</si>
  <si>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</si>
  <si>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</si>
  <si>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</si>
  <si>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</si>
  <si>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</si>
  <si>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</si>
  <si>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</si>
  <si>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</si>
  <si>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</si>
  <si>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</si>
  <si>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</si>
  <si>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</si>
  <si>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</si>
  <si>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</si>
  <si>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</si>
  <si>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</si>
  <si>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</si>
  <si>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</si>
  <si>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</si>
  <si>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</si>
  <si>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</si>
  <si>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</si>
  <si>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</si>
  <si>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</si>
  <si>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</si>
  <si>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</si>
  <si>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</si>
  <si>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</si>
  <si>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</si>
  <si>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</si>
  <si>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</si>
  <si>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</si>
  <si>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</si>
  <si>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</si>
  <si>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</si>
  <si>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</si>
  <si>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</si>
  <si>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</si>
  <si>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</si>
  <si>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</si>
  <si>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</si>
  <si>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</si>
  <si>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</si>
  <si>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</si>
  <si>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</si>
  <si>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</si>
  <si>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</si>
  <si>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</si>
  <si>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</si>
  <si>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</si>
  <si>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</si>
  <si>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</si>
  <si>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</si>
  <si>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</si>
  <si>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</si>
  <si>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</si>
  <si>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</si>
  <si>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</si>
  <si>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</si>
  <si>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</si>
  <si>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</si>
  <si>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</si>
  <si>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</si>
  <si>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</si>
  <si>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</si>
  <si>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</si>
  <si>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</si>
  <si>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</si>
  <si>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</si>
  <si>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</si>
  <si>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</si>
  <si>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</si>
  <si>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</si>
  <si>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</si>
  <si>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</si>
  <si>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</si>
  <si>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</si>
  <si>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</si>
  <si>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</si>
  <si>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</si>
  <si>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</si>
  <si>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</si>
  <si>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</si>
  <si>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</si>
  <si>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</si>
  <si>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</si>
  <si>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</si>
  <si>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</si>
  <si>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</si>
  <si>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</si>
  <si>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</si>
  <si>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</si>
  <si>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</si>
  <si>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</si>
  <si>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</si>
  <si>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</si>
  <si>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</si>
  <si>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</si>
  <si>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</si>
  <si>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</si>
  <si>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</si>
  <si>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</si>
  <si>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</si>
  <si>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</si>
  <si>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</si>
  <si>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</si>
  <si>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</si>
  <si>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</si>
  <si>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</si>
  <si>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</si>
  <si>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</si>
  <si>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</si>
  <si>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</si>
  <si>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</si>
  <si>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</si>
  <si>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</si>
  <si>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</si>
  <si>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</si>
  <si>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</si>
  <si>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</si>
  <si>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</si>
  <si>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</si>
  <si>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</si>
  <si>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</si>
  <si>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</si>
  <si>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</si>
  <si>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</si>
  <si>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</si>
  <si>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</si>
  <si>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</si>
  <si>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</si>
  <si>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</si>
  <si>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</si>
  <si>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</si>
  <si>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</si>
  <si>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</si>
  <si>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</si>
  <si>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</si>
  <si>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</si>
  <si>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</si>
  <si>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</si>
  <si>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</si>
  <si>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</si>
  <si>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</si>
  <si>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</si>
  <si>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</si>
  <si>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</si>
  <si>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</si>
  <si>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</si>
  <si>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</si>
  <si>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</si>
  <si>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</si>
  <si>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</si>
  <si>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</si>
  <si>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</si>
  <si>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</si>
  <si>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</si>
  <si>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</si>
  <si>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</si>
  <si>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</si>
  <si>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</si>
  <si>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</si>
  <si>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</si>
  <si>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</si>
  <si>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</si>
  <si>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</si>
  <si>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</si>
  <si>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</si>
  <si>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</si>
  <si>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</si>
  <si>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</si>
  <si>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</si>
  <si>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</si>
  <si>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</si>
  <si>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</si>
  <si>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</si>
  <si>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</si>
  <si>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</si>
  <si>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</si>
  <si>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</si>
  <si>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</si>
  <si>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</si>
  <si>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</si>
  <si>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</si>
  <si>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</si>
  <si>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</si>
  <si>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</si>
  <si>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</si>
  <si>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</si>
  <si>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</si>
  <si>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</si>
  <si>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</si>
  <si>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</si>
  <si>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</si>
  <si>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</si>
  <si>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</si>
  <si>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</si>
  <si>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</si>
  <si>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</si>
  <si>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</si>
  <si>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</si>
  <si>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</si>
  <si>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</si>
  <si>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</si>
  <si>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</si>
  <si>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</si>
  <si>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</si>
  <si>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</si>
  <si>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</si>
  <si>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</si>
  <si>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</si>
  <si>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</si>
  <si>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</si>
  <si>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</si>
  <si>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</si>
  <si>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</si>
  <si>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</si>
  <si>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</si>
  <si>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</si>
  <si>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</si>
  <si>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</si>
  <si>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</si>
  <si>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</si>
  <si>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</si>
  <si>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</si>
  <si>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</si>
  <si>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</si>
  <si>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</si>
  <si>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</si>
  <si>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</si>
  <si>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</si>
  <si>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</si>
  <si>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</si>
  <si>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</si>
  <si>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</si>
  <si>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</si>
  <si>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</si>
  <si>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</si>
  <si>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</si>
  <si>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</si>
  <si>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</si>
  <si>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</si>
  <si>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</si>
  <si>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</si>
  <si>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</si>
  <si>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</si>
  <si>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</si>
  <si>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</si>
  <si>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</si>
  <si>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</si>
  <si>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</si>
  <si>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</si>
  <si>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</si>
  <si>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</si>
  <si>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</si>
  <si>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</si>
  <si>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</si>
  <si>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</si>
  <si>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</si>
  <si>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</si>
  <si>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</si>
  <si>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</si>
  <si>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</si>
  <si>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</si>
  <si>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</si>
  <si>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</si>
  <si>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</si>
  <si>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</si>
  <si>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</si>
  <si>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</si>
  <si>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</si>
  <si>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</si>
  <si>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</si>
  <si>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</si>
  <si>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</si>
  <si>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</si>
  <si>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</si>
  <si>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</si>
  <si>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</si>
  <si>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</si>
  <si>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</si>
  <si>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</si>
  <si>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</si>
  <si>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</si>
  <si>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</si>
  <si>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</si>
  <si>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</si>
  <si>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</si>
  <si>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</si>
  <si>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</si>
  <si>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</si>
  <si>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</si>
  <si>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</si>
  <si>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</si>
  <si>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</si>
  <si>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</si>
  <si>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</si>
  <si>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</si>
  <si>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</si>
  <si>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</si>
  <si>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</si>
  <si>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</si>
  <si>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</si>
  <si>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</si>
  <si>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</si>
  <si>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</si>
  <si>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</si>
  <si>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</si>
  <si>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</si>
  <si>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</si>
  <si>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</si>
  <si>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</si>
  <si>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</si>
  <si>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</si>
  <si>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</si>
  <si>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</si>
  <si>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</si>
  <si>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</si>
  <si>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</si>
  <si>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</si>
  <si>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</si>
  <si>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</si>
  <si>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</si>
  <si>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</si>
  <si>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</si>
  <si>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</si>
  <si>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</si>
  <si>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</si>
  <si>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</si>
  <si>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</si>
  <si>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</si>
  <si>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</si>
  <si>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</si>
  <si>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</si>
  <si>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</si>
  <si>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</si>
  <si>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</si>
  <si>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</si>
  <si>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</si>
  <si>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</si>
  <si>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</si>
  <si>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</si>
  <si>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</si>
  <si>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</si>
  <si>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</si>
  <si>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</si>
  <si>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</si>
  <si>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</si>
  <si>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</si>
  <si>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</si>
  <si>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</si>
  <si>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</si>
  <si>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</si>
  <si>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</si>
  <si>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</si>
  <si>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</si>
  <si>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</si>
  <si>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</si>
  <si>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</si>
  <si>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</si>
  <si>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</si>
  <si>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</si>
  <si>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</si>
  <si>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</si>
  <si>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</si>
  <si>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</si>
  <si>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</si>
  <si>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</si>
  <si>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</si>
  <si>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</si>
  <si>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</si>
  <si>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</si>
  <si>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</si>
  <si>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</si>
  <si>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</si>
  <si>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</si>
  <si>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</si>
  <si>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</si>
  <si>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</si>
  <si>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</si>
  <si>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</si>
  <si>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</si>
  <si>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</si>
  <si>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</si>
  <si>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</si>
  <si>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</si>
  <si>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</si>
  <si>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</si>
  <si>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</si>
  <si>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</si>
  <si>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</si>
  <si>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</si>
  <si>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</si>
  <si>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</si>
  <si>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</si>
  <si>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</si>
  <si>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</si>
  <si>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</si>
  <si>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</si>
  <si>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</si>
  <si>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</si>
  <si>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</si>
  <si>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</si>
  <si>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</si>
  <si>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</si>
  <si>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</si>
  <si>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</si>
  <si>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</si>
  <si>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</si>
  <si>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</si>
  <si>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</si>
  <si>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</si>
  <si>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</si>
  <si>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</si>
  <si>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</si>
  <si>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</si>
  <si>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</si>
  <si>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</si>
  <si>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</si>
  <si>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</si>
  <si>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</si>
  <si>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</si>
  <si>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</si>
  <si>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</si>
  <si>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</si>
  <si>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</si>
  <si>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</si>
  <si>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</si>
  <si>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</si>
  <si>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</si>
  <si>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</si>
  <si>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</si>
  <si>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</si>
  <si>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</si>
  <si>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</si>
  <si>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总计</t>
    <phoneticPr fontId="233" type="noConversion"/>
  </si>
  <si>
    <t>经营性</t>
    <phoneticPr fontId="233" type="noConversion"/>
  </si>
  <si>
    <t>住宅</t>
    <phoneticPr fontId="233" type="noConversion"/>
  </si>
  <si>
    <t>商业</t>
    <phoneticPr fontId="233" type="noConversion"/>
  </si>
  <si>
    <t>非经营性</t>
    <phoneticPr fontId="233" type="noConversion"/>
  </si>
  <si>
    <t>物管</t>
    <phoneticPr fontId="233" type="noConversion"/>
  </si>
  <si>
    <t>合计</t>
    <phoneticPr fontId="233" type="noConversion"/>
  </si>
  <si>
    <t>总价</t>
    <phoneticPr fontId="233" type="noConversion"/>
  </si>
  <si>
    <t>楼面单价</t>
    <phoneticPr fontId="233" type="noConversion"/>
  </si>
  <si>
    <t>地面单价</t>
    <phoneticPr fontId="23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</si>
  <si>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</si>
  <si>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</si>
  <si>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</si>
  <si>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</si>
  <si>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</si>
  <si>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</si>
  <si>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</si>
  <si>
    <t>综合利润率</t>
    <phoneticPr fontId="3" type="noConversion"/>
  </si>
  <si>
    <t>普定县穿洞街道岩上村</t>
    <phoneticPr fontId="3" type="noConversion"/>
  </si>
  <si>
    <t>较差</t>
  </si>
  <si>
    <t xml:space="preserve"> </t>
    <phoneticPr fontId="9" type="noConversion"/>
  </si>
  <si>
    <t>普定县穿洞街道龙马新村</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</si>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</sst>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79" fontId="0" fillId="0" borderId="2" xfId="0" applyNumberFormat="1" applyBorder="1">
      <alignment vertical="center"/>
    </xf>
    <xf numFmtId="0" fontId="145" fillId="0" borderId="2" xfId="0" applyFont="1" applyFill="1" applyBorder="1">
      <alignment vertical="center"/>
    </xf>
    <xf numFmtId="179" fontId="117"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2018年9月18日（评估专业人员勘察现场之日）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根据《国有土地使用证》[]，估价对象（分摊）出让国有建设用地使用权面积为49638.62平方米。根据《建设工程规划许可证》[]、《出让合同》[]，估价对象规划建筑面积为148915.86平方米。</v>
      </c>
    </row>
    <row r="16" spans="1:55" s="2876" customFormat="1">
      <c r="A16" s="2877" t="s">
        <v>2671</v>
      </c>
      <c r="B16" s="2878" t="str">
        <f>'预评函-1'!A22</f>
        <v>本次估价对象为出让国有建设用地使用权，《国有土地使用证》[]证载土地终止日期为住宅2087年3月19日、商业2057年3月19日。截至估价期日，出让国有建设用地使用权剩余土地使用年限为。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估价期日：2018年9月18日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49638.62</v>
      </c>
    </row>
    <row r="44" spans="1:2">
      <c r="A44" s="2877" t="s">
        <v>2742</v>
      </c>
      <c r="B44" s="2878" t="str">
        <f>'预评函-2'!O3</f>
        <v>规划建筑面积/㎡</v>
      </c>
    </row>
    <row r="45" spans="1:2">
      <c r="A45" s="2877" t="s">
        <v>2724</v>
      </c>
      <c r="B45" s="2878">
        <f>'预评函-2'!O5</f>
        <v>148915.85999999999</v>
      </c>
    </row>
    <row r="46" spans="1:2">
      <c r="A46" s="2877" t="s">
        <v>2725</v>
      </c>
      <c r="B46" s="2878">
        <f ca="1">'预评函-2'!P5</f>
        <v>2934</v>
      </c>
    </row>
    <row r="47" spans="1:2">
      <c r="A47" s="2877" t="s">
        <v>2726</v>
      </c>
      <c r="B47" s="2878">
        <f ca="1">'预评函-2'!Q5</f>
        <v>978</v>
      </c>
    </row>
    <row r="48" spans="1:2">
      <c r="A48" s="2877" t="s">
        <v>2727</v>
      </c>
      <c r="B48" s="2878">
        <f ca="1">'预评函-2'!R5</f>
        <v>14566</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5" t="str">
        <f>IF(B10="北京市","北京市",C10)&amp;F10&amp;B16&amp;"国有建设用地使用权"&amp;B9&amp;"预评估"</f>
        <v>贵州省普定县穿洞街道金马新村出让国有建设用地使用权预评估</v>
      </c>
      <c r="C1" s="3246"/>
      <c r="D1" s="3246"/>
      <c r="E1" s="3246"/>
      <c r="F1" s="3246"/>
      <c r="G1" s="3246"/>
      <c r="H1" s="3246"/>
      <c r="I1" s="3247"/>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43361</v>
      </c>
      <c r="C3" s="1663" t="s">
        <v>1997</v>
      </c>
      <c r="D3" s="1662">
        <f>B3</f>
        <v>43361</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51"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52"/>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8"/>
      <c r="C12" s="3249"/>
      <c r="D12" s="3250"/>
      <c r="E12" s="1699" t="s">
        <v>2063</v>
      </c>
      <c r="F12" s="3266" t="s">
        <v>2892</v>
      </c>
      <c r="G12" s="3267"/>
      <c r="H12" s="3267"/>
      <c r="I12" s="3268"/>
      <c r="J12" s="1694"/>
      <c r="K12" s="1774"/>
      <c r="L12" s="1723"/>
      <c r="M12" s="1723"/>
      <c r="N12" s="1694"/>
      <c r="O12" s="1695"/>
      <c r="P12" s="1694"/>
      <c r="Q12" s="1694"/>
      <c r="R12" s="1694"/>
      <c r="S12" s="1694"/>
      <c r="T12" s="1694"/>
      <c r="U12" s="1694"/>
    </row>
    <row r="13" spans="1:21">
      <c r="A13" s="1687" t="s">
        <v>2061</v>
      </c>
      <c r="B13" s="3248"/>
      <c r="C13" s="3249"/>
      <c r="D13" s="3250"/>
      <c r="E13" s="1699" t="s">
        <v>2063</v>
      </c>
      <c r="F13" s="3266" t="s">
        <v>2893</v>
      </c>
      <c r="G13" s="3267"/>
      <c r="H13" s="3267"/>
      <c r="I13" s="3268"/>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住宅2087年3月19日</v>
      </c>
      <c r="L16" s="1699" t="str">
        <f>IF(OR(K16="",M16=""),"","、")</f>
        <v>、</v>
      </c>
      <c r="M16" s="2455" t="str">
        <f>IF(E17="","",E16&amp;TEXT(E17,"yyyy年m月d日;;"))</f>
        <v>商业2057年3月19日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68380</v>
      </c>
      <c r="E17" s="1700">
        <v>57423</v>
      </c>
      <c r="F17" s="1700"/>
      <c r="G17" s="1700"/>
      <c r="H17" s="1700"/>
      <c r="I17" s="1700"/>
      <c r="J17" s="1694"/>
      <c r="K17" s="2454" t="str">
        <f>CONCATENATE(K16,L16,M16,N16,O16,P16,Q16,R16,S16,T16,,U16)</f>
        <v>住宅2087年3月19日、商业2057年3月19日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68.540000000000006</v>
      </c>
      <c r="E19" s="1685">
        <f>IF(B16="出让",IF(E17="","",ROUNDDOWN(MIN((E17-$D$3)/365,E18),2)),E18)</f>
        <v>38.520000000000003</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3"/>
      <c r="E20" s="3264"/>
      <c r="F20" s="3264"/>
      <c r="G20" s="3264"/>
      <c r="H20" s="3264"/>
      <c r="I20" s="3265"/>
      <c r="J20" s="1694"/>
      <c r="K20" s="1774"/>
      <c r="L20" s="1723"/>
      <c r="M20" s="1723"/>
      <c r="N20" s="1694"/>
      <c r="O20" s="1695"/>
      <c r="P20" s="1694"/>
      <c r="Q20" s="1694"/>
      <c r="R20" s="1694"/>
      <c r="S20" s="1694"/>
      <c r="T20" s="1694"/>
      <c r="U20" s="1694"/>
    </row>
    <row r="21" spans="1:21">
      <c r="A21" s="1763" t="s">
        <v>1960</v>
      </c>
      <c r="B21" s="1764" t="s">
        <v>1961</v>
      </c>
      <c r="C21" s="1759">
        <f>'数据-汇总表'!E3</f>
        <v>148915.85999999999</v>
      </c>
      <c r="D21" s="1760" t="s">
        <v>1962</v>
      </c>
      <c r="E21" s="3253" t="s">
        <v>2000</v>
      </c>
      <c r="F21" s="3254"/>
      <c r="G21" s="3254"/>
      <c r="H21" s="3254"/>
      <c r="I21" s="3255"/>
      <c r="J21" s="1694"/>
      <c r="K21" s="1774"/>
      <c r="L21" s="1723"/>
      <c r="M21" s="1723"/>
      <c r="N21" s="1694"/>
      <c r="O21" s="1695"/>
      <c r="P21" s="1694"/>
      <c r="Q21" s="1694"/>
      <c r="R21" s="1694"/>
      <c r="S21" s="1694"/>
      <c r="T21" s="1694"/>
      <c r="U21" s="1694"/>
    </row>
    <row r="22" spans="1:21">
      <c r="A22" s="3145" t="s">
        <v>951</v>
      </c>
      <c r="B22" s="1661" t="s">
        <v>1963</v>
      </c>
      <c r="C22" s="1686">
        <f>'数据-汇总表'!D3</f>
        <v>49638.62</v>
      </c>
      <c r="D22" s="1687" t="s">
        <v>1962</v>
      </c>
      <c r="E22" s="3253" t="s">
        <v>2894</v>
      </c>
      <c r="F22" s="3254"/>
      <c r="G22" s="3254"/>
      <c r="H22" s="3254"/>
      <c r="I22" s="3255"/>
      <c r="J22" s="1694"/>
      <c r="K22" s="1774"/>
      <c r="L22" s="1723"/>
      <c r="M22" s="1723"/>
      <c r="N22" s="1694"/>
      <c r="O22" s="1695"/>
      <c r="P22" s="1694"/>
      <c r="Q22" s="1694"/>
      <c r="R22" s="1694"/>
      <c r="S22" s="1694"/>
      <c r="T22" s="1694"/>
      <c r="U22" s="1694"/>
    </row>
    <row r="23" spans="1:21" ht="43.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6" t="s">
        <v>1968</v>
      </c>
      <c r="C24" s="3257"/>
      <c r="D24" s="3258" t="s">
        <v>1969</v>
      </c>
      <c r="E24" s="3259"/>
      <c r="F24" s="1708" t="s">
        <v>1970</v>
      </c>
      <c r="G24" s="1694"/>
      <c r="H24" s="1694"/>
      <c r="I24" s="1707"/>
      <c r="J24" s="1694"/>
      <c r="K24" s="3244"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30" t="s">
        <v>2003</v>
      </c>
      <c r="B31" s="1764" t="s">
        <v>2004</v>
      </c>
      <c r="C31" s="3269" t="s">
        <v>3167</v>
      </c>
      <c r="D31" s="3270"/>
      <c r="E31" s="1694"/>
      <c r="F31" s="1694"/>
      <c r="G31" s="1694"/>
      <c r="H31" s="1694"/>
      <c r="I31" s="1707"/>
      <c r="J31" s="1694"/>
      <c r="K31" s="2457"/>
      <c r="L31" s="1694"/>
      <c r="M31" s="1694"/>
      <c r="N31" s="1694"/>
      <c r="O31" s="1694"/>
      <c r="P31" s="1694"/>
      <c r="Q31" s="1694"/>
      <c r="R31" s="1694"/>
      <c r="S31" s="1694"/>
      <c r="T31" s="1694"/>
      <c r="U31" s="1694"/>
    </row>
    <row r="32" spans="1:21">
      <c r="A32" s="3230"/>
      <c r="B32" s="1661" t="s">
        <v>2005</v>
      </c>
      <c r="C32" s="1719" t="s">
        <v>3168</v>
      </c>
      <c r="D32" s="1720"/>
      <c r="E32" s="1694"/>
      <c r="F32" s="1694"/>
      <c r="G32" s="1694"/>
      <c r="H32" s="1694"/>
      <c r="I32" s="1707"/>
      <c r="J32" s="1694"/>
      <c r="K32" s="2457"/>
      <c r="L32" s="1694"/>
      <c r="M32" s="1694"/>
      <c r="N32" s="1694"/>
      <c r="O32" s="1694"/>
      <c r="P32" s="1694"/>
      <c r="Q32" s="1694"/>
      <c r="R32" s="1694"/>
      <c r="S32" s="1694"/>
      <c r="T32" s="1694"/>
      <c r="U32" s="1694"/>
    </row>
    <row r="33" spans="1:21">
      <c r="A33" s="3230"/>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31"/>
      <c r="B34" s="1661" t="s">
        <v>2007</v>
      </c>
      <c r="C34" s="3232"/>
      <c r="D34" s="3233"/>
      <c r="E34" s="1694"/>
      <c r="F34" s="1694"/>
      <c r="G34" s="1694"/>
      <c r="H34" s="1694"/>
      <c r="I34" s="1707"/>
      <c r="J34" s="1694"/>
      <c r="K34" s="2457"/>
      <c r="L34" s="1694"/>
      <c r="M34" s="1694"/>
      <c r="N34" s="1694"/>
      <c r="O34" s="1694"/>
      <c r="P34" s="1694"/>
      <c r="Q34" s="1694"/>
      <c r="R34" s="1694"/>
      <c r="S34" s="1694"/>
      <c r="T34" s="1694"/>
      <c r="U34" s="1694"/>
    </row>
    <row r="35" spans="1:21">
      <c r="A35" s="3234" t="s">
        <v>846</v>
      </c>
      <c r="B35" s="1722" t="s">
        <v>3169</v>
      </c>
      <c r="C35" s="1776" t="str">
        <f>IF(B35="场地平整","——","具体情况：")</f>
        <v>具体情况：</v>
      </c>
      <c r="D35" s="3236" t="s">
        <v>3171</v>
      </c>
      <c r="E35" s="3237"/>
      <c r="F35" s="3237"/>
      <c r="G35" s="3237"/>
      <c r="H35" s="3237"/>
      <c r="I35" s="3238"/>
      <c r="J35" s="1694"/>
      <c r="K35" s="1775"/>
      <c r="L35" s="1723"/>
      <c r="M35" s="1723"/>
      <c r="N35" s="1694"/>
      <c r="O35" s="1695"/>
      <c r="P35" s="1694"/>
      <c r="Q35" s="1694"/>
      <c r="R35" s="1694"/>
      <c r="S35" s="1694"/>
      <c r="T35" s="1694"/>
      <c r="U35" s="1694"/>
    </row>
    <row r="36" spans="1:21" ht="28.5">
      <c r="A36" s="3230"/>
      <c r="B36" s="3239" t="s">
        <v>2056</v>
      </c>
      <c r="C36" s="3240"/>
      <c r="D36" s="1792" t="s">
        <v>3170</v>
      </c>
      <c r="E36" s="3241"/>
      <c r="F36" s="3241"/>
      <c r="G36" s="1687" t="str">
        <f>IF(B35="场地未平整","估价结果处理","")</f>
        <v>估价结果处理</v>
      </c>
      <c r="H36" s="3242"/>
      <c r="I36" s="3242"/>
      <c r="J36" s="1694"/>
      <c r="K36" s="1775"/>
      <c r="L36" s="1723"/>
      <c r="M36" s="1723"/>
      <c r="N36" s="1694"/>
      <c r="O36" s="1695"/>
      <c r="P36" s="1694"/>
      <c r="Q36" s="1694"/>
      <c r="R36" s="1694"/>
      <c r="S36" s="1694"/>
      <c r="T36" s="1694"/>
      <c r="U36" s="1694"/>
    </row>
    <row r="37" spans="1:21" ht="28.5">
      <c r="A37" s="3230"/>
      <c r="B37" s="3260"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30"/>
      <c r="B38" s="3261"/>
      <c r="C38" s="1669" t="s">
        <v>849</v>
      </c>
      <c r="D38" s="1791">
        <f>ROUNDDOWN(MIN(('数据-取费表'!$B$2-D37)/365,D34),1)</f>
        <v>118.7</v>
      </c>
      <c r="E38" s="1727" t="s">
        <v>850</v>
      </c>
      <c r="F38" s="1694"/>
      <c r="G38" s="1694"/>
      <c r="H38" s="1694"/>
      <c r="I38" s="1707"/>
      <c r="J38" s="1694"/>
      <c r="K38" s="1775"/>
      <c r="L38" s="1694"/>
      <c r="M38" s="1694"/>
      <c r="N38" s="1694"/>
      <c r="O38" s="1694"/>
      <c r="P38" s="1694"/>
      <c r="Q38" s="1694"/>
      <c r="R38" s="1694"/>
      <c r="S38" s="1694"/>
      <c r="T38" s="1694"/>
      <c r="U38" s="1694"/>
    </row>
    <row r="39" spans="1:21">
      <c r="A39" s="3231"/>
      <c r="B39" s="326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3" t="s">
        <v>1987</v>
      </c>
      <c r="T40" s="1731" t="str">
        <f>NUMBERSTRING(7-K40,1)&amp;"通"</f>
        <v>七通</v>
      </c>
      <c r="U40" s="1694"/>
    </row>
    <row r="41" spans="1:21">
      <c r="A41" s="1663"/>
      <c r="B41" s="3235" t="s">
        <v>1721</v>
      </c>
      <c r="C41" s="3235"/>
      <c r="D41" s="3235"/>
      <c r="E41" s="323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3"/>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49638.62</v>
      </c>
      <c r="B3" s="22">
        <f>IF(C3="否",G5-AT5,G5)</f>
        <v>148915.85999999999</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148915.85999999999</v>
      </c>
      <c r="H5" s="27">
        <f t="shared" ref="H5:AT5" si="0">SUM(H13:H641)</f>
        <v>148524.47999999998</v>
      </c>
      <c r="I5" s="27">
        <f t="shared" si="0"/>
        <v>119886.81</v>
      </c>
      <c r="J5" s="27">
        <f t="shared" si="0"/>
        <v>0</v>
      </c>
      <c r="K5" s="27">
        <f t="shared" si="0"/>
        <v>28637.67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391.38</v>
      </c>
      <c r="AD5" s="27">
        <f t="shared" si="0"/>
        <v>0</v>
      </c>
      <c r="AE5" s="27">
        <f t="shared" si="0"/>
        <v>0</v>
      </c>
      <c r="AF5" s="27">
        <f t="shared" si="0"/>
        <v>0</v>
      </c>
      <c r="AG5" s="27">
        <f t="shared" si="0"/>
        <v>0</v>
      </c>
      <c r="AH5" s="27">
        <f t="shared" si="0"/>
        <v>391.38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148915.85999999999</v>
      </c>
      <c r="BA5" s="29">
        <f t="shared" si="1"/>
        <v>148524.47999999998</v>
      </c>
      <c r="BB5" s="29">
        <f t="shared" si="1"/>
        <v>119886.81</v>
      </c>
      <c r="BC5" s="29">
        <f t="shared" si="1"/>
        <v>28637.67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391.38</v>
      </c>
      <c r="BM5" s="29">
        <f t="shared" si="1"/>
        <v>0</v>
      </c>
      <c r="BN5" s="29">
        <f t="shared" si="1"/>
        <v>0</v>
      </c>
      <c r="BO5" s="29">
        <f t="shared" si="1"/>
        <v>391.38</v>
      </c>
      <c r="BP5" s="29">
        <f t="shared" si="1"/>
        <v>0</v>
      </c>
      <c r="BQ5" s="29">
        <f t="shared" si="1"/>
        <v>0</v>
      </c>
      <c r="BR5" s="29">
        <f t="shared" si="1"/>
        <v>0</v>
      </c>
      <c r="BS5" s="29">
        <f t="shared" si="1"/>
        <v>0</v>
      </c>
      <c r="BT5" s="30">
        <f t="shared" si="1"/>
        <v>0</v>
      </c>
    </row>
    <row r="6" spans="1:72" s="37" customFormat="1" ht="12.75">
      <c r="A6" s="26" t="s">
        <v>169</v>
      </c>
      <c r="B6" s="31"/>
      <c r="C6" s="31"/>
      <c r="D6" s="32"/>
      <c r="E6" s="27">
        <f>H6+AC6+AT6</f>
        <v>49638.619999999995</v>
      </c>
      <c r="F6" s="27" t="s">
        <v>1</v>
      </c>
      <c r="G6" s="27" t="s">
        <v>2</v>
      </c>
      <c r="H6" s="33">
        <f>SUMIF(I$12:AB$12,"总值",I6:AB6)</f>
        <v>49508.159999999996</v>
      </c>
      <c r="I6" s="27">
        <f t="shared" ref="I6:AB6" si="2">ROUND($A$3*I5/$B$3,2)</f>
        <v>39962.269999999997</v>
      </c>
      <c r="J6" s="27">
        <f t="shared" si="2"/>
        <v>0</v>
      </c>
      <c r="K6" s="27">
        <f t="shared" si="2"/>
        <v>9545.89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130.46</v>
      </c>
      <c r="AD6" s="27">
        <f t="shared" ref="AD6:AS6" si="3">ROUND($A$3*AD5/$B$3,2)</f>
        <v>0</v>
      </c>
      <c r="AE6" s="27">
        <f t="shared" si="3"/>
        <v>0</v>
      </c>
      <c r="AF6" s="27">
        <f t="shared" si="3"/>
        <v>0</v>
      </c>
      <c r="AG6" s="27">
        <f t="shared" si="3"/>
        <v>0</v>
      </c>
      <c r="AH6" s="27">
        <f t="shared" si="3"/>
        <v>130.46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49638.62</v>
      </c>
      <c r="AZ6" s="27" t="s">
        <v>3</v>
      </c>
      <c r="BA6" s="27">
        <f>ROUND($AY$6*BA5/$AZ$5,2)</f>
        <v>49508.160000000003</v>
      </c>
      <c r="BB6" s="27">
        <f>ROUND($AY$6*BB5/$AZ$5,2)</f>
        <v>39962.269999999997</v>
      </c>
      <c r="BC6" s="27">
        <f t="shared" ref="BC6:BH6" si="4">ROUND($AY$6*BC5/$AZ$5,2)</f>
        <v>9545.89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130.46</v>
      </c>
      <c r="BM6" s="27">
        <f t="shared" si="5"/>
        <v>0</v>
      </c>
      <c r="BN6" s="27">
        <f t="shared" si="5"/>
        <v>0</v>
      </c>
      <c r="BO6" s="27">
        <f t="shared" si="5"/>
        <v>130.46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49638.62</v>
      </c>
      <c r="F13" s="81"/>
      <c r="G13" s="82">
        <f t="shared" ref="G13:G20" si="7">H13+AC13+AT13</f>
        <v>148915.85999999999</v>
      </c>
      <c r="H13" s="33">
        <f t="shared" ref="H13:H20" si="8">SUMIF(I$12:AB$12,"总值",I13:AB13)</f>
        <v>148524.47999999998</v>
      </c>
      <c r="I13" s="3016">
        <v>119886.81</v>
      </c>
      <c r="J13" s="3016"/>
      <c r="K13" s="3016">
        <v>28637.67</v>
      </c>
      <c r="L13" s="3016"/>
      <c r="M13" s="3016"/>
      <c r="N13" s="83"/>
      <c r="O13" s="83"/>
      <c r="P13" s="83"/>
      <c r="Q13" s="83"/>
      <c r="R13" s="83"/>
      <c r="S13" s="83"/>
      <c r="T13" s="83"/>
      <c r="U13" s="83"/>
      <c r="V13" s="83"/>
      <c r="W13" s="83"/>
      <c r="X13" s="83"/>
      <c r="Y13" s="83"/>
      <c r="Z13" s="83"/>
      <c r="AA13" s="83"/>
      <c r="AB13" s="83"/>
      <c r="AC13" s="27">
        <f t="shared" ref="AC13:AC20" si="9">SUMIF(AD$12:AS$12,"总值",AD13:AS13)</f>
        <v>391.38</v>
      </c>
      <c r="AD13" s="3020"/>
      <c r="AE13" s="3020"/>
      <c r="AF13" s="3020"/>
      <c r="AG13" s="3020"/>
      <c r="AH13" s="3020">
        <v>391.38</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49638.62</v>
      </c>
      <c r="AZ13" s="27">
        <f t="shared" ref="AZ13:AZ20" si="12">BA13+BL13</f>
        <v>148915.85999999999</v>
      </c>
      <c r="BA13" s="27">
        <f t="shared" ref="BA13:BA20" si="13">SUM(BB13:BK13)</f>
        <v>148524.47999999998</v>
      </c>
      <c r="BB13" s="27">
        <f t="shared" ref="BB13:BB20" si="14">IF($D13="是",I13-J13,0)</f>
        <v>119886.81</v>
      </c>
      <c r="BC13" s="27">
        <f t="shared" ref="BC13:BC20" si="15">IF($D13="是",K13-L13,0)</f>
        <v>28637.67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391.38</v>
      </c>
      <c r="BM13" s="27">
        <f t="shared" ref="BM13:BM20" si="25">IF($D13="是",AD13-AE13,0)</f>
        <v>0</v>
      </c>
      <c r="BN13" s="27">
        <f t="shared" ref="BN13:BN20" si="26">IF($D13="是",AF13-AG13,0)</f>
        <v>0</v>
      </c>
      <c r="BO13" s="27">
        <f t="shared" ref="BO13:BO20" si="27">IF($D13="是",AH13-AI13,0)</f>
        <v>391.38</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2" t="s">
        <v>203</v>
      </c>
      <c r="B2" s="3282"/>
      <c r="C2" s="3282"/>
      <c r="D2" s="1974" t="s">
        <v>204</v>
      </c>
      <c r="E2" s="106" t="s">
        <v>205</v>
      </c>
      <c r="F2" s="1983"/>
      <c r="G2" s="1198"/>
      <c r="H2" s="1199"/>
      <c r="I2" s="1200" t="s">
        <v>856</v>
      </c>
      <c r="J2" s="1983"/>
      <c r="K2" s="1983"/>
      <c r="L2" s="1983"/>
    </row>
    <row r="3" spans="1:16" ht="15.75" thickBot="1">
      <c r="A3" s="3283" t="s">
        <v>206</v>
      </c>
      <c r="B3" s="3283"/>
      <c r="C3" s="3283"/>
      <c r="D3" s="107">
        <f>'数据-基础表'!AY6</f>
        <v>49638.62</v>
      </c>
      <c r="E3" s="107">
        <f>'数据-基础表'!AZ5</f>
        <v>148915.85999999999</v>
      </c>
      <c r="F3" s="1983"/>
      <c r="G3" s="280" t="s">
        <v>857</v>
      </c>
      <c r="H3" s="275" t="s">
        <v>858</v>
      </c>
      <c r="I3" s="1975">
        <f>ROUND('数据-基础表'!B3/'数据-基础表'!A3,2)</f>
        <v>3</v>
      </c>
      <c r="J3" s="1983"/>
      <c r="K3" s="1983"/>
      <c r="L3" s="1983"/>
    </row>
    <row r="4" spans="1:16" ht="15">
      <c r="A4" s="3284"/>
      <c r="B4" s="3285"/>
      <c r="C4" s="3286"/>
      <c r="D4" s="108" t="s">
        <v>204</v>
      </c>
      <c r="E4" s="109" t="s">
        <v>205</v>
      </c>
      <c r="F4" s="1983"/>
      <c r="G4" s="1201"/>
      <c r="H4" s="275" t="s">
        <v>859</v>
      </c>
      <c r="I4" s="1975">
        <f>ROUND(SUMIF('数据-基础表'!I9:AS9,"地上",'数据-基础表'!I5:AS5)/'数据-基础表'!A3,2)</f>
        <v>3</v>
      </c>
      <c r="J4" s="1983"/>
      <c r="K4" s="1983"/>
      <c r="L4" s="1983"/>
    </row>
    <row r="5" spans="1:16">
      <c r="A5" s="110" t="s">
        <v>207</v>
      </c>
      <c r="B5" s="3287" t="s">
        <v>230</v>
      </c>
      <c r="C5" s="3287"/>
      <c r="D5" s="111">
        <f>ROUND($D$3*E5/$E$3,2)</f>
        <v>39962.269999999997</v>
      </c>
      <c r="E5" s="112">
        <f>SUMIF('数据-基础表'!$11:$11,"住宅",'数据-基础表'!$5:$5)</f>
        <v>119886.81</v>
      </c>
      <c r="F5" s="1983"/>
      <c r="G5" s="280" t="s">
        <v>860</v>
      </c>
      <c r="H5" s="275" t="s">
        <v>858</v>
      </c>
      <c r="I5" s="1975">
        <f>ROUND(E31/D31,2)</f>
        <v>3</v>
      </c>
      <c r="J5" s="1983"/>
      <c r="K5" s="1983"/>
      <c r="L5" s="1983"/>
    </row>
    <row r="6" spans="1:16" ht="15" thickBot="1">
      <c r="A6" s="113"/>
      <c r="B6" s="3287" t="s">
        <v>208</v>
      </c>
      <c r="C6" s="3287"/>
      <c r="D6" s="111">
        <f>ROUND($D$3*E6/$E$3,2)</f>
        <v>9676.35</v>
      </c>
      <c r="E6" s="112">
        <f>E3-E5</f>
        <v>29029.049999999988</v>
      </c>
      <c r="F6" s="1983"/>
      <c r="G6" s="1201"/>
      <c r="H6" s="275" t="s">
        <v>859</v>
      </c>
      <c r="I6" s="1975">
        <f>ROUND(F31/D31,2)</f>
        <v>3</v>
      </c>
      <c r="J6" s="1983"/>
      <c r="K6" s="1983"/>
      <c r="L6" s="1983"/>
    </row>
    <row r="7" spans="1:16" ht="15">
      <c r="A7" s="3279"/>
      <c r="B7" s="3280"/>
      <c r="C7" s="3281"/>
      <c r="D7" s="108" t="s">
        <v>204</v>
      </c>
      <c r="E7" s="114" t="s">
        <v>231</v>
      </c>
      <c r="F7" s="1983"/>
      <c r="G7" s="1156" t="s">
        <v>1645</v>
      </c>
      <c r="H7" s="1157"/>
      <c r="I7" s="1847"/>
      <c r="J7" s="1983"/>
      <c r="K7" s="1983"/>
      <c r="L7" s="1983"/>
    </row>
    <row r="8" spans="1:16">
      <c r="A8" s="110" t="s">
        <v>209</v>
      </c>
      <c r="B8" s="115" t="s">
        <v>210</v>
      </c>
      <c r="C8" s="111" t="s">
        <v>211</v>
      </c>
      <c r="D8" s="111">
        <f t="shared" ref="D8:D15" si="0">ROUND($D$3*E8/$E$3,2)</f>
        <v>49508.160000000003</v>
      </c>
      <c r="E8" s="116">
        <f>SUMIF('数据-基础表'!BB10:BK10,"地上",'数据-基础表'!BB5:BK5)</f>
        <v>148524.47999999998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49508.160000000003</v>
      </c>
      <c r="E16" s="120">
        <f>SUM(E8:E15)</f>
        <v>148524.47999999998</v>
      </c>
      <c r="F16" s="1983"/>
      <c r="G16" s="1985"/>
      <c r="H16" s="968" t="s">
        <v>219</v>
      </c>
      <c r="I16" s="969"/>
      <c r="J16" s="1983"/>
      <c r="K16" s="3273" t="s">
        <v>2568</v>
      </c>
      <c r="L16" s="3274"/>
      <c r="M16" s="3274"/>
      <c r="N16" s="3274"/>
      <c r="O16" s="3274"/>
      <c r="P16" s="3275"/>
    </row>
    <row r="17" spans="1:19" ht="15">
      <c r="A17" s="121" t="s">
        <v>216</v>
      </c>
      <c r="B17" s="122" t="s">
        <v>217</v>
      </c>
      <c r="C17" s="2297" t="s">
        <v>2315</v>
      </c>
      <c r="D17" s="108" t="s">
        <v>204</v>
      </c>
      <c r="E17" s="124" t="s">
        <v>205</v>
      </c>
      <c r="F17" s="125"/>
      <c r="G17" s="1366"/>
      <c r="H17" s="970" t="s">
        <v>218</v>
      </c>
      <c r="I17" s="971" t="s">
        <v>2314</v>
      </c>
      <c r="J17" s="1983"/>
      <c r="K17" s="3276" t="s">
        <v>2569</v>
      </c>
      <c r="L17" s="3277"/>
      <c r="M17" s="3278"/>
      <c r="N17" s="3276" t="s">
        <v>2570</v>
      </c>
      <c r="O17" s="3277"/>
      <c r="P17" s="3278"/>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39962.269999999997</v>
      </c>
      <c r="E19" s="134">
        <f t="shared" ref="E19:E26" si="2">SUM(F19:G19)</f>
        <v>119886.81</v>
      </c>
      <c r="F19" s="135">
        <f>'数据-基础表'!I13</f>
        <v>119886.81</v>
      </c>
      <c r="G19" s="1368"/>
      <c r="H19" s="974">
        <f>ROUND($D$3*I19/$E$3,2)</f>
        <v>130.46</v>
      </c>
      <c r="I19" s="116">
        <f>IF($I$17="自定义",P19,M19)</f>
        <v>391.38</v>
      </c>
      <c r="J19" s="1983"/>
      <c r="K19" s="2607">
        <f t="shared" ref="K19:K26" si="3">ROUND(E$28*E19/E$27,2)</f>
        <v>0</v>
      </c>
      <c r="L19" s="275">
        <f t="shared" ref="L19:L26" si="4">ROUND(IF(COUNTIF(C19,"*住宅*")&gt;0,E$29*E19/E$32,0),2)</f>
        <v>391.38</v>
      </c>
      <c r="M19" s="2608">
        <f>K19+L19</f>
        <v>391.38</v>
      </c>
      <c r="N19" s="2609"/>
      <c r="O19" s="2610"/>
      <c r="P19" s="2611">
        <f>N19+O19</f>
        <v>0</v>
      </c>
      <c r="R19" s="275">
        <f t="shared" ref="R19:S26" si="5">D19+H19</f>
        <v>40092.729999999996</v>
      </c>
      <c r="S19" s="2300">
        <f t="shared" si="5"/>
        <v>120278.19</v>
      </c>
    </row>
    <row r="20" spans="1:19">
      <c r="A20" s="138"/>
      <c r="B20" s="115" t="s">
        <v>226</v>
      </c>
      <c r="C20" s="3023" t="s">
        <v>2987</v>
      </c>
      <c r="D20" s="111">
        <f t="shared" si="1"/>
        <v>9545.89</v>
      </c>
      <c r="E20" s="134">
        <f t="shared" si="2"/>
        <v>28637.67</v>
      </c>
      <c r="F20" s="135">
        <f>'数据-基础表'!K13</f>
        <v>28637.67</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9545.89</v>
      </c>
      <c r="S20" s="2300">
        <f t="shared" si="5"/>
        <v>28637.67</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49508.159999999996</v>
      </c>
      <c r="E27" s="143">
        <f>IF(SUM(E19:E26)='数据-基础表'!BA5,SUM(E19:E26),IF(F27="地上面积有误","面积有误","地下面积有误"))</f>
        <v>148524.47999999998</v>
      </c>
      <c r="F27" s="134">
        <f>IF(SUM(F19:F26)=E8,SUM(F19:F26),"地上面积有误")</f>
        <v>148524.47999999998</v>
      </c>
      <c r="G27" s="112">
        <f>SUM(G19:G26)</f>
        <v>0</v>
      </c>
      <c r="H27" s="975">
        <f>SUM(H19:H26)</f>
        <v>130.46</v>
      </c>
      <c r="I27" s="976">
        <f>SUM(I19:I26)</f>
        <v>391.38</v>
      </c>
      <c r="J27" s="1983"/>
      <c r="K27" s="2616">
        <f>SUM(K19:K26)</f>
        <v>0</v>
      </c>
      <c r="L27" s="2617">
        <f>SUM(L19:L26)</f>
        <v>391.38</v>
      </c>
      <c r="M27" s="2618">
        <f>SUM(M19:M26)</f>
        <v>391.38</v>
      </c>
      <c r="N27" s="2616">
        <f t="shared" ref="N27:O27" si="10">SUM(N19:N26)</f>
        <v>0</v>
      </c>
      <c r="O27" s="2617">
        <f t="shared" si="10"/>
        <v>0</v>
      </c>
      <c r="P27" s="2619">
        <f>SUM(P19:P26)</f>
        <v>0</v>
      </c>
      <c r="R27" s="2304">
        <f>IF(SUM(R19:R26)=$D$3,SUM(R19:R26),SUM(R19:R26)&amp;"误差"&amp;ROUND(SUM(R19:R26)-$D$3,2))</f>
        <v>49638.619999999995</v>
      </c>
      <c r="S27" s="275">
        <f>IF(SUM(S19:S26)=$E$3,SUM(S19:S26),SUM(S19:S26)&amp;"误差"&amp;ROUND(SUM(S19:S26)-E3,2))</f>
        <v>148915.85999999999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130.46</v>
      </c>
      <c r="E29" s="134">
        <f>SUM(F29:G29)</f>
        <v>391.38</v>
      </c>
      <c r="F29" s="144">
        <f>'数据-基础表'!BM5+'数据-基础表'!BO5</f>
        <v>391.38</v>
      </c>
      <c r="G29" s="146">
        <f>'数据-基础表'!BN5+'数据-基础表'!BP5</f>
        <v>0</v>
      </c>
      <c r="H29" s="1983"/>
      <c r="I29" s="1983"/>
      <c r="J29" s="1983"/>
      <c r="K29" s="1983"/>
      <c r="L29" s="1983"/>
    </row>
    <row r="30" spans="1:19">
      <c r="A30" s="138"/>
      <c r="B30" s="111"/>
      <c r="C30" s="147" t="s">
        <v>215</v>
      </c>
      <c r="D30" s="134">
        <f>SUM(D28:D29)</f>
        <v>130.46</v>
      </c>
      <c r="E30" s="134">
        <f>SUM(E28:E29)</f>
        <v>391.38</v>
      </c>
      <c r="F30" s="134">
        <f>SUM(F28:F29)</f>
        <v>391.38</v>
      </c>
      <c r="G30" s="112">
        <f>SUM(G28:G29)</f>
        <v>0</v>
      </c>
      <c r="H30" s="1983"/>
      <c r="I30" s="1983"/>
      <c r="J30" s="1983"/>
      <c r="K30" s="1983"/>
      <c r="L30" s="1983"/>
    </row>
    <row r="31" spans="1:19" ht="32.25" customHeight="1" thickBot="1">
      <c r="A31" s="1370"/>
      <c r="B31" s="1371" t="s">
        <v>229</v>
      </c>
      <c r="C31" s="2329" t="s">
        <v>2324</v>
      </c>
      <c r="D31" s="1372">
        <f>D27+D30</f>
        <v>49638.619999999995</v>
      </c>
      <c r="E31" s="1372">
        <f>E27+E30</f>
        <v>148915.85999999999</v>
      </c>
      <c r="F31" s="1373">
        <f>F27+F30</f>
        <v>148915.85999999999</v>
      </c>
      <c r="G31" s="1374">
        <f>G27+G30</f>
        <v>0</v>
      </c>
      <c r="H31" s="1983"/>
      <c r="I31" s="1983"/>
      <c r="J31" s="1983"/>
      <c r="K31" s="1983"/>
      <c r="L31" s="1983"/>
    </row>
    <row r="32" spans="1:19">
      <c r="A32" s="1983"/>
      <c r="B32" s="2362" t="s">
        <v>2323</v>
      </c>
      <c r="C32" s="2646"/>
      <c r="D32" s="1201"/>
      <c r="E32" s="1201">
        <f>SUMIF(C19:C26,"*住宅*",E19:E26)</f>
        <v>119886.81</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68380</v>
      </c>
      <c r="F6" s="174">
        <f>SUMIF(项目基本情况!D$15:I$15,C6,项目基本情况!D$19:I$19)</f>
        <v>68.540000000000006</v>
      </c>
      <c r="G6" s="175">
        <f>IF(ISERROR(ROUND(POWER(1+H6,D6-F6)*(POWER(1+H6,F6)-1)/(POWER(1+H6,D6)-1),3)),0,ROUND(POWER(1+H6,D6-F6)*(POWER(1+H6,F6)-1)/(POWER(1+H6,D6)-1),3))</f>
        <v>0.997</v>
      </c>
      <c r="H6" s="3024">
        <v>4.4999999999999998E-2</v>
      </c>
      <c r="I6" s="3024">
        <v>5.5E-2</v>
      </c>
      <c r="J6" s="176">
        <v>8.5000000000000006E-2</v>
      </c>
      <c r="K6" s="179">
        <f>SUMIF('数据-汇总表'!C$19:C$33,'数据-取费表'!A6,'数据-汇总表'!E$19:E$33)</f>
        <v>119886.81</v>
      </c>
      <c r="L6" s="3025">
        <v>1800</v>
      </c>
      <c r="M6" s="177">
        <f t="shared" ref="M6:M14" si="0">ROUND(K6*L6/10000,0)</f>
        <v>21580</v>
      </c>
      <c r="N6" s="3026">
        <v>0</v>
      </c>
      <c r="O6" s="177">
        <f>IF($N$5="成新度","——",ROUND(M6*N6,0))</f>
        <v>0</v>
      </c>
      <c r="P6" s="178">
        <f>IF($N$5="成新度","——",M6-O6)</f>
        <v>21580</v>
      </c>
      <c r="Q6" s="3027">
        <v>0.15</v>
      </c>
      <c r="R6" s="179">
        <f>SUMIF('数据-汇总表'!C$19:C$33,A6,'数据-汇总表'!R$19:R$33)</f>
        <v>40092.729999999996</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57423</v>
      </c>
      <c r="F7" s="174">
        <f>SUMIF(项目基本情况!D$15:I$15,C7,项目基本情况!D$19:I$19)</f>
        <v>38.520000000000003</v>
      </c>
      <c r="G7" s="175">
        <f t="shared" ref="G7:G11" si="2">IF(ISERROR(ROUND(POWER(1+H7,D7-F7)*(POWER(1+H7,F7)-1)/(POWER(1+H7,D7)-1),3)),0,ROUND(POWER(1+H7,D7-F7)*(POWER(1+H7,F7)-1)/(POWER(1+H7,D7)-1),3))</f>
        <v>0.98799999999999999</v>
      </c>
      <c r="H7" s="3024">
        <v>0.05</v>
      </c>
      <c r="I7" s="3024">
        <v>0.06</v>
      </c>
      <c r="J7" s="176">
        <v>8.5000000000000006E-2</v>
      </c>
      <c r="K7" s="179">
        <f>SUMIF('数据-汇总表'!C$19:C$33,'数据-取费表'!A7,'数据-汇总表'!E$19:E$33)</f>
        <v>28637.67</v>
      </c>
      <c r="L7" s="3025">
        <v>2000</v>
      </c>
      <c r="M7" s="177">
        <f t="shared" si="0"/>
        <v>5728</v>
      </c>
      <c r="N7" s="3026">
        <v>0</v>
      </c>
      <c r="O7" s="177">
        <f t="shared" ref="O7:O14" si="3">IF($N$5="成新度","——",ROUND(M7*N7,0))</f>
        <v>0</v>
      </c>
      <c r="P7" s="178">
        <f t="shared" ref="P7:P14" si="4">IF($N$5="成新度","——",M7-O7)</f>
        <v>5728</v>
      </c>
      <c r="Q7" s="3027">
        <v>0.2</v>
      </c>
      <c r="R7" s="179">
        <f>SUMIF('数据-汇总表'!C$19:C$33,A7,'数据-汇总表'!R$19:R$33)</f>
        <v>9545.89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T21</f>
        <v>1.63</v>
      </c>
      <c r="V7" s="181">
        <v>0.03</v>
      </c>
      <c r="W7" s="181">
        <v>0.1</v>
      </c>
      <c r="X7" s="2320"/>
      <c r="Y7" s="182">
        <v>1</v>
      </c>
      <c r="Z7" s="183"/>
      <c r="AA7" s="176"/>
      <c r="AB7" s="176"/>
      <c r="AC7" s="2323"/>
      <c r="AD7" s="184"/>
      <c r="AE7" s="972">
        <f t="shared" ref="AE7:AE13" ca="1" si="6">IF(AN7="",0,SUMIF(INDIRECT("'"&amp;AN7&amp;"'"&amp;"!E:E"),$AE$5,INDIRECT("'"&amp;AN7&amp;"'"&amp;"!F:F")))</f>
        <v>38.520000000000003</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391.38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148915.85999999999</v>
      </c>
      <c r="L16" s="206">
        <f>ROUND(M16*10000/SUM(K6:K14),0)</f>
        <v>1839</v>
      </c>
      <c r="M16" s="206">
        <f>SUM(M6:M14)</f>
        <v>27308</v>
      </c>
      <c r="N16" s="207">
        <f>ROUND(SUMPRODUCT(M6:M14,N6:N14)/M16,3)</f>
        <v>0</v>
      </c>
      <c r="O16" s="206">
        <f>SUM(O6:O14)</f>
        <v>0</v>
      </c>
      <c r="P16" s="206">
        <f>SUM(P6:P14)</f>
        <v>27308</v>
      </c>
      <c r="Q16" s="208">
        <f>ROUND(SUMPRODUCT(Q6:Q13,K6:K13)/SUMPRODUCT((Q6:Q13&gt;0)*(K6:K13)),2)</f>
        <v>0.16</v>
      </c>
      <c r="R16" s="2310">
        <f>SUM(R6:R13)</f>
        <v>49638.619999999995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0.93100000000000005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3156</v>
      </c>
      <c r="T18" s="3190" t="s">
        <v>3157</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3153</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3190" t="s">
        <v>3190</v>
      </c>
      <c r="N20" s="1988">
        <f>ROUND((Q6*K6+Q7*K7)/(K6+K7),2)</f>
        <v>0.16</v>
      </c>
      <c r="O20" s="1988"/>
      <c r="P20" s="1988"/>
      <c r="Q20" s="1988"/>
      <c r="R20" s="1988"/>
      <c r="S20" s="1988" t="s">
        <v>3154</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3155</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8" t="s">
        <v>1663</v>
      </c>
      <c r="B1" s="3289"/>
      <c r="C1" s="3289"/>
      <c r="D1" s="3289"/>
      <c r="E1" s="3289"/>
      <c r="F1" s="3289"/>
      <c r="G1" s="3289"/>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5" sqref="H35"/>
    </sheetView>
  </sheetViews>
  <sheetFormatPr defaultColWidth="14.625" defaultRowHeight="13.5"/>
  <cols>
    <col min="1" max="1" width="24.375" customWidth="1"/>
  </cols>
  <sheetData>
    <row r="1" spans="1:9" ht="16.5">
      <c r="A1" s="3044" t="s">
        <v>2846</v>
      </c>
      <c r="B1" s="3044">
        <f>SUM(B14:B23)</f>
        <v>785331.69</v>
      </c>
      <c r="C1" s="3045"/>
      <c r="D1" s="3045"/>
      <c r="E1" s="3045"/>
      <c r="F1" s="3045"/>
    </row>
    <row r="2" spans="1:9" ht="16.5">
      <c r="A2" s="3044" t="s">
        <v>2847</v>
      </c>
      <c r="B2" s="3044">
        <f>SUM(C14:C23)</f>
        <v>261943.52999999997</v>
      </c>
      <c r="C2" s="3045"/>
      <c r="D2" s="3045"/>
      <c r="E2" s="3045"/>
      <c r="F2" s="3045"/>
    </row>
    <row r="3" spans="1:9" ht="16.5">
      <c r="A3" s="3044" t="s">
        <v>2848</v>
      </c>
      <c r="B3" s="3046">
        <f>项目基本情况!D3</f>
        <v>43361</v>
      </c>
      <c r="C3" s="3045"/>
      <c r="D3" s="3045"/>
      <c r="E3" s="3045"/>
      <c r="F3" s="3045"/>
    </row>
    <row r="4" spans="1:9" ht="33">
      <c r="A4" s="3044" t="s">
        <v>2849</v>
      </c>
      <c r="B4" s="3044" t="s">
        <v>2850</v>
      </c>
      <c r="C4" s="3044" t="s">
        <v>2851</v>
      </c>
      <c r="D4" s="3044" t="s">
        <v>2852</v>
      </c>
      <c r="E4" s="3045"/>
      <c r="F4" s="3045"/>
    </row>
    <row r="5" spans="1:9" ht="16.5">
      <c r="A5" s="3044" t="s">
        <v>2853</v>
      </c>
      <c r="B5" s="3044">
        <f ca="1">SUM(D14:D23)</f>
        <v>32924</v>
      </c>
      <c r="C5" s="3044">
        <f ca="1">ROUND(B5*10000/$B$1,0)</f>
        <v>419</v>
      </c>
      <c r="D5" s="3044">
        <f ca="1">ROUND(B5*10000/$B$2,0)</f>
        <v>1257</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148915.85999999999</v>
      </c>
      <c r="C14" s="3048">
        <f>结果表!K38</f>
        <v>49638.62</v>
      </c>
      <c r="D14" s="3048">
        <f ca="1">结果表!C42</f>
        <v>14566</v>
      </c>
      <c r="E14" s="3048">
        <f ca="1">ROUND(D14*10000/B14,0)</f>
        <v>978</v>
      </c>
      <c r="F14" s="3048">
        <f ca="1">ROUND(D14*10000/C14,0)</f>
        <v>2934</v>
      </c>
      <c r="G14" s="3048" t="str">
        <f>结果表!C44</f>
        <v>——</v>
      </c>
      <c r="H14" s="3048" t="str">
        <f>结果表!C45</f>
        <v>——</v>
      </c>
      <c r="I14" s="3048" t="str">
        <f>结果表!C46</f>
        <v>——</v>
      </c>
    </row>
    <row r="15" spans="1:9" ht="16.5">
      <c r="A15" s="3051" t="s">
        <v>2863</v>
      </c>
      <c r="B15" s="3052">
        <f>Sheet2!C4</f>
        <v>22500</v>
      </c>
      <c r="C15" s="3052">
        <f>Sheet2!B4</f>
        <v>7505.2</v>
      </c>
      <c r="D15" s="3052">
        <f ca="1">Sheet2!I4</f>
        <v>2156</v>
      </c>
      <c r="E15" s="3048">
        <f t="shared" ref="E15:E23" ca="1" si="2">ROUND(D15*10000/B15,0)</f>
        <v>958</v>
      </c>
      <c r="F15" s="3048">
        <f t="shared" ref="F15:F23" ca="1" si="3">ROUND(D15*10000/C15,0)</f>
        <v>2873</v>
      </c>
      <c r="G15" s="3049"/>
      <c r="H15" s="3049"/>
      <c r="I15" s="3052"/>
    </row>
    <row r="16" spans="1:9" ht="16.5">
      <c r="A16" s="3051" t="s">
        <v>2864</v>
      </c>
      <c r="B16" s="3052">
        <f>Sheet2!C5</f>
        <v>165565.82999999999</v>
      </c>
      <c r="C16" s="3052">
        <f>Sheet2!B5</f>
        <v>55188.61</v>
      </c>
      <c r="D16" s="3052">
        <f ca="1">Sheet2!I5</f>
        <v>16192</v>
      </c>
      <c r="E16" s="3048">
        <f t="shared" ca="1" si="2"/>
        <v>978</v>
      </c>
      <c r="F16" s="3048">
        <f t="shared" ca="1" si="3"/>
        <v>2934</v>
      </c>
      <c r="G16" s="3049"/>
      <c r="H16" s="3049"/>
      <c r="I16" s="3052"/>
    </row>
    <row r="17" spans="1:9" ht="16.5">
      <c r="A17" s="3051" t="s">
        <v>2865</v>
      </c>
      <c r="B17" s="3052">
        <f>Sheet2!C6</f>
        <v>10550</v>
      </c>
      <c r="C17" s="3052">
        <f>Sheet2!B6</f>
        <v>3517.6</v>
      </c>
      <c r="D17" s="3052">
        <f>Sheet2!I6</f>
        <v>0</v>
      </c>
      <c r="E17" s="3048">
        <f t="shared" si="2"/>
        <v>0</v>
      </c>
      <c r="F17" s="3048">
        <f t="shared" si="3"/>
        <v>0</v>
      </c>
      <c r="G17" s="3049"/>
      <c r="H17" s="3049"/>
      <c r="I17" s="3052"/>
    </row>
    <row r="18" spans="1:9" ht="16.5">
      <c r="A18" s="3051" t="s">
        <v>2866</v>
      </c>
      <c r="B18" s="3052">
        <f>Sheet2!C7</f>
        <v>175600</v>
      </c>
      <c r="C18" s="3052">
        <f>Sheet2!B7</f>
        <v>58544.7</v>
      </c>
      <c r="D18" s="3052">
        <f>Sheet2!I7</f>
        <v>0</v>
      </c>
      <c r="E18" s="3048">
        <f t="shared" si="2"/>
        <v>0</v>
      </c>
      <c r="F18" s="3048">
        <f t="shared" si="3"/>
        <v>0</v>
      </c>
      <c r="G18" s="3052"/>
      <c r="H18" s="3052"/>
      <c r="I18" s="3052"/>
    </row>
    <row r="19" spans="1:9" ht="16.5">
      <c r="A19" s="3051" t="s">
        <v>2867</v>
      </c>
      <c r="B19" s="3052">
        <f>Sheet2!C8</f>
        <v>169000</v>
      </c>
      <c r="C19" s="3052">
        <f>Sheet2!B8</f>
        <v>56452.3</v>
      </c>
      <c r="D19" s="3052">
        <f>Sheet2!I8</f>
        <v>0</v>
      </c>
      <c r="E19" s="3048">
        <f t="shared" si="2"/>
        <v>0</v>
      </c>
      <c r="F19" s="3048">
        <f t="shared" si="3"/>
        <v>0</v>
      </c>
      <c r="G19" s="3052"/>
      <c r="H19" s="3052"/>
      <c r="I19" s="3052"/>
    </row>
    <row r="20" spans="1:9" ht="16.5">
      <c r="A20" s="3051" t="s">
        <v>2868</v>
      </c>
      <c r="B20" s="3052">
        <f>Sheet2!C9</f>
        <v>93200</v>
      </c>
      <c r="C20" s="3052">
        <f>Sheet2!B9</f>
        <v>31096.5</v>
      </c>
      <c r="D20" s="3052">
        <f>Sheet2!I9</f>
        <v>0</v>
      </c>
      <c r="E20" s="3048">
        <f t="shared" si="2"/>
        <v>0</v>
      </c>
      <c r="F20" s="3048">
        <f t="shared" si="3"/>
        <v>0</v>
      </c>
      <c r="G20" s="3052"/>
      <c r="H20" s="3052"/>
      <c r="I20" s="3052"/>
    </row>
    <row r="21" spans="1:9" ht="16.5">
      <c r="A21" s="3051" t="s">
        <v>2869</v>
      </c>
      <c r="B21" s="3052"/>
      <c r="C21" s="3052"/>
      <c r="D21" s="3052">
        <v>10</v>
      </c>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96" zoomScaleSheetLayoutView="96" zoomScalePageLayoutView="80" workbookViewId="0">
      <selection activeCell="I31" sqref="I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26" t="str">
        <f>项目基本情况!K2</f>
        <v>贵州省普定县穿洞街道金马新村出让国有建设用地使用权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19" t="s">
        <v>298</v>
      </c>
      <c r="B3" s="3320"/>
      <c r="C3" s="3320"/>
      <c r="D3" s="3320"/>
      <c r="E3" s="3320"/>
      <c r="F3" s="3320"/>
      <c r="G3" s="3320"/>
      <c r="H3" s="3320"/>
      <c r="I3" s="3320"/>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291" t="s">
        <v>301</v>
      </c>
      <c r="F4" s="3292"/>
      <c r="G4" s="3292"/>
      <c r="H4" s="3292"/>
      <c r="I4" s="3321"/>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0" t="s">
        <v>302</v>
      </c>
      <c r="B5" s="3316">
        <v>25</v>
      </c>
      <c r="C5" s="3314"/>
      <c r="D5" s="3318"/>
      <c r="E5" s="261" t="s">
        <v>303</v>
      </c>
      <c r="F5" s="262"/>
      <c r="G5" s="262"/>
      <c r="H5" s="262"/>
      <c r="I5" s="263"/>
      <c r="J5" s="2029"/>
      <c r="K5" s="2028"/>
      <c r="L5" s="2028"/>
      <c r="M5" s="2028"/>
      <c r="N5" s="2028"/>
      <c r="O5" s="2028"/>
      <c r="P5" s="2028"/>
      <c r="Q5" s="2028"/>
      <c r="R5" s="2028"/>
      <c r="S5" s="2028"/>
      <c r="T5" s="2028"/>
      <c r="U5" s="2028"/>
      <c r="V5" s="2028"/>
    </row>
    <row r="6" spans="1:22" ht="14.25">
      <c r="A6" s="3290"/>
      <c r="B6" s="3316"/>
      <c r="C6" s="3317"/>
      <c r="D6" s="3318"/>
      <c r="E6" s="261" t="s">
        <v>304</v>
      </c>
      <c r="F6" s="262"/>
      <c r="G6" s="262"/>
      <c r="H6" s="262"/>
      <c r="I6" s="263"/>
      <c r="J6" s="2029"/>
      <c r="K6" s="2028"/>
      <c r="L6" s="2028"/>
      <c r="M6" s="2028"/>
      <c r="N6" s="2028"/>
      <c r="O6" s="2028"/>
      <c r="P6" s="2028"/>
      <c r="Q6" s="2028"/>
      <c r="R6" s="2028"/>
      <c r="S6" s="2028"/>
      <c r="T6" s="2028"/>
      <c r="U6" s="2028"/>
      <c r="V6" s="2028"/>
    </row>
    <row r="7" spans="1:22" ht="14.25">
      <c r="A7" s="3290"/>
      <c r="B7" s="3316"/>
      <c r="C7" s="3315"/>
      <c r="D7" s="3318"/>
      <c r="E7" s="261" t="s">
        <v>305</v>
      </c>
      <c r="F7" s="262"/>
      <c r="G7" s="262"/>
      <c r="H7" s="262"/>
      <c r="I7" s="263"/>
      <c r="J7" s="2029"/>
      <c r="K7" s="2028"/>
      <c r="L7" s="2028"/>
      <c r="M7" s="2028"/>
      <c r="N7" s="2028"/>
      <c r="O7" s="2028"/>
      <c r="P7" s="2028"/>
      <c r="Q7" s="2028"/>
      <c r="R7" s="2028"/>
      <c r="S7" s="2028"/>
      <c r="T7" s="2028"/>
      <c r="U7" s="2028"/>
      <c r="V7" s="2028"/>
    </row>
    <row r="8" spans="1:22" ht="14.25">
      <c r="A8" s="3290" t="s">
        <v>306</v>
      </c>
      <c r="B8" s="3316">
        <v>15</v>
      </c>
      <c r="C8" s="3314"/>
      <c r="D8" s="3318"/>
      <c r="E8" s="261" t="s">
        <v>307</v>
      </c>
      <c r="F8" s="262"/>
      <c r="G8" s="262"/>
      <c r="H8" s="262"/>
      <c r="I8" s="263"/>
      <c r="J8" s="2029"/>
      <c r="K8" s="2028"/>
      <c r="L8" s="2028"/>
      <c r="M8" s="2028"/>
      <c r="N8" s="2028"/>
      <c r="O8" s="2028"/>
      <c r="P8" s="2028"/>
      <c r="Q8" s="2028"/>
      <c r="R8" s="2028"/>
      <c r="S8" s="2028"/>
      <c r="T8" s="2028"/>
      <c r="U8" s="2028"/>
      <c r="V8" s="2028"/>
    </row>
    <row r="9" spans="1:22" ht="14.25">
      <c r="A9" s="3290"/>
      <c r="B9" s="3316"/>
      <c r="C9" s="3315"/>
      <c r="D9" s="3318"/>
      <c r="E9" s="261" t="s">
        <v>308</v>
      </c>
      <c r="F9" s="262"/>
      <c r="G9" s="262"/>
      <c r="H9" s="262"/>
      <c r="I9" s="263"/>
      <c r="J9" s="2029"/>
      <c r="K9" s="2028"/>
      <c r="L9" s="2028"/>
      <c r="M9" s="2028"/>
      <c r="N9" s="2028"/>
      <c r="O9" s="2028"/>
      <c r="P9" s="2028"/>
      <c r="Q9" s="2028"/>
      <c r="R9" s="2028"/>
      <c r="S9" s="2028"/>
      <c r="T9" s="2028"/>
      <c r="U9" s="2028"/>
      <c r="V9" s="2028"/>
    </row>
    <row r="10" spans="1:22" ht="14.25">
      <c r="A10" s="3290" t="s">
        <v>309</v>
      </c>
      <c r="B10" s="3316">
        <v>15</v>
      </c>
      <c r="C10" s="3314"/>
      <c r="D10" s="3318"/>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0"/>
      <c r="B11" s="3316"/>
      <c r="C11" s="3315"/>
      <c r="D11" s="3318"/>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0" t="s">
        <v>312</v>
      </c>
      <c r="B12" s="3316">
        <v>15</v>
      </c>
      <c r="C12" s="3314"/>
      <c r="D12" s="3318"/>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0"/>
      <c r="B13" s="3316"/>
      <c r="C13" s="3315"/>
      <c r="D13" s="3318"/>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0" t="s">
        <v>315</v>
      </c>
      <c r="B14" s="3316">
        <v>30</v>
      </c>
      <c r="C14" s="3314">
        <v>6</v>
      </c>
      <c r="D14" s="3318">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0"/>
      <c r="B15" s="3316"/>
      <c r="C15" s="3317"/>
      <c r="D15" s="3318"/>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0"/>
      <c r="B16" s="3316"/>
      <c r="C16" s="3315"/>
      <c r="D16" s="3318"/>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7946</v>
      </c>
      <c r="D19" s="271">
        <f ca="1">SUMIF(INDIRECT("'"&amp;D4&amp;"'"&amp;"!A:A"),结果表!B19,INDIRECT("'"&amp;D4&amp;"'"&amp;"!B:B"))</f>
        <v>24497</v>
      </c>
      <c r="E19" s="268" t="s">
        <v>323</v>
      </c>
      <c r="F19" s="269" t="s">
        <v>322</v>
      </c>
      <c r="G19" s="272">
        <f ca="1">ROUND(C19*$C$18+D19*$D$18,0)</f>
        <v>14566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534</v>
      </c>
      <c r="D20" s="277">
        <f ca="1">SUMIF(INDIRECT("'"&amp;D4&amp;"'"&amp;"!A:A"),结果表!B20,INDIRECT("'"&amp;D4&amp;"'"&amp;"!B:B"))</f>
        <v>1645</v>
      </c>
      <c r="E20" s="274"/>
      <c r="F20" s="275" t="s">
        <v>325</v>
      </c>
      <c r="G20" s="278">
        <f ca="1">ROUND(C20*$C$18+D20*$D$18,0)</f>
        <v>978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1601</v>
      </c>
      <c r="D21" s="151">
        <f ca="1">SUMIF(INDIRECT("'"&amp;D4&amp;"'"&amp;"!A:A"),结果表!B21,INDIRECT("'"&amp;D4&amp;"'"&amp;"!B:B"))</f>
        <v>4935</v>
      </c>
      <c r="E21" s="274"/>
      <c r="F21" s="280" t="s">
        <v>327</v>
      </c>
      <c r="G21" s="282">
        <f ca="1">ROUND(C21*$C$18+D21*$D$18,0)</f>
        <v>2935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2.0829348099672793</v>
      </c>
      <c r="E22" s="284"/>
      <c r="F22" s="285"/>
      <c r="G22" s="286">
        <f ca="1">ROUND(G19/('数据-汇总表'!D3/666.67),0)</f>
        <v>196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7"/>
      <c r="B25" s="1321" t="s">
        <v>331</v>
      </c>
      <c r="C25" s="290">
        <f>IF(B30=0,0,C30)</f>
        <v>0</v>
      </c>
      <c r="D25" s="291"/>
      <c r="E25" s="311"/>
      <c r="F25" s="311"/>
      <c r="G25" s="311"/>
      <c r="H25" s="311"/>
      <c r="I25" s="311"/>
      <c r="J25" s="2028"/>
      <c r="K25" s="1255" t="str">
        <f ca="1">项目基本情况!B16&amp;"国有建设用地使用权价格："&amp;O38&amp;"万元"</f>
        <v>出让国有建设用地使用权价格：14566万元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大写金额：人民币壹亿肆仟伍佰陆拾陆万元整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单位面积地价：2934元/平方米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楼面地价：978元/平方米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14566</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978</v>
      </c>
      <c r="D33" s="1386" t="s">
        <v>1691</v>
      </c>
      <c r="E33" s="3296"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2934</v>
      </c>
      <c r="D34" s="1388" t="s">
        <v>1691</v>
      </c>
      <c r="E34" s="3337"/>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196</v>
      </c>
      <c r="D35" s="1391" t="s">
        <v>1693</v>
      </c>
      <c r="E35" s="3338"/>
      <c r="F35" s="301" t="s">
        <v>342</v>
      </c>
      <c r="G35" s="982"/>
      <c r="H35" s="981" t="s">
        <v>343</v>
      </c>
      <c r="I35" s="311"/>
      <c r="J35" s="2028"/>
      <c r="K35" s="3311" t="s">
        <v>350</v>
      </c>
      <c r="L35" s="3311" t="s">
        <v>351</v>
      </c>
      <c r="M35" s="1264" t="s">
        <v>352</v>
      </c>
      <c r="N35" s="3311" t="s">
        <v>353</v>
      </c>
      <c r="O35" s="3311" t="s">
        <v>354</v>
      </c>
      <c r="P35" s="2028"/>
      <c r="V35" s="2028"/>
    </row>
    <row r="36" spans="1:26" ht="16.5" customHeight="1">
      <c r="A36" s="303" t="s">
        <v>344</v>
      </c>
      <c r="B36" s="304" t="s">
        <v>333</v>
      </c>
      <c r="C36" s="305" t="s">
        <v>345</v>
      </c>
      <c r="D36" s="305" t="s">
        <v>346</v>
      </c>
      <c r="E36" s="306" t="s">
        <v>347</v>
      </c>
      <c r="F36" s="311"/>
      <c r="G36" s="311"/>
      <c r="H36" s="311"/>
      <c r="I36" s="311"/>
      <c r="J36" s="2030"/>
      <c r="K36" s="3312"/>
      <c r="L36" s="3312"/>
      <c r="M36" s="1266" t="s">
        <v>355</v>
      </c>
      <c r="N36" s="3312"/>
      <c r="O36" s="3312"/>
      <c r="P36" s="2028"/>
      <c r="V36" s="2028"/>
    </row>
    <row r="37" spans="1:26" ht="16.5" customHeight="1" thickBot="1">
      <c r="A37" s="1260" t="s">
        <v>348</v>
      </c>
      <c r="B37" s="307"/>
      <c r="C37" s="294"/>
      <c r="D37" s="294"/>
      <c r="E37" s="295"/>
      <c r="F37" s="311"/>
      <c r="G37" s="311"/>
      <c r="H37" s="311"/>
      <c r="I37" s="311"/>
      <c r="J37" s="2030"/>
      <c r="K37" s="3313"/>
      <c r="L37" s="3313"/>
      <c r="M37" s="1267"/>
      <c r="N37" s="3313"/>
      <c r="O37" s="3313"/>
      <c r="P37" s="2028"/>
      <c r="V37" s="2028"/>
    </row>
    <row r="38" spans="1:26" ht="16.5" customHeight="1" thickBot="1">
      <c r="A38" s="1260" t="s">
        <v>349</v>
      </c>
      <c r="B38" s="307"/>
      <c r="C38" s="294"/>
      <c r="D38" s="294"/>
      <c r="E38" s="295"/>
      <c r="F38" s="311"/>
      <c r="G38" s="311"/>
      <c r="H38" s="311"/>
      <c r="I38" s="311"/>
      <c r="J38" s="2030"/>
      <c r="K38" s="1268">
        <f>'数据-汇总表'!D3</f>
        <v>49638.62</v>
      </c>
      <c r="L38" s="1269">
        <f>'数据-汇总表'!E3</f>
        <v>148915.85999999999</v>
      </c>
      <c r="M38" s="1269">
        <f ca="1">C34</f>
        <v>2934</v>
      </c>
      <c r="N38" s="1269">
        <f ca="1">C33</f>
        <v>978</v>
      </c>
      <c r="O38" s="1270">
        <f ca="1">C32</f>
        <v>14566</v>
      </c>
      <c r="P38" s="2028"/>
      <c r="V38" s="2028"/>
    </row>
    <row r="39" spans="1:26" ht="16.5" customHeight="1" thickBot="1">
      <c r="A39" s="1265"/>
      <c r="B39" s="308"/>
      <c r="C39" s="309"/>
      <c r="D39" s="309"/>
      <c r="E39" s="310"/>
      <c r="F39" s="311"/>
      <c r="G39" s="311"/>
      <c r="H39" s="311"/>
      <c r="I39" s="311"/>
      <c r="J39" s="2030"/>
      <c r="K39" s="3356" t="str">
        <f>MID(A44,3,LEN(A44)-2)</f>
        <v/>
      </c>
      <c r="L39" s="3357"/>
      <c r="M39" s="3357"/>
      <c r="N39" s="3358"/>
      <c r="O39" s="1393" t="str">
        <f>C44</f>
        <v>——</v>
      </c>
      <c r="P39" s="2028"/>
      <c r="V39" s="2028"/>
    </row>
    <row r="40" spans="1:26" ht="19.5" thickBot="1">
      <c r="A40" s="104" t="s">
        <v>872</v>
      </c>
      <c r="B40" s="311"/>
      <c r="C40" s="311"/>
      <c r="D40" s="311"/>
      <c r="E40" s="311"/>
      <c r="F40" s="311"/>
      <c r="G40" s="311"/>
      <c r="H40" s="311"/>
      <c r="I40" s="311"/>
      <c r="J40" s="2030"/>
      <c r="K40" s="3356" t="str">
        <f t="shared" ref="K40:K41" si="0">MID(A45,3,LEN(A45)-2)</f>
        <v/>
      </c>
      <c r="L40" s="3357"/>
      <c r="M40" s="3357"/>
      <c r="N40" s="3358"/>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6" t="str">
        <f t="shared" si="0"/>
        <v/>
      </c>
      <c r="L41" s="3357"/>
      <c r="M41" s="3357"/>
      <c r="N41" s="3358"/>
      <c r="O41" s="1393" t="str">
        <f>C46</f>
        <v>——</v>
      </c>
      <c r="P41" s="2028"/>
      <c r="V41" s="2028"/>
    </row>
    <row r="42" spans="1:26" ht="29.25">
      <c r="A42" s="3298" t="s">
        <v>2069</v>
      </c>
      <c r="B42" s="3299"/>
      <c r="C42" s="264">
        <f ca="1">C32</f>
        <v>14566</v>
      </c>
      <c r="D42" s="317">
        <f ca="1">C33</f>
        <v>978</v>
      </c>
      <c r="E42" s="317">
        <f ca="1">C34</f>
        <v>2934</v>
      </c>
      <c r="F42" s="318">
        <f ca="1">C35</f>
        <v>196</v>
      </c>
      <c r="G42" s="311"/>
      <c r="H42" s="311"/>
      <c r="I42" s="319"/>
      <c r="J42" s="2030"/>
      <c r="K42" s="1271" t="s">
        <v>361</v>
      </c>
      <c r="L42" s="2047" t="s">
        <v>362</v>
      </c>
      <c r="M42" s="1272" t="s">
        <v>363</v>
      </c>
      <c r="N42" s="2048" t="s">
        <v>364</v>
      </c>
      <c r="O42" s="2049" t="s">
        <v>365</v>
      </c>
      <c r="P42" s="2028"/>
      <c r="V42" s="2028"/>
    </row>
    <row r="43" spans="1:26" ht="30">
      <c r="A43" s="3309" t="s">
        <v>2732</v>
      </c>
      <c r="B43" s="3310"/>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7946</v>
      </c>
      <c r="M43" s="1275">
        <f>C18</f>
        <v>0.6</v>
      </c>
      <c r="N43" s="1276">
        <f ca="1">IF(N42="测算结果/万元",G19,G20)</f>
        <v>14566</v>
      </c>
      <c r="O43" s="1277">
        <f ca="1">IF(O42="最终结果/万元",C32,C33)</f>
        <v>14566</v>
      </c>
      <c r="P43" s="2028"/>
      <c r="V43" s="2028"/>
    </row>
    <row r="44" spans="1:26" ht="30.75" thickBot="1">
      <c r="A44" s="3298" t="str">
        <f>IF(OR(项目基本情况!E8="抵押价格",项目基本情况!E8="已注销及未注销"),"3.抵押价格","——")</f>
        <v>——</v>
      </c>
      <c r="B44" s="3299"/>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24497</v>
      </c>
      <c r="M44" s="1280">
        <f>D18</f>
        <v>0.4</v>
      </c>
      <c r="N44" s="1281"/>
      <c r="O44" s="1282"/>
      <c r="P44" s="2028"/>
      <c r="V44" s="2028"/>
    </row>
    <row r="45" spans="1:26" ht="15">
      <c r="A45" s="3304" t="str">
        <f>IF(项目基本情况!E8="已注销及未注销","4.抵押担保权已注销时的抵押价格",IF(项目基本情况!E8="已注销","3.抵押担保权已注销时的抵押价格","——"))</f>
        <v>——</v>
      </c>
      <c r="B45" s="330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t="s">
        <v>3193</v>
      </c>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5" t="s">
        <v>374</v>
      </c>
      <c r="B63" s="3346"/>
      <c r="C63" s="3347"/>
      <c r="D63" s="341">
        <f ca="1">ROUND(C42*F63,0)</f>
        <v>8740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6" t="s">
        <v>378</v>
      </c>
      <c r="B64" s="3307"/>
      <c r="C64" s="3307"/>
      <c r="D64" s="3307"/>
      <c r="E64" s="3307"/>
      <c r="F64" s="3307"/>
      <c r="G64" s="3308"/>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2" t="s">
        <v>386</v>
      </c>
      <c r="B66" s="3303"/>
      <c r="C66" s="3303"/>
      <c r="D66" s="261">
        <f ca="1">IF(H66="情况1",0,IF(H66="情况2",D70,IF(H66="情况3",D71,IF(H66="情况4",D72))))</f>
        <v>458</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60" t="s">
        <v>385</v>
      </c>
      <c r="M66" s="3361"/>
      <c r="N66" s="2458"/>
      <c r="O66" s="2459"/>
      <c r="P66" s="2460"/>
      <c r="Q66" s="2028"/>
      <c r="R66" s="2028"/>
      <c r="S66" s="2028"/>
      <c r="T66" s="2028"/>
      <c r="U66" s="2028"/>
      <c r="V66" s="2028"/>
    </row>
    <row r="67" spans="1:22" ht="25.5" customHeight="1">
      <c r="A67" s="352" t="s">
        <v>390</v>
      </c>
      <c r="B67" s="3293" t="s">
        <v>391</v>
      </c>
      <c r="C67" s="3293"/>
      <c r="D67" s="353">
        <v>0</v>
      </c>
      <c r="E67" s="41" t="s">
        <v>392</v>
      </c>
      <c r="F67" s="62" t="s">
        <v>21</v>
      </c>
      <c r="G67" s="3348"/>
      <c r="H67" s="311"/>
      <c r="I67" s="1292"/>
      <c r="J67" s="2035"/>
      <c r="K67" s="1976">
        <v>2</v>
      </c>
      <c r="L67" s="3359" t="s">
        <v>389</v>
      </c>
      <c r="M67" s="3359"/>
      <c r="N67" s="1325">
        <f>'数据-取费表'!B2</f>
        <v>43361</v>
      </c>
      <c r="O67" s="1325"/>
      <c r="P67" s="1325"/>
      <c r="Q67" s="2028"/>
      <c r="R67" s="2028"/>
      <c r="S67" s="2028"/>
      <c r="T67" s="2028"/>
      <c r="U67" s="2028"/>
      <c r="V67" s="2028"/>
    </row>
    <row r="68" spans="1:22" ht="25.5" customHeight="1">
      <c r="A68" s="354"/>
      <c r="B68" s="3293" t="s">
        <v>394</v>
      </c>
      <c r="C68" s="3293"/>
      <c r="D68" s="355"/>
      <c r="E68" s="77"/>
      <c r="F68" s="356"/>
      <c r="G68" s="3349"/>
      <c r="H68" s="311"/>
      <c r="I68" s="1292"/>
      <c r="J68" s="2035"/>
      <c r="K68" s="1976">
        <v>3</v>
      </c>
      <c r="L68" s="3359" t="s">
        <v>393</v>
      </c>
      <c r="M68" s="3359"/>
      <c r="N68" s="1293">
        <f ca="1">C42</f>
        <v>14566</v>
      </c>
      <c r="O68" s="1293"/>
      <c r="P68" s="1293"/>
      <c r="Q68" s="2028"/>
      <c r="R68" s="2028"/>
      <c r="S68" s="2028"/>
      <c r="T68" s="2028"/>
      <c r="U68" s="2028"/>
      <c r="V68" s="2028"/>
    </row>
    <row r="69" spans="1:22" ht="12" customHeight="1">
      <c r="A69" s="357"/>
      <c r="B69" s="3293" t="s">
        <v>395</v>
      </c>
      <c r="C69" s="3293"/>
      <c r="D69" s="358"/>
      <c r="E69" s="73"/>
      <c r="F69" s="356"/>
      <c r="G69" s="3350"/>
      <c r="H69" s="311"/>
      <c r="I69" s="1292"/>
      <c r="J69" s="2035"/>
      <c r="K69" s="1294">
        <v>4</v>
      </c>
      <c r="L69" s="3364" t="s">
        <v>2885</v>
      </c>
      <c r="M69" s="3365"/>
      <c r="N69" s="1295" t="str">
        <f>C44</f>
        <v>——</v>
      </c>
      <c r="O69" s="1295"/>
      <c r="P69" s="1295"/>
      <c r="Q69" s="2028"/>
      <c r="R69" s="2028"/>
      <c r="S69" s="2028"/>
      <c r="T69" s="2028"/>
      <c r="U69" s="2028"/>
      <c r="V69" s="2028"/>
    </row>
    <row r="70" spans="1:22" ht="24" customHeight="1">
      <c r="A70" s="359" t="s">
        <v>396</v>
      </c>
      <c r="B70" s="3293" t="s">
        <v>397</v>
      </c>
      <c r="C70" s="3293"/>
      <c r="D70" s="358">
        <f ca="1">ROUND(D63*'数据-取费表'!B41/(1+'数据-取费表'!C42),0)</f>
        <v>458</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94" t="s">
        <v>405</v>
      </c>
      <c r="C71" s="3295"/>
      <c r="D71" s="358">
        <f ca="1">ROUND(D63*'数据-取费表'!B41/(1+'数据-取费表'!C42),0)</f>
        <v>458</v>
      </c>
      <c r="E71" s="17" t="s">
        <v>398</v>
      </c>
      <c r="F71" s="360">
        <f>'数据-取费表'!B41</f>
        <v>5.5000000000000007E-2</v>
      </c>
      <c r="G71" s="361"/>
      <c r="H71" s="311"/>
      <c r="I71" s="1292"/>
      <c r="J71" s="2035"/>
      <c r="K71" s="3060" t="s">
        <v>399</v>
      </c>
      <c r="L71" s="3366" t="s">
        <v>400</v>
      </c>
      <c r="M71" s="3366"/>
      <c r="N71" s="3060" t="s">
        <v>401</v>
      </c>
      <c r="O71" s="3060" t="s">
        <v>402</v>
      </c>
      <c r="P71" s="3060" t="s">
        <v>403</v>
      </c>
      <c r="Q71" s="2028"/>
      <c r="R71" s="2028"/>
      <c r="S71" s="2028"/>
      <c r="T71" s="2028"/>
      <c r="U71" s="2028"/>
      <c r="V71" s="2028"/>
    </row>
    <row r="72" spans="1:22" ht="12" customHeight="1">
      <c r="A72" s="359" t="s">
        <v>407</v>
      </c>
      <c r="B72" s="3294" t="s">
        <v>408</v>
      </c>
      <c r="C72" s="3295"/>
      <c r="D72" s="358">
        <f ca="1">C86</f>
        <v>348</v>
      </c>
      <c r="E72" s="73" t="s">
        <v>409</v>
      </c>
      <c r="F72" s="360">
        <f>'数据-取费表'!B41</f>
        <v>5.5000000000000007E-2</v>
      </c>
      <c r="G72" s="361"/>
      <c r="H72" s="1298"/>
      <c r="I72" s="1292"/>
      <c r="J72" s="2035"/>
      <c r="K72" s="1976">
        <v>1</v>
      </c>
      <c r="L72" s="3341" t="s">
        <v>406</v>
      </c>
      <c r="M72" s="3341"/>
      <c r="N72" s="1296">
        <f ca="1">D66</f>
        <v>458</v>
      </c>
      <c r="O72" s="1861" t="str">
        <f>E66</f>
        <v>销售额×税（费）率</v>
      </c>
      <c r="P72" s="1297">
        <f>F66</f>
        <v>5.5000000000000007E-2</v>
      </c>
      <c r="Q72" s="2028"/>
      <c r="R72" s="2028"/>
      <c r="S72" s="2028"/>
      <c r="T72" s="2028"/>
      <c r="U72" s="2028"/>
      <c r="V72" s="2028"/>
    </row>
    <row r="73" spans="1:22" ht="24" customHeight="1">
      <c r="A73" s="3335" t="s">
        <v>411</v>
      </c>
      <c r="B73" s="3303"/>
      <c r="C73" s="3303"/>
      <c r="D73" s="362">
        <f>IF(H73="个人住宅",0,ROUND(D63*I73,0))</f>
        <v>0</v>
      </c>
      <c r="E73" s="17" t="s">
        <v>412</v>
      </c>
      <c r="F73" s="360" t="str">
        <f>IF(H73="正常",I73,"免征")</f>
        <v>免征</v>
      </c>
      <c r="G73" s="361"/>
      <c r="H73" s="191" t="s">
        <v>2457</v>
      </c>
      <c r="I73" s="360">
        <f>'数据-取费表'!B49</f>
        <v>5.0000000000000001E-4</v>
      </c>
      <c r="J73" s="2035"/>
      <c r="K73" s="1976">
        <v>2</v>
      </c>
      <c r="L73" s="3341" t="s">
        <v>410</v>
      </c>
      <c r="M73" s="3341"/>
      <c r="N73" s="1296">
        <f t="shared" ref="N73:P74" si="1">D73</f>
        <v>0</v>
      </c>
      <c r="O73" s="1861" t="str">
        <f t="shared" si="1"/>
        <v>销售额×税（费）率</v>
      </c>
      <c r="P73" s="1297" t="str">
        <f t="shared" si="1"/>
        <v>免征</v>
      </c>
      <c r="Q73" s="2028"/>
      <c r="R73" s="2028"/>
      <c r="S73" s="2028"/>
      <c r="T73" s="2028"/>
      <c r="U73" s="2028"/>
      <c r="V73" s="2028"/>
    </row>
    <row r="74" spans="1:22" ht="24.75">
      <c r="A74" s="3335" t="s">
        <v>415</v>
      </c>
      <c r="B74" s="3303"/>
      <c r="C74" s="3303"/>
      <c r="D74" s="362">
        <f ca="1">IF(H74="个人住宅",D75,D76)</f>
        <v>4299</v>
      </c>
      <c r="E74" s="17" t="s">
        <v>416</v>
      </c>
      <c r="F74" s="360" t="str">
        <f>IF(H74="正常",F76,"免征")</f>
        <v>——</v>
      </c>
      <c r="G74" s="983" t="s">
        <v>417</v>
      </c>
      <c r="H74" s="363" t="s">
        <v>413</v>
      </c>
      <c r="I74" s="42"/>
      <c r="J74" s="2035"/>
      <c r="K74" s="1976">
        <v>3</v>
      </c>
      <c r="L74" s="3341" t="s">
        <v>414</v>
      </c>
      <c r="M74" s="3341"/>
      <c r="N74" s="1296">
        <f t="shared" ca="1" si="1"/>
        <v>4299</v>
      </c>
      <c r="O74" s="1861" t="str">
        <f t="shared" si="1"/>
        <v>增值额×税（费）率</v>
      </c>
      <c r="P74" s="1299" t="str">
        <f t="shared" si="1"/>
        <v>——</v>
      </c>
      <c r="Q74" s="2028"/>
      <c r="R74" s="2028"/>
      <c r="S74" s="2028"/>
      <c r="T74" s="2028"/>
      <c r="U74" s="2028"/>
      <c r="V74" s="2028"/>
    </row>
    <row r="75" spans="1:22" ht="24">
      <c r="A75" s="359" t="s">
        <v>418</v>
      </c>
      <c r="B75" s="3291" t="s">
        <v>419</v>
      </c>
      <c r="C75" s="3321"/>
      <c r="D75" s="364">
        <v>0</v>
      </c>
      <c r="E75" s="41" t="s">
        <v>420</v>
      </c>
      <c r="F75" s="365"/>
      <c r="G75" s="361"/>
      <c r="H75" s="42"/>
      <c r="I75" s="42"/>
      <c r="J75" s="2035"/>
      <c r="K75" s="3053">
        <f>IF(H77="非个人房产","",4)</f>
        <v>4</v>
      </c>
      <c r="L75" s="3341" t="str">
        <f>IF(H77="非个人房产","——","个人所得税")</f>
        <v>个人所得税</v>
      </c>
      <c r="M75" s="3341"/>
      <c r="N75" s="1300">
        <f ca="1">D77</f>
        <v>87</v>
      </c>
      <c r="O75" s="1874" t="str">
        <f>E77</f>
        <v>销售额×税（费）率</v>
      </c>
      <c r="P75" s="1301">
        <f>F77</f>
        <v>0.01</v>
      </c>
      <c r="Q75" s="2028"/>
      <c r="R75" s="2028"/>
      <c r="S75" s="2028"/>
      <c r="T75" s="2028"/>
      <c r="U75" s="2028"/>
      <c r="V75" s="2028"/>
    </row>
    <row r="76" spans="1:22" ht="24.75">
      <c r="A76" s="359" t="s">
        <v>396</v>
      </c>
      <c r="B76" s="3291" t="s">
        <v>422</v>
      </c>
      <c r="C76" s="3292"/>
      <c r="D76" s="362">
        <f ca="1">IF(H76="转让取得",C99,C115)</f>
        <v>4299</v>
      </c>
      <c r="E76" s="17" t="s">
        <v>423</v>
      </c>
      <c r="F76" s="53" t="s">
        <v>21</v>
      </c>
      <c r="G76" s="361"/>
      <c r="H76" s="363" t="s">
        <v>424</v>
      </c>
      <c r="I76" s="42"/>
      <c r="J76" s="2035"/>
      <c r="K76" s="3053" t="str">
        <f>IF(项目基本情况!K6="上海银行",IF(K75="",4,K75+1),"")</f>
        <v/>
      </c>
      <c r="L76" s="3352" t="str">
        <f>IF(项目基本情况!K6="上海银行","其他处置费用","")</f>
        <v/>
      </c>
      <c r="M76" s="3353"/>
      <c r="N76" s="1296" t="str">
        <f>IF(项目基本情况!K6="上海银行",N89,"")</f>
        <v/>
      </c>
      <c r="O76" s="3354" t="str">
        <f>IF(项目基本情况!K6="上海银行","包含处置中涉及的律师、诉讼、拍卖、评估等费用","")</f>
        <v/>
      </c>
      <c r="P76" s="3355"/>
      <c r="Q76" s="2028"/>
      <c r="R76" s="2028"/>
      <c r="S76" s="2028"/>
      <c r="T76" s="2028"/>
      <c r="U76" s="2028"/>
      <c r="V76" s="2028"/>
    </row>
    <row r="77" spans="1:22" ht="26.25" thickBot="1">
      <c r="A77" s="3343" t="s">
        <v>426</v>
      </c>
      <c r="B77" s="3344"/>
      <c r="C77" s="3344"/>
      <c r="D77" s="366">
        <f ca="1">IF(H77="非个人房产","——",IF(H77="个人住宅",0,ROUND(D63*I77,0)))</f>
        <v>87</v>
      </c>
      <c r="E77" s="367" t="str">
        <f>IF(H77="非个人房产","——","销售额×税（费）率")</f>
        <v>销售额×税（费）率</v>
      </c>
      <c r="F77" s="368">
        <f>IF(H77="非个人房产","——",IF(H77="个人住宅","免征",I77))</f>
        <v>0.01</v>
      </c>
      <c r="G77" s="984" t="s">
        <v>417</v>
      </c>
      <c r="H77" s="363" t="s">
        <v>2886</v>
      </c>
      <c r="I77" s="369">
        <v>0.01</v>
      </c>
      <c r="J77" s="2035"/>
      <c r="K77" s="3342">
        <f>IF(AND(K75="",K76=""),4,IF(项目基本情况!K6="上海银行",K76+1,K75+1))</f>
        <v>5</v>
      </c>
      <c r="L77" s="3341" t="s">
        <v>2887</v>
      </c>
      <c r="M77" s="3059" t="s">
        <v>421</v>
      </c>
      <c r="N77" s="1302"/>
      <c r="O77" s="1303">
        <f ca="1">SUMIF(N72:N76,"&lt;9e307")</f>
        <v>4844</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42"/>
      <c r="L78" s="3341"/>
      <c r="M78" s="3059" t="s">
        <v>425</v>
      </c>
      <c r="N78" s="1302"/>
      <c r="O78" s="1303" t="str">
        <f ca="1">NUMBERSTRING(INT(O77*10000),2)&amp;"元整"</f>
        <v>肆仟捌佰肆拾肆万元整</v>
      </c>
      <c r="P78" s="1304"/>
      <c r="Q78" s="2028"/>
      <c r="R78" s="2028"/>
      <c r="S78" s="2028"/>
      <c r="T78" s="2028"/>
      <c r="U78" s="2028"/>
      <c r="V78" s="2028"/>
    </row>
    <row r="79" spans="1:22" ht="13.5" thickBot="1">
      <c r="A79" s="3336" t="s">
        <v>427</v>
      </c>
      <c r="B79" s="3336"/>
      <c r="C79" s="3336"/>
      <c r="D79" s="3336"/>
      <c r="E79" s="3336"/>
      <c r="F79" s="42"/>
      <c r="G79" s="42"/>
      <c r="H79" s="1003"/>
      <c r="I79" s="311"/>
      <c r="J79" s="2035"/>
      <c r="K79" s="3362">
        <f>K77+1</f>
        <v>6</v>
      </c>
      <c r="L79" s="3341" t="s">
        <v>2888</v>
      </c>
      <c r="M79" s="3059" t="s">
        <v>421</v>
      </c>
      <c r="N79" s="1302"/>
      <c r="O79" s="1303" t="e">
        <f ca="1">N69-O77</f>
        <v>#VALUE!</v>
      </c>
      <c r="P79" s="1304"/>
      <c r="Q79" s="2028"/>
      <c r="R79" s="2028"/>
      <c r="S79" s="2028"/>
      <c r="T79" s="2028"/>
      <c r="U79" s="2028"/>
      <c r="V79" s="2028"/>
    </row>
    <row r="80" spans="1:22" ht="12.75">
      <c r="A80" s="3331" t="s">
        <v>428</v>
      </c>
      <c r="B80" s="3332"/>
      <c r="C80" s="994"/>
      <c r="D80" s="994" t="s">
        <v>429</v>
      </c>
      <c r="E80" s="370" t="s">
        <v>430</v>
      </c>
      <c r="F80" s="42"/>
      <c r="G80" s="42"/>
      <c r="H80" s="1003"/>
      <c r="I80" s="311"/>
      <c r="J80" s="2028"/>
      <c r="K80" s="3363"/>
      <c r="L80" s="3341"/>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8324</v>
      </c>
      <c r="D81" s="373"/>
      <c r="E81" s="374"/>
      <c r="F81" s="42"/>
      <c r="G81" s="42"/>
      <c r="H81" s="1003"/>
      <c r="I81" s="311"/>
      <c r="J81" s="2028"/>
      <c r="K81" s="3053">
        <f>K79+1</f>
        <v>7</v>
      </c>
      <c r="L81" s="3339" t="s">
        <v>2889</v>
      </c>
      <c r="M81" s="3340"/>
      <c r="N81" s="1306"/>
      <c r="O81" s="1307" t="e">
        <f ca="1">ROUND(O79*10000/'数据-汇总表'!E3,0)</f>
        <v>#VALUE!</v>
      </c>
      <c r="P81" s="1308"/>
      <c r="Q81" s="2028"/>
      <c r="R81" s="2028"/>
      <c r="S81" s="2028"/>
      <c r="T81" s="2028"/>
      <c r="U81" s="2028"/>
      <c r="V81" s="2028"/>
    </row>
    <row r="82" spans="1:26" ht="13.5" thickTop="1">
      <c r="A82" s="375" t="s">
        <v>1824</v>
      </c>
      <c r="B82" s="376" t="s">
        <v>432</v>
      </c>
      <c r="C82" s="377">
        <f ca="1">D63</f>
        <v>8740</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51"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51"/>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6324</v>
      </c>
      <c r="D85" s="378" t="s">
        <v>19</v>
      </c>
      <c r="E85" s="379"/>
      <c r="F85" s="42"/>
      <c r="G85" s="42"/>
      <c r="H85" s="1003"/>
      <c r="I85" s="311"/>
      <c r="J85" s="2028"/>
      <c r="K85" s="3351"/>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348</v>
      </c>
      <c r="D86" s="389">
        <f>'数据-取费表'!B41</f>
        <v>5.5000000000000007E-2</v>
      </c>
      <c r="E86" s="390"/>
      <c r="F86" s="42"/>
      <c r="G86" s="42"/>
      <c r="H86" s="1003"/>
      <c r="I86" s="311"/>
      <c r="J86" s="2028"/>
      <c r="K86" s="3351"/>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1"/>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33" t="s">
        <v>437</v>
      </c>
      <c r="B88" s="3334"/>
      <c r="C88" s="3334"/>
      <c r="D88" s="3334"/>
      <c r="E88" s="3334"/>
      <c r="F88" s="3334"/>
      <c r="G88" s="3334"/>
      <c r="H88" s="3334"/>
      <c r="I88" s="1315"/>
      <c r="J88" s="2036"/>
      <c r="K88" s="3351"/>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31" t="s">
        <v>428</v>
      </c>
      <c r="B89" s="3332"/>
      <c r="C89" s="994"/>
      <c r="D89" s="994" t="s">
        <v>429</v>
      </c>
      <c r="E89" s="391" t="s">
        <v>438</v>
      </c>
      <c r="F89" s="392"/>
      <c r="G89" s="392"/>
      <c r="H89" s="393"/>
      <c r="I89" s="1316"/>
      <c r="J89" s="2038"/>
      <c r="K89" s="3351"/>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8324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2603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94" t="s">
        <v>447</v>
      </c>
      <c r="F94" s="3293"/>
      <c r="G94" s="3293"/>
      <c r="H94" s="333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42</v>
      </c>
      <c r="D96" s="406">
        <f>'数据-取费表'!B43</f>
        <v>5.000000000000001E-3</v>
      </c>
      <c r="E96" s="3322" t="s">
        <v>2430</v>
      </c>
      <c r="F96" s="3323"/>
      <c r="G96" s="3323"/>
      <c r="H96" s="332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5721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2.1978486361890126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2522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3" t="s">
        <v>454</v>
      </c>
      <c r="B101" s="3334"/>
      <c r="C101" s="3334"/>
      <c r="D101" s="3334"/>
      <c r="E101" s="3334"/>
      <c r="F101" s="3334"/>
      <c r="G101" s="3334"/>
      <c r="H101" s="333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1" t="s">
        <v>428</v>
      </c>
      <c r="B102" s="333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8324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732</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5" t="s">
        <v>462</v>
      </c>
      <c r="F109" s="3323"/>
      <c r="G109" s="3323"/>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5" t="s">
        <v>464</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42</v>
      </c>
      <c r="D111" s="406">
        <f>'数据-取费表'!B43</f>
        <v>5.000000000000001E-3</v>
      </c>
      <c r="E111" s="3322" t="s">
        <v>2430</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5" t="s">
        <v>2455</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7592</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10.371584699453551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4299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V48" sqref="V48: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7946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534</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1601</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76" t="s">
        <v>522</v>
      </c>
      <c r="D6" s="3377"/>
      <c r="E6" s="3376" t="s">
        <v>523</v>
      </c>
      <c r="F6" s="3377"/>
      <c r="G6" s="3376" t="s">
        <v>524</v>
      </c>
      <c r="H6" s="3377"/>
      <c r="I6" s="3376" t="s">
        <v>525</v>
      </c>
      <c r="J6" s="3377"/>
      <c r="K6" s="514" t="s">
        <v>526</v>
      </c>
      <c r="L6" s="2133"/>
      <c r="M6" s="2132"/>
      <c r="N6" s="2132"/>
      <c r="O6" s="2134"/>
      <c r="P6" s="3378" t="s">
        <v>527</v>
      </c>
      <c r="Q6" s="3379"/>
      <c r="R6" s="3384" t="s">
        <v>523</v>
      </c>
      <c r="S6" s="3385"/>
      <c r="T6" s="3384" t="s">
        <v>524</v>
      </c>
      <c r="U6" s="3385"/>
      <c r="V6" s="3371" t="s">
        <v>525</v>
      </c>
      <c r="W6" s="3371"/>
      <c r="X6" s="1568"/>
      <c r="Y6" s="3384" t="s">
        <v>527</v>
      </c>
      <c r="Z6" s="3385"/>
      <c r="AA6" s="3373" t="s">
        <v>523</v>
      </c>
      <c r="AB6" s="3374" t="s">
        <v>524</v>
      </c>
      <c r="AC6" s="3373" t="s">
        <v>525</v>
      </c>
    </row>
    <row r="7" spans="1:30" ht="20.25">
      <c r="A7" s="515"/>
      <c r="B7" s="516"/>
      <c r="C7" s="3392" t="s">
        <v>3136</v>
      </c>
      <c r="D7" s="3393"/>
      <c r="E7" s="3392" t="s">
        <v>3191</v>
      </c>
      <c r="F7" s="3393"/>
      <c r="G7" s="3392" t="s">
        <v>3194</v>
      </c>
      <c r="H7" s="3393"/>
      <c r="I7" s="3392" t="s">
        <v>3194</v>
      </c>
      <c r="J7" s="3393"/>
      <c r="K7" s="514"/>
      <c r="L7" s="2133"/>
      <c r="M7" s="2132"/>
      <c r="N7" s="2132"/>
      <c r="O7" s="2134"/>
      <c r="P7" s="3380"/>
      <c r="Q7" s="3381"/>
      <c r="R7" s="3386"/>
      <c r="S7" s="3387"/>
      <c r="T7" s="3386"/>
      <c r="U7" s="3387"/>
      <c r="V7" s="3371"/>
      <c r="W7" s="3371"/>
      <c r="X7" s="1568"/>
      <c r="Y7" s="3386"/>
      <c r="Z7" s="3387"/>
      <c r="AA7" s="3374"/>
      <c r="AB7" s="3374"/>
      <c r="AC7" s="3374"/>
    </row>
    <row r="8" spans="1:30" ht="21" thickBot="1">
      <c r="A8" s="515"/>
      <c r="B8" s="516"/>
      <c r="C8" s="3394" t="s">
        <v>2932</v>
      </c>
      <c r="D8" s="3395"/>
      <c r="E8" s="3394" t="s">
        <v>2932</v>
      </c>
      <c r="F8" s="3395"/>
      <c r="G8" s="3390" t="s">
        <v>2932</v>
      </c>
      <c r="H8" s="3391"/>
      <c r="I8" s="3390" t="s">
        <v>2932</v>
      </c>
      <c r="J8" s="3391"/>
      <c r="K8" s="514" t="s">
        <v>528</v>
      </c>
      <c r="L8" s="2133"/>
      <c r="M8" s="2132"/>
      <c r="N8" s="2132"/>
      <c r="O8" s="2134"/>
      <c r="P8" s="3382"/>
      <c r="Q8" s="3383"/>
      <c r="R8" s="3386"/>
      <c r="S8" s="3387"/>
      <c r="T8" s="3388"/>
      <c r="U8" s="3389"/>
      <c r="V8" s="3371"/>
      <c r="W8" s="3371"/>
      <c r="X8" s="1568"/>
      <c r="Y8" s="3388"/>
      <c r="Z8" s="3389"/>
      <c r="AA8" s="3375"/>
      <c r="AB8" s="3375"/>
      <c r="AC8" s="3375"/>
    </row>
    <row r="9" spans="1:30" s="1220" customFormat="1" ht="21" thickBot="1">
      <c r="A9" s="2912"/>
      <c r="B9" s="2919" t="s">
        <v>529</v>
      </c>
      <c r="C9" s="2911">
        <f>'数据-取费表'!B2</f>
        <v>43361</v>
      </c>
      <c r="D9" s="520">
        <v>100</v>
      </c>
      <c r="E9" s="521" t="str">
        <f>Sheet1!H5</f>
        <v>2018-08-31</v>
      </c>
      <c r="F9" s="522">
        <f>SUMIF(72:72,YEAR(E9)&amp;"-"&amp;INT((MONTH(E9)+2)/3),73:73)</f>
        <v>100</v>
      </c>
      <c r="G9" s="523" t="str">
        <f>Sheet1!H7</f>
        <v>2018-07-20</v>
      </c>
      <c r="H9" s="520">
        <f>SUMIF(72:72,YEAR(G9)&amp;"-"&amp;INT((MONTH(G9)+2)/3),73:73)</f>
        <v>100</v>
      </c>
      <c r="I9" s="523" t="str">
        <f>Sheet1!H22</f>
        <v>2018-03-14</v>
      </c>
      <c r="J9" s="520">
        <f>SUMIF(72:72,YEAR(I9)&amp;"-"&amp;INT((MONTH(I9)+2)/3),73:73)</f>
        <v>97.5</v>
      </c>
      <c r="K9" s="524"/>
      <c r="L9" s="2135"/>
      <c r="M9" s="2132"/>
      <c r="N9" s="2132"/>
      <c r="O9" s="2136"/>
      <c r="P9" s="3401" t="s">
        <v>530</v>
      </c>
      <c r="Q9" s="3403"/>
      <c r="R9" s="1569" t="s">
        <v>8</v>
      </c>
      <c r="S9" s="1570">
        <f t="shared" ref="S9:S17" si="0">F9</f>
        <v>100</v>
      </c>
      <c r="T9" s="1569" t="s">
        <v>8</v>
      </c>
      <c r="U9" s="1570">
        <f t="shared" ref="U9:U17" si="1">H9</f>
        <v>100</v>
      </c>
      <c r="V9" s="1569" t="s">
        <v>8</v>
      </c>
      <c r="W9" s="1570">
        <f t="shared" ref="W9:W17" si="2">J9</f>
        <v>97.5</v>
      </c>
      <c r="X9" s="1571"/>
      <c r="Y9" s="3401" t="s">
        <v>530</v>
      </c>
      <c r="Z9" s="3402"/>
      <c r="AA9" s="1572">
        <f>D9/F9</f>
        <v>1</v>
      </c>
      <c r="AB9" s="1572">
        <f>D9/H9</f>
        <v>1</v>
      </c>
      <c r="AC9" s="1572">
        <f>D9/J9</f>
        <v>1.0256410256410255</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1" t="s">
        <v>533</v>
      </c>
      <c r="Q10" s="3402"/>
      <c r="R10" s="1569" t="s">
        <v>8</v>
      </c>
      <c r="S10" s="1570">
        <f t="shared" si="0"/>
        <v>100</v>
      </c>
      <c r="T10" s="1569" t="s">
        <v>8</v>
      </c>
      <c r="U10" s="1570">
        <f t="shared" si="1"/>
        <v>100</v>
      </c>
      <c r="V10" s="1569" t="s">
        <v>8</v>
      </c>
      <c r="W10" s="1570">
        <f t="shared" si="2"/>
        <v>100</v>
      </c>
      <c r="X10" s="1571"/>
      <c r="Y10" s="3401" t="s">
        <v>533</v>
      </c>
      <c r="Z10" s="3402"/>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30" s="1338" customFormat="1" ht="27">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70"/>
      <c r="Q12" s="1151" t="str">
        <f t="shared" si="6"/>
        <v>土地使用年限（年）</v>
      </c>
      <c r="R12" s="1569" t="s">
        <v>8</v>
      </c>
      <c r="S12" s="1570">
        <f t="shared" si="0"/>
        <v>101</v>
      </c>
      <c r="T12" s="1569" t="s">
        <v>8</v>
      </c>
      <c r="U12" s="1570">
        <f t="shared" si="1"/>
        <v>101</v>
      </c>
      <c r="V12" s="1569" t="s">
        <v>8</v>
      </c>
      <c r="W12" s="1570">
        <f t="shared" si="2"/>
        <v>101</v>
      </c>
      <c r="X12" s="1571"/>
      <c r="Y12" s="3316"/>
      <c r="Z12" s="1150" t="str">
        <f t="shared" si="7"/>
        <v>土地使用年限（年）</v>
      </c>
      <c r="AA12" s="1572">
        <f t="shared" si="3"/>
        <v>0.99009900990099009</v>
      </c>
      <c r="AB12" s="1572">
        <f t="shared" si="4"/>
        <v>0.99009900990099009</v>
      </c>
      <c r="AC12" s="1572">
        <f t="shared" si="5"/>
        <v>0.99009900990099009</v>
      </c>
    </row>
    <row r="13" spans="1:30" ht="20.25">
      <c r="A13" s="2916"/>
      <c r="B13" s="2920" t="s">
        <v>2760</v>
      </c>
      <c r="C13" s="534">
        <v>3</v>
      </c>
      <c r="D13" s="255">
        <v>100</v>
      </c>
      <c r="E13" s="533">
        <v>2.9</v>
      </c>
      <c r="F13" s="255">
        <f>LOOKUP(E13,82:82,83:83)-LOOKUP(C13,82:82,83:83)+100</f>
        <v>105</v>
      </c>
      <c r="G13" s="534">
        <v>2.4</v>
      </c>
      <c r="H13" s="255">
        <f>LOOKUP(G13,82:82,83:83)-LOOKUP(C13,82:82,83:83)+100</f>
        <v>105</v>
      </c>
      <c r="I13" s="533">
        <v>1.9</v>
      </c>
      <c r="J13" s="255">
        <f>LOOKUP(I13,82:82,83:83)-LOOKUP(C13,82:82,83:83)+100</f>
        <v>110</v>
      </c>
      <c r="K13" s="535">
        <v>5</v>
      </c>
      <c r="L13" s="2140"/>
      <c r="M13" s="2132"/>
      <c r="N13" s="2132"/>
      <c r="O13" s="2141"/>
      <c r="P13" s="3370"/>
      <c r="Q13" s="1151" t="str">
        <f t="shared" si="6"/>
        <v>容积率</v>
      </c>
      <c r="R13" s="1569" t="s">
        <v>8</v>
      </c>
      <c r="S13" s="1570">
        <f t="shared" si="0"/>
        <v>105</v>
      </c>
      <c r="T13" s="1569" t="s">
        <v>8</v>
      </c>
      <c r="U13" s="1570">
        <f t="shared" si="1"/>
        <v>105</v>
      </c>
      <c r="V13" s="1569" t="s">
        <v>8</v>
      </c>
      <c r="W13" s="1570">
        <f t="shared" si="2"/>
        <v>110</v>
      </c>
      <c r="X13" s="1571"/>
      <c r="Y13" s="3316"/>
      <c r="Z13" s="1150" t="str">
        <f t="shared" si="7"/>
        <v>容积率</v>
      </c>
      <c r="AA13" s="1572">
        <f t="shared" si="3"/>
        <v>0.95238095238095233</v>
      </c>
      <c r="AB13" s="1572">
        <f t="shared" si="4"/>
        <v>0.95238095238095233</v>
      </c>
      <c r="AC13" s="1572">
        <f t="shared" si="5"/>
        <v>0.90909090909090906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0"/>
      <c r="Q14" s="1151" t="str">
        <f t="shared" si="6"/>
        <v>配建</v>
      </c>
      <c r="R14" s="1569" t="s">
        <v>8</v>
      </c>
      <c r="S14" s="1570">
        <f t="shared" si="0"/>
        <v>100</v>
      </c>
      <c r="T14" s="1569" t="s">
        <v>8</v>
      </c>
      <c r="U14" s="1570">
        <f t="shared" si="1"/>
        <v>100</v>
      </c>
      <c r="V14" s="1569" t="s">
        <v>8</v>
      </c>
      <c r="W14" s="1570">
        <f t="shared" si="2"/>
        <v>100</v>
      </c>
      <c r="X14" s="1571"/>
      <c r="Y14" s="3316"/>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2"/>
      <c r="M17" s="2132"/>
      <c r="N17" s="2132"/>
      <c r="O17" s="2141"/>
      <c r="P17" s="3404" t="s">
        <v>540</v>
      </c>
      <c r="Q17" s="1573" t="str">
        <f t="shared" si="6"/>
        <v>居住社区成熟度</v>
      </c>
      <c r="R17" s="1574" t="s">
        <v>8</v>
      </c>
      <c r="S17" s="1575">
        <f t="shared" si="0"/>
        <v>98</v>
      </c>
      <c r="T17" s="1574" t="s">
        <v>8</v>
      </c>
      <c r="U17" s="1575">
        <f t="shared" si="1"/>
        <v>98</v>
      </c>
      <c r="V17" s="1574" t="s">
        <v>8</v>
      </c>
      <c r="W17" s="1575">
        <f t="shared" si="2"/>
        <v>98</v>
      </c>
      <c r="X17" s="1568"/>
      <c r="Y17" s="3404"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2999</v>
      </c>
      <c r="D18" s="557"/>
      <c r="E18" s="558" t="s">
        <v>3192</v>
      </c>
      <c r="F18" s="555"/>
      <c r="G18" s="556" t="s">
        <v>3192</v>
      </c>
      <c r="H18" s="559"/>
      <c r="I18" s="558" t="s">
        <v>3192</v>
      </c>
      <c r="J18" s="555"/>
      <c r="K18" s="531"/>
      <c r="L18" s="2142"/>
      <c r="M18" s="2132"/>
      <c r="N18" s="2132"/>
      <c r="O18" s="2141"/>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v>
      </c>
      <c r="L19" s="2142"/>
      <c r="M19" s="2132"/>
      <c r="N19" s="2132"/>
      <c r="O19" s="2141"/>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567" t="s">
        <v>3192</v>
      </c>
      <c r="D20" s="563"/>
      <c r="E20" s="569" t="s">
        <v>3192</v>
      </c>
      <c r="F20" s="559"/>
      <c r="G20" s="568" t="s">
        <v>3192</v>
      </c>
      <c r="H20" s="555"/>
      <c r="I20" s="569" t="s">
        <v>3192</v>
      </c>
      <c r="J20" s="555"/>
      <c r="K20" s="531"/>
      <c r="L20" s="2142"/>
      <c r="M20" s="2132"/>
      <c r="N20" s="2132"/>
      <c r="O20" s="2141"/>
      <c r="P20" s="3405"/>
      <c r="Q20" s="1573"/>
      <c r="R20" s="1574"/>
      <c r="S20" s="1575"/>
      <c r="T20" s="1574"/>
      <c r="U20" s="1575"/>
      <c r="V20" s="1574"/>
      <c r="W20" s="1575"/>
      <c r="X20" s="1568"/>
      <c r="Y20" s="340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42"/>
      <c r="M23" s="2132"/>
      <c r="N23" s="2132"/>
      <c r="O23" s="2141"/>
      <c r="P23" s="3405"/>
      <c r="Q23" s="1573" t="str">
        <f>B23</f>
        <v>交通便捷度</v>
      </c>
      <c r="R23" s="1574" t="s">
        <v>8</v>
      </c>
      <c r="S23" s="1575">
        <f>F23</f>
        <v>98</v>
      </c>
      <c r="T23" s="1574" t="s">
        <v>8</v>
      </c>
      <c r="U23" s="1575">
        <f>H23</f>
        <v>98</v>
      </c>
      <c r="V23" s="1574" t="s">
        <v>8</v>
      </c>
      <c r="W23" s="1575">
        <f>J23</f>
        <v>98</v>
      </c>
      <c r="X23" s="1568"/>
      <c r="Y23" s="3405"/>
      <c r="Z23" s="1576" t="str">
        <f>Q23</f>
        <v>交通便捷度</v>
      </c>
      <c r="AA23" s="1577">
        <f t="shared" si="3"/>
        <v>1.0204081632653061</v>
      </c>
      <c r="AB23" s="1577">
        <f t="shared" si="4"/>
        <v>1.0204081632653061</v>
      </c>
      <c r="AC23" s="1577">
        <f t="shared" si="5"/>
        <v>1.0204081632653061</v>
      </c>
    </row>
    <row r="24" spans="1:29" ht="20.25">
      <c r="A24" s="532"/>
      <c r="B24" s="578"/>
      <c r="C24" s="554" t="s">
        <v>2999</v>
      </c>
      <c r="D24" s="557"/>
      <c r="E24" s="558" t="s">
        <v>3192</v>
      </c>
      <c r="F24" s="555"/>
      <c r="G24" s="556" t="s">
        <v>3192</v>
      </c>
      <c r="H24" s="555"/>
      <c r="I24" s="558" t="s">
        <v>3192</v>
      </c>
      <c r="J24" s="555"/>
      <c r="K24" s="531"/>
      <c r="L24" s="2142"/>
      <c r="M24" s="2132"/>
      <c r="N24" s="2132"/>
      <c r="O24" s="2141"/>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05"/>
      <c r="Q27" s="1573" t="str">
        <f t="shared" si="8"/>
        <v>自然及人文环境状况</v>
      </c>
      <c r="R27" s="1574" t="s">
        <v>8</v>
      </c>
      <c r="S27" s="1575">
        <f>F27</f>
        <v>102</v>
      </c>
      <c r="T27" s="1574" t="s">
        <v>8</v>
      </c>
      <c r="U27" s="1575">
        <f>H27</f>
        <v>102</v>
      </c>
      <c r="V27" s="1574" t="s">
        <v>8</v>
      </c>
      <c r="W27" s="1575">
        <f>J27</f>
        <v>102</v>
      </c>
      <c r="X27" s="1568"/>
      <c r="Y27" s="3405"/>
      <c r="Z27" s="1576" t="str">
        <f>Q27</f>
        <v>自然及人文环境状况</v>
      </c>
      <c r="AA27" s="1577">
        <f t="shared" si="3"/>
        <v>0.98039215686274506</v>
      </c>
      <c r="AB27" s="1577">
        <f t="shared" si="4"/>
        <v>0.98039215686274506</v>
      </c>
      <c r="AC27" s="1577">
        <f t="shared" si="5"/>
        <v>0.98039215686274506</v>
      </c>
    </row>
    <row r="28" spans="1:29" ht="20.25">
      <c r="A28" s="515"/>
      <c r="B28" s="566"/>
      <c r="C28" s="554" t="s">
        <v>2999</v>
      </c>
      <c r="D28" s="557"/>
      <c r="E28" s="576" t="s">
        <v>2998</v>
      </c>
      <c r="F28" s="555"/>
      <c r="G28" s="554" t="s">
        <v>2998</v>
      </c>
      <c r="H28" s="555"/>
      <c r="I28" s="576" t="s">
        <v>2998</v>
      </c>
      <c r="J28" s="555"/>
      <c r="K28" s="531"/>
      <c r="L28" s="2142"/>
      <c r="M28" s="2132"/>
      <c r="N28" s="2132"/>
      <c r="O28" s="2141"/>
      <c r="P28" s="3405"/>
      <c r="Q28" s="1573"/>
      <c r="R28" s="1574"/>
      <c r="S28" s="1575"/>
      <c r="T28" s="1574"/>
      <c r="U28" s="1575"/>
      <c r="V28" s="1574"/>
      <c r="W28" s="1575"/>
      <c r="X28" s="1568"/>
      <c r="Y28" s="3405"/>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35"/>
      <c r="M29" s="2132"/>
      <c r="N29" s="2132"/>
      <c r="O29" s="2137"/>
      <c r="P29" s="3405"/>
      <c r="Q29" s="1151" t="str">
        <f t="shared" si="8"/>
        <v>公共配套设施</v>
      </c>
      <c r="R29" s="1569" t="s">
        <v>8</v>
      </c>
      <c r="S29" s="1570">
        <f>F29</f>
        <v>98</v>
      </c>
      <c r="T29" s="1569" t="s">
        <v>8</v>
      </c>
      <c r="U29" s="1570">
        <f>H29</f>
        <v>98</v>
      </c>
      <c r="V29" s="1569" t="s">
        <v>8</v>
      </c>
      <c r="W29" s="1570">
        <f>J29</f>
        <v>98</v>
      </c>
      <c r="X29" s="1571"/>
      <c r="Y29" s="3405"/>
      <c r="Z29" s="1150" t="str">
        <f>Q29</f>
        <v>公共配套设施</v>
      </c>
      <c r="AA29" s="1577">
        <f>D29/F29</f>
        <v>1.0204081632653061</v>
      </c>
      <c r="AB29" s="1577">
        <f>D29/H29</f>
        <v>1.0204081632653061</v>
      </c>
      <c r="AC29" s="1577">
        <f>D29/J29</f>
        <v>1.0204081632653061</v>
      </c>
    </row>
    <row r="30" spans="1:29" s="1220" customFormat="1" ht="20.25">
      <c r="A30" s="577"/>
      <c r="B30" s="566"/>
      <c r="C30" s="579" t="s">
        <v>2999</v>
      </c>
      <c r="D30" s="557"/>
      <c r="E30" s="576" t="s">
        <v>3192</v>
      </c>
      <c r="F30" s="555"/>
      <c r="G30" s="554" t="s">
        <v>3192</v>
      </c>
      <c r="H30" s="555"/>
      <c r="I30" s="576" t="s">
        <v>3192</v>
      </c>
      <c r="J30" s="555"/>
      <c r="K30" s="531"/>
      <c r="L30" s="2135"/>
      <c r="M30" s="2132"/>
      <c r="N30" s="2132"/>
      <c r="O30" s="2137"/>
      <c r="P30" s="3405"/>
      <c r="Q30" s="1151"/>
      <c r="R30" s="1569"/>
      <c r="S30" s="1570"/>
      <c r="T30" s="1569"/>
      <c r="U30" s="1570"/>
      <c r="V30" s="1569"/>
      <c r="W30" s="1570"/>
      <c r="X30" s="1571"/>
      <c r="Y30" s="3405"/>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5"/>
      <c r="Q31" s="2578" t="str">
        <f t="shared" ref="Q31" si="9">B31</f>
        <v>基础设施水平</v>
      </c>
      <c r="R31" s="1569" t="s">
        <v>8</v>
      </c>
      <c r="S31" s="1570">
        <f>F31</f>
        <v>100</v>
      </c>
      <c r="T31" s="1569" t="s">
        <v>8</v>
      </c>
      <c r="U31" s="1570">
        <f>H31</f>
        <v>100</v>
      </c>
      <c r="V31" s="1569" t="s">
        <v>8</v>
      </c>
      <c r="W31" s="1570">
        <f>J31</f>
        <v>100</v>
      </c>
      <c r="X31" s="1571"/>
      <c r="Y31" s="3405"/>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405"/>
      <c r="Q32" s="2578"/>
      <c r="R32" s="1569"/>
      <c r="S32" s="1570"/>
      <c r="T32" s="1569"/>
      <c r="U32" s="1570"/>
      <c r="V32" s="1569"/>
      <c r="W32" s="1570"/>
      <c r="X32" s="1571"/>
      <c r="Y32" s="3405"/>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c r="A35" s="532"/>
      <c r="B35" s="566"/>
      <c r="C35" s="554" t="s">
        <v>3120</v>
      </c>
      <c r="D35" s="557"/>
      <c r="E35" s="576" t="s">
        <v>3120</v>
      </c>
      <c r="F35" s="555"/>
      <c r="G35" s="554" t="s">
        <v>3120</v>
      </c>
      <c r="H35" s="555"/>
      <c r="I35" s="576" t="s">
        <v>3120</v>
      </c>
      <c r="J35" s="555"/>
      <c r="K35" s="581"/>
      <c r="L35" s="2142"/>
      <c r="M35" s="2132"/>
      <c r="N35" s="2132"/>
      <c r="O35" s="2141"/>
      <c r="P35" s="3405"/>
      <c r="Q35" s="1573"/>
      <c r="R35" s="1574"/>
      <c r="S35" s="1575"/>
      <c r="T35" s="1574"/>
      <c r="U35" s="1575"/>
      <c r="V35" s="1574"/>
      <c r="W35" s="1575"/>
      <c r="X35" s="1568"/>
      <c r="Y35" s="340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907" t="s">
        <v>2757</v>
      </c>
      <c r="B40" s="595" t="s">
        <v>552</v>
      </c>
      <c r="C40" s="596">
        <v>49638.62</v>
      </c>
      <c r="D40" s="597">
        <v>100</v>
      </c>
      <c r="E40" s="596">
        <f>Sheet1!D5</f>
        <v>16421</v>
      </c>
      <c r="F40" s="597">
        <f>LOOKUP(E40,119:119,120:120)-LOOKUP(C40,119:119,120:120)+100</f>
        <v>99</v>
      </c>
      <c r="G40" s="596">
        <f>Sheet1!D7</f>
        <v>29756.7</v>
      </c>
      <c r="H40" s="597">
        <f>LOOKUP(G40,119:119,120:120)-LOOKUP(C40,119:119,120:120)+100</f>
        <v>99</v>
      </c>
      <c r="I40" s="598">
        <f>Sheet1!D22</f>
        <v>8131.78</v>
      </c>
      <c r="J40" s="597">
        <f>LOOKUP(I40,119:119,120:120)-LOOKUP(C40,119:119,120:120)+100</f>
        <v>98</v>
      </c>
      <c r="K40" s="581"/>
      <c r="L40" s="2142"/>
      <c r="M40" s="2132"/>
      <c r="N40" s="2132"/>
      <c r="O40" s="2141"/>
      <c r="P40" s="3407"/>
      <c r="Q40" s="1573" t="str">
        <f>B40</f>
        <v>宗地面积</v>
      </c>
      <c r="R40" s="1574" t="s">
        <v>8</v>
      </c>
      <c r="S40" s="1575">
        <f t="shared" si="10"/>
        <v>99</v>
      </c>
      <c r="T40" s="1574" t="s">
        <v>8</v>
      </c>
      <c r="U40" s="1575">
        <f t="shared" si="11"/>
        <v>99</v>
      </c>
      <c r="V40" s="1574" t="s">
        <v>8</v>
      </c>
      <c r="W40" s="1575">
        <f t="shared" si="12"/>
        <v>98</v>
      </c>
      <c r="X40" s="1568"/>
      <c r="Y40" s="3407"/>
      <c r="Z40" s="1576" t="str">
        <f t="shared" si="13"/>
        <v>宗地面积</v>
      </c>
      <c r="AA40" s="1577">
        <f t="shared" si="3"/>
        <v>1.0101010101010102</v>
      </c>
      <c r="AB40" s="1577">
        <f t="shared" si="4"/>
        <v>1.0101010101010102</v>
      </c>
      <c r="AC40" s="1577">
        <f t="shared" si="5"/>
        <v>1.0204081632653061</v>
      </c>
    </row>
    <row r="41" spans="1:29" ht="20.25">
      <c r="A41" s="594"/>
      <c r="B41" s="527" t="s">
        <v>553</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5</v>
      </c>
      <c r="L41" s="2142"/>
      <c r="M41" s="2132"/>
      <c r="N41" s="2132"/>
      <c r="O41" s="2141"/>
      <c r="P41" s="3407"/>
      <c r="Q41" s="1573" t="str">
        <f t="shared" ref="Q41:Q47" si="14">B41</f>
        <v>宗地形状</v>
      </c>
      <c r="R41" s="1574" t="s">
        <v>8</v>
      </c>
      <c r="S41" s="1575">
        <f t="shared" si="10"/>
        <v>100</v>
      </c>
      <c r="T41" s="1574" t="s">
        <v>8</v>
      </c>
      <c r="U41" s="1575">
        <f t="shared" si="11"/>
        <v>100</v>
      </c>
      <c r="V41" s="1574" t="s">
        <v>8</v>
      </c>
      <c r="W41" s="1575">
        <f t="shared" si="12"/>
        <v>100</v>
      </c>
      <c r="X41" s="1568"/>
      <c r="Y41" s="340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07"/>
      <c r="Q43" s="1573" t="str">
        <f t="shared" si="14"/>
        <v>宗地开发程度</v>
      </c>
      <c r="R43" s="1569" t="s">
        <v>8</v>
      </c>
      <c r="S43" s="1570">
        <f t="shared" si="10"/>
        <v>100</v>
      </c>
      <c r="T43" s="1569" t="s">
        <v>8</v>
      </c>
      <c r="U43" s="1570">
        <f t="shared" si="11"/>
        <v>100</v>
      </c>
      <c r="V43" s="1569" t="s">
        <v>8</v>
      </c>
      <c r="W43" s="1570">
        <f t="shared" si="12"/>
        <v>100</v>
      </c>
      <c r="X43" s="1571"/>
      <c r="Y43" s="340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2993</v>
      </c>
      <c r="C48" s="609" t="s">
        <v>1</v>
      </c>
      <c r="D48" s="610"/>
      <c r="E48" s="611">
        <v>531</v>
      </c>
      <c r="F48" s="612"/>
      <c r="G48" s="613">
        <v>551</v>
      </c>
      <c r="H48" s="614"/>
      <c r="I48" s="611">
        <v>540</v>
      </c>
      <c r="J48" s="614"/>
      <c r="K48" s="1340"/>
      <c r="L48" s="2144"/>
      <c r="M48" s="2132"/>
      <c r="N48" s="2132"/>
      <c r="O48" s="2145"/>
      <c r="P48" s="3370" t="str">
        <f>A48</f>
        <v>成交单价</v>
      </c>
      <c r="Q48" s="3370"/>
      <c r="R48" s="3371">
        <f>E48</f>
        <v>531</v>
      </c>
      <c r="S48" s="3371"/>
      <c r="T48" s="3371">
        <f>G48</f>
        <v>551</v>
      </c>
      <c r="U48" s="3371"/>
      <c r="V48" s="3371">
        <f>I48</f>
        <v>540</v>
      </c>
      <c r="W48" s="3371"/>
      <c r="X48" s="1560"/>
      <c r="Y48" s="1582"/>
      <c r="Z48" s="1560"/>
      <c r="AA48" s="1560"/>
      <c r="AB48" s="1560"/>
      <c r="AC48" s="1560"/>
    </row>
    <row r="49" spans="1:29" ht="21" thickBot="1">
      <c r="A49" s="615" t="s">
        <v>2695</v>
      </c>
      <c r="B49" s="616"/>
      <c r="C49" s="617">
        <f>R50</f>
        <v>535</v>
      </c>
      <c r="D49" s="618"/>
      <c r="E49" s="617">
        <f>R49</f>
        <v>527</v>
      </c>
      <c r="F49" s="619"/>
      <c r="G49" s="620">
        <f>T49</f>
        <v>547</v>
      </c>
      <c r="H49" s="618"/>
      <c r="I49" s="617">
        <f>V49</f>
        <v>530</v>
      </c>
      <c r="J49" s="618"/>
      <c r="K49" s="1341"/>
      <c r="L49" s="2144"/>
      <c r="M49" s="2132"/>
      <c r="N49" s="2132"/>
      <c r="O49" s="2145"/>
      <c r="P49" s="3370" t="str">
        <f>A49</f>
        <v>比较价格（元/平方米）</v>
      </c>
      <c r="Q49" s="3370"/>
      <c r="R49" s="3372">
        <f>ROUND(PRODUCT(R48,AA9:AA47),0)</f>
        <v>527</v>
      </c>
      <c r="S49" s="3372"/>
      <c r="T49" s="3372">
        <f>ROUND(PRODUCT(T48,AB9:AB47),0)</f>
        <v>547</v>
      </c>
      <c r="U49" s="3372"/>
      <c r="V49" s="3372">
        <f>ROUND(PRODUCT(V48,AC9:AC47),0)</f>
        <v>530</v>
      </c>
      <c r="W49" s="3372"/>
      <c r="X49" s="1560"/>
      <c r="Y49" s="1560"/>
      <c r="Z49" s="1560"/>
      <c r="AA49" s="1560"/>
      <c r="AB49" s="1560"/>
      <c r="AC49" s="1560"/>
    </row>
    <row r="50" spans="1:29" ht="21" thickBot="1">
      <c r="A50" s="621" t="s">
        <v>2934</v>
      </c>
      <c r="B50" s="622"/>
      <c r="C50" s="623">
        <f>R50</f>
        <v>535</v>
      </c>
      <c r="D50" s="623"/>
      <c r="E50" s="623"/>
      <c r="F50" s="623"/>
      <c r="G50" s="623"/>
      <c r="H50" s="623"/>
      <c r="I50" s="623"/>
      <c r="J50" s="623"/>
      <c r="K50" s="1342"/>
      <c r="L50" s="2144"/>
      <c r="M50" s="2132"/>
      <c r="N50" s="2132"/>
      <c r="O50" s="2145"/>
      <c r="P50" s="3367" t="str">
        <f>A50</f>
        <v>估价对象XX用房的比较价格（楼面单价，元/平方米）</v>
      </c>
      <c r="Q50" s="3368"/>
      <c r="R50" s="3369">
        <f>ROUND(AVERAGE(R49:V49),0)</f>
        <v>535</v>
      </c>
      <c r="S50" s="3369"/>
      <c r="T50" s="3369"/>
      <c r="U50" s="3369"/>
      <c r="V50" s="3369"/>
      <c r="W50" s="3369"/>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7.5901328273244584E-3</v>
      </c>
      <c r="F53" s="627" t="str">
        <f>IF(OR(E53&gt;=0.3,E53&lt;=-0.3),"超过30%","")</f>
        <v/>
      </c>
      <c r="G53" s="626">
        <f>IF(G48&lt;G49,G49/G48-1,G48/G49-1)</f>
        <v>7.3126142595978383E-3</v>
      </c>
      <c r="H53" s="627" t="str">
        <f>IF(OR(G53&gt;=0.3,G53&lt;=-0.3),"超过30%","")</f>
        <v/>
      </c>
      <c r="I53" s="626">
        <f>IF(I48&lt;I49,I49/I48-1,I48/I49-1)</f>
        <v>1.8867924528301883E-2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3.7950664136622292E-2</v>
      </c>
      <c r="F54" s="627" t="str">
        <f>IF(OR(E54&gt;=0.2,E54&lt;=-0.2),"超过20%","")</f>
        <v/>
      </c>
      <c r="G54" s="626">
        <f>IF(G49&lt;I49,I49/G49-1,G49/I49-1)</f>
        <v>3.2075471698113311E-2</v>
      </c>
      <c r="H54" s="627" t="str">
        <f>IF(OR(G54&gt;=0.2,G54&lt;=-0.2),"超过20%","")</f>
        <v/>
      </c>
      <c r="I54" s="626">
        <f>IF(I49&lt;E49,E49/I49-1,I49/E49-1)</f>
        <v>5.6925996204932883E-3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96" t="s">
        <v>2283</v>
      </c>
      <c r="H57" s="3397"/>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535</v>
      </c>
      <c r="C58" s="635">
        <v>1</v>
      </c>
      <c r="D58" s="2228">
        <v>1</v>
      </c>
      <c r="E58" s="635">
        <f>'数据-汇总表'!E8+'数据-汇总表'!E9</f>
        <v>148524.47999999998</v>
      </c>
      <c r="F58" s="636">
        <f t="shared" ref="F58:F67" si="15">ROUND(B58*E58/10000,0)</f>
        <v>7946</v>
      </c>
      <c r="G58" s="3398"/>
      <c r="H58" s="339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00"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00"/>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00"/>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00"/>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148524.47999999998</v>
      </c>
      <c r="F68" s="644">
        <f>IF(B48="楼面地价",SUM(F58:F67),ROUND(C50*E68/10000,0))</f>
        <v>7946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北京市平均增长率2.23%</v>
      </c>
      <c r="C73" s="894">
        <v>100</v>
      </c>
      <c r="D73" s="730">
        <v>98.5</v>
      </c>
      <c r="E73" s="730">
        <v>97.5</v>
      </c>
      <c r="F73" s="730">
        <v>96.5</v>
      </c>
      <c r="G73" s="730">
        <v>95.5</v>
      </c>
      <c r="H73" s="730">
        <v>94.5</v>
      </c>
      <c r="I73" s="730">
        <v>93.5</v>
      </c>
      <c r="J73" s="730">
        <v>92.5</v>
      </c>
      <c r="K73" s="730">
        <v>91.5</v>
      </c>
      <c r="L73" s="730">
        <v>90.5</v>
      </c>
      <c r="M73" s="730">
        <v>89.5</v>
      </c>
      <c r="N73" s="730">
        <v>88.5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3133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3118</v>
      </c>
      <c r="D108" s="3180" t="s">
        <v>3119</v>
      </c>
      <c r="E108" s="3180" t="s">
        <v>3121</v>
      </c>
      <c r="F108" s="3180" t="s">
        <v>3122</v>
      </c>
      <c r="G108" s="3180" t="s">
        <v>3123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3124</v>
      </c>
      <c r="D121" s="3179" t="s">
        <v>3126</v>
      </c>
      <c r="E121" s="3179" t="s">
        <v>3129</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3130</v>
      </c>
      <c r="D123" s="3180" t="s">
        <v>3131</v>
      </c>
      <c r="E123" s="3180" t="s">
        <v>3127</v>
      </c>
      <c r="F123" s="3179" t="s">
        <v>3132</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10" sqref="C10:D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24497</v>
      </c>
      <c r="C2" s="2104"/>
      <c r="D2" s="2104"/>
      <c r="E2" s="2104"/>
      <c r="F2" s="2104"/>
      <c r="G2" s="2104"/>
      <c r="H2" s="2104"/>
      <c r="I2" s="2104"/>
      <c r="J2" s="2104"/>
      <c r="K2" s="2104"/>
    </row>
    <row r="3" spans="1:31" s="2041" customFormat="1" ht="18" customHeight="1">
      <c r="A3" s="2106" t="s">
        <v>1684</v>
      </c>
      <c r="B3" s="2107">
        <f ca="1">ROUND(B2*10000/IF(B1="",'数据-汇总表'!E3,INDIRECT("'数据-取费表'!K"&amp;$K$1)),0)</f>
        <v>1645</v>
      </c>
      <c r="C3" s="2104"/>
      <c r="D3" s="2104"/>
      <c r="E3" s="2104"/>
      <c r="F3" s="2104"/>
      <c r="G3" s="2104"/>
      <c r="H3" s="2104"/>
      <c r="I3" s="2104"/>
      <c r="J3" s="2104"/>
      <c r="K3" s="2104"/>
    </row>
    <row r="4" spans="1:31" s="2041" customFormat="1" ht="18" customHeight="1">
      <c r="A4" s="426" t="s">
        <v>468</v>
      </c>
      <c r="B4" s="427">
        <f ca="1">ROUND(B2*10000/IF(B1="",'数据-汇总表'!D3,INDIRECT("'数据-取费表'!R"&amp;$K$1)),0)</f>
        <v>4935</v>
      </c>
      <c r="C4" s="428"/>
      <c r="D4" s="422"/>
      <c r="E4" s="422"/>
      <c r="F4" s="422"/>
      <c r="G4" s="422"/>
      <c r="H4" s="422"/>
      <c r="I4" s="422"/>
      <c r="J4" s="422"/>
      <c r="K4" s="422"/>
    </row>
    <row r="5" spans="1:31" s="2041" customFormat="1" ht="18" customHeight="1" thickBot="1">
      <c r="A5" s="429"/>
      <c r="B5" s="430">
        <f ca="1">ROUND(B2/(IF(B1="",'数据-汇总表'!D3,INDIRECT("'数据-取费表'!R"&amp;$K$1))/666.67),0)</f>
        <v>329</v>
      </c>
      <c r="C5" s="431" t="s">
        <v>469</v>
      </c>
      <c r="D5" s="422"/>
      <c r="E5" s="422"/>
      <c r="F5" s="422"/>
      <c r="G5" s="422"/>
      <c r="H5" s="422"/>
      <c r="I5" s="422"/>
      <c r="J5" s="422"/>
      <c r="K5" s="422"/>
    </row>
    <row r="6" spans="1:31" s="2111" customFormat="1" ht="16.5" customHeight="1">
      <c r="A6" s="2828" t="s">
        <v>1842</v>
      </c>
      <c r="B6" s="2829"/>
      <c r="C6" s="2830">
        <f ca="1">SUM(C10:K10)</f>
        <v>77698</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4483</v>
      </c>
      <c r="D8" s="2834">
        <f ca="1">不动产收益法!B3</f>
        <v>8364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119886.81</v>
      </c>
      <c r="D9" s="441">
        <f>SUMIF('数据-汇总表'!$C19:$C33,'剩余法-待开发'!D7,'数据-汇总表'!$E19:$E33)</f>
        <v>28637.67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53745</v>
      </c>
      <c r="D10" s="3028">
        <f ca="1">ROUND(D8*D9/10000,0)</f>
        <v>23953</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27308</v>
      </c>
      <c r="D13" s="2844"/>
      <c r="E13" s="2845"/>
      <c r="F13" s="2846"/>
      <c r="G13" s="2812"/>
      <c r="H13" s="2813"/>
      <c r="I13" s="2813"/>
      <c r="J13" s="2813"/>
      <c r="K13" s="2814"/>
    </row>
    <row r="14" spans="1:31" s="2116" customFormat="1" ht="13.5" customHeight="1">
      <c r="A14" s="2842" t="s">
        <v>1849</v>
      </c>
      <c r="B14" s="2843" t="s">
        <v>480</v>
      </c>
      <c r="C14" s="53">
        <f ca="1">ROUND(C13*F14,0)</f>
        <v>819</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647</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2978</v>
      </c>
      <c r="D16" s="2844">
        <f ca="1">IF(B1="",'数据-汇总表'!E3,INDIRECT("'数据-取费表'!K"&amp;$K$1)+INDIRECT("'数据-取费表'!S"&amp;$K$1))</f>
        <v>148915.85999999999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410</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32162</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148915.85999999999</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744</v>
      </c>
      <c r="D20" s="2854"/>
      <c r="E20" s="2808"/>
      <c r="F20" s="2855"/>
      <c r="G20" s="3088"/>
      <c r="H20" s="2810"/>
      <c r="I20" s="2811" t="s">
        <v>2653</v>
      </c>
      <c r="J20" s="2817"/>
      <c r="K20" s="2818"/>
    </row>
    <row r="21" spans="1:14" s="2116" customFormat="1" ht="13.5" customHeight="1">
      <c r="A21" s="2842" t="s">
        <v>1856</v>
      </c>
      <c r="B21" s="2843" t="s">
        <v>491</v>
      </c>
      <c r="C21" s="53">
        <f ca="1">ROUND(D21*E21/10000,0)</f>
        <v>599</v>
      </c>
      <c r="D21" s="2844">
        <f ca="1">IF(B1="",'数据-汇总表'!E5,IF(INDIRECT("'数据-取费表'!c"&amp;$K$1)="住宅",INDIRECT("'数据-取费表'!k"&amp;$K$1),0))</f>
        <v>119886.81</v>
      </c>
      <c r="E21" s="53">
        <f>'数据-取费表'!B27</f>
        <v>50</v>
      </c>
      <c r="F21" s="2847"/>
      <c r="G21" s="26"/>
      <c r="H21" s="51"/>
      <c r="I21" s="51"/>
      <c r="J21" s="51"/>
      <c r="K21" s="2819"/>
    </row>
    <row r="22" spans="1:14" s="2116" customFormat="1" ht="13.5" customHeight="1">
      <c r="A22" s="2842" t="s">
        <v>1857</v>
      </c>
      <c r="B22" s="2843" t="s">
        <v>492</v>
      </c>
      <c r="C22" s="53">
        <f ca="1">ROUND(D22*E22/10000,0)</f>
        <v>145</v>
      </c>
      <c r="D22" s="2844">
        <f ca="1">IF(B1="",'数据-汇总表'!E6,IF(INDIRECT("'数据-取费表'!c"&amp;$K$1)="住宅",INDIRECT("'数据-取费表'!s"&amp;$K$1),INDIRECT("'数据-取费表'!k"&amp;$K$1)+INDIRECT("'数据-取费表'!s"&amp;$K$1)))</f>
        <v>29029.049999999988</v>
      </c>
      <c r="E22" s="53">
        <f>'数据-取费表'!B28</f>
        <v>50</v>
      </c>
      <c r="F22" s="2847"/>
      <c r="G22" s="26"/>
      <c r="H22" s="51"/>
      <c r="I22" s="51"/>
      <c r="J22" s="51"/>
      <c r="K22" s="2819"/>
    </row>
    <row r="23" spans="1:14" s="2116" customFormat="1" ht="13.5" customHeight="1">
      <c r="A23" s="2850" t="s">
        <v>1858</v>
      </c>
      <c r="B23" s="3034" t="s">
        <v>2836</v>
      </c>
      <c r="C23" s="2852">
        <f ca="1">ROUND((C18+C19+C20)*F23,0)</f>
        <v>658</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1165</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1650</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1650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4070</v>
      </c>
      <c r="D29" s="468"/>
      <c r="E29" s="468"/>
      <c r="F29" s="3036">
        <f>'数据-取费表'!B41</f>
        <v>5.5000000000000007E-2</v>
      </c>
      <c r="G29" s="2821" t="s">
        <v>498</v>
      </c>
      <c r="H29" s="2813"/>
      <c r="I29" s="2813"/>
      <c r="J29" s="2813"/>
      <c r="K29" s="2814"/>
    </row>
    <row r="30" spans="1:14" s="2121" customFormat="1" ht="13.5" customHeight="1">
      <c r="A30" s="1636" t="s">
        <v>1863</v>
      </c>
      <c r="B30" s="2862" t="s">
        <v>500</v>
      </c>
      <c r="C30" s="2857">
        <f ca="1">C31</f>
        <v>40449</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40449</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5557</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5557</v>
      </c>
      <c r="D35" s="1630"/>
      <c r="E35" s="2864"/>
      <c r="F35" s="1631"/>
      <c r="G35" s="2822"/>
      <c r="H35" s="2823"/>
      <c r="I35" s="2823"/>
      <c r="J35" s="2823"/>
      <c r="K35" s="2824"/>
    </row>
    <row r="36" spans="1:11" s="2085" customFormat="1" ht="13.5" customHeight="1" thickBot="1">
      <c r="A36" s="284" t="s">
        <v>1844</v>
      </c>
      <c r="B36" s="2826"/>
      <c r="C36" s="2865">
        <f ca="1">ROUND((C6-C30-C33)/(1+D30+D33),0)</f>
        <v>24497</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2" t="str">
        <f>项目基本情况!B1</f>
        <v>贵州省普定县穿洞街道金马新村出让国有建设用地使用权预评估</v>
      </c>
      <c r="C37" s="3202"/>
      <c r="D37" s="3202"/>
      <c r="E37" s="3202"/>
      <c r="F37" s="3202"/>
      <c r="G37" s="3202"/>
      <c r="H37" s="3202"/>
      <c r="I37" s="3202"/>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27308</v>
      </c>
      <c r="D13" s="451"/>
      <c r="E13" s="365"/>
      <c r="F13" s="452"/>
      <c r="G13" s="444"/>
      <c r="H13" s="447"/>
      <c r="I13" s="447"/>
      <c r="J13" s="447"/>
      <c r="K13" s="448"/>
    </row>
    <row r="14" spans="1:41" s="2116" customFormat="1" ht="13.5" customHeight="1">
      <c r="A14" s="1634" t="s">
        <v>1849</v>
      </c>
      <c r="B14" s="449" t="s">
        <v>480</v>
      </c>
      <c r="C14" s="53">
        <f ca="1">ROUND(C13*F14,0)</f>
        <v>819</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647</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2978</v>
      </c>
      <c r="D16" s="451">
        <f ca="1">IF(B1="",'数据-汇总表'!E3,INDIRECT("'数据-取费表'!K"&amp;$K$1)+INDIRECT("'数据-取费表'!S"&amp;$K$1))</f>
        <v>148915.85999999999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410</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32162</v>
      </c>
      <c r="D18" s="461"/>
      <c r="E18" s="462"/>
      <c r="F18" s="462"/>
      <c r="G18" s="1327" t="s">
        <v>2434</v>
      </c>
      <c r="H18" s="447"/>
      <c r="I18" s="447"/>
      <c r="J18" s="447"/>
      <c r="K18" s="448"/>
    </row>
    <row r="19" spans="1:14" s="2119" customFormat="1" ht="13.5" customHeight="1">
      <c r="A19" s="1635" t="s">
        <v>1854</v>
      </c>
      <c r="B19" s="459" t="s">
        <v>493</v>
      </c>
      <c r="C19" s="460">
        <f ca="1">ROUND(C18*F19,0)</f>
        <v>643</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1558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1558</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5249</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5249</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42616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76" t="s">
        <v>522</v>
      </c>
      <c r="D6" s="3377"/>
      <c r="E6" s="3411" t="s">
        <v>523</v>
      </c>
      <c r="F6" s="3412"/>
      <c r="G6" s="3376" t="s">
        <v>524</v>
      </c>
      <c r="H6" s="3377"/>
      <c r="I6" s="3376" t="s">
        <v>525</v>
      </c>
      <c r="J6" s="3377"/>
      <c r="K6" s="514" t="s">
        <v>526</v>
      </c>
      <c r="L6" s="2133"/>
      <c r="M6" s="2134"/>
      <c r="N6" s="2134"/>
      <c r="O6" s="2134"/>
      <c r="P6" s="3378" t="s">
        <v>527</v>
      </c>
      <c r="Q6" s="3379"/>
      <c r="R6" s="3384" t="s">
        <v>523</v>
      </c>
      <c r="S6" s="3385"/>
      <c r="T6" s="3384" t="s">
        <v>524</v>
      </c>
      <c r="U6" s="3385"/>
      <c r="V6" s="3371" t="s">
        <v>525</v>
      </c>
      <c r="W6" s="3371"/>
      <c r="X6" s="1568"/>
      <c r="Y6" s="3384" t="s">
        <v>527</v>
      </c>
      <c r="Z6" s="3385"/>
      <c r="AA6" s="3373" t="s">
        <v>523</v>
      </c>
      <c r="AB6" s="3374" t="s">
        <v>524</v>
      </c>
      <c r="AC6" s="3373" t="s">
        <v>525</v>
      </c>
    </row>
    <row r="7" spans="1:29" ht="15">
      <c r="A7" s="515"/>
      <c r="B7" s="516"/>
      <c r="C7" s="3408" t="s">
        <v>2928</v>
      </c>
      <c r="D7" s="3393"/>
      <c r="E7" s="3413" t="s">
        <v>2929</v>
      </c>
      <c r="F7" s="3414"/>
      <c r="G7" s="3408" t="s">
        <v>2930</v>
      </c>
      <c r="H7" s="3393"/>
      <c r="I7" s="3408" t="s">
        <v>2931</v>
      </c>
      <c r="J7" s="3393"/>
      <c r="K7" s="514"/>
      <c r="L7" s="2133"/>
      <c r="M7" s="2134"/>
      <c r="N7" s="2134"/>
      <c r="O7" s="2134"/>
      <c r="P7" s="3380"/>
      <c r="Q7" s="3381"/>
      <c r="R7" s="3386"/>
      <c r="S7" s="3387"/>
      <c r="T7" s="3386"/>
      <c r="U7" s="3387"/>
      <c r="V7" s="3371"/>
      <c r="W7" s="3371"/>
      <c r="X7" s="1568"/>
      <c r="Y7" s="3386"/>
      <c r="Z7" s="3387"/>
      <c r="AA7" s="3374"/>
      <c r="AB7" s="3374"/>
      <c r="AC7" s="3374"/>
    </row>
    <row r="8" spans="1:29" ht="15.75" thickBot="1">
      <c r="A8" s="517"/>
      <c r="B8" s="518"/>
      <c r="C8" s="3390" t="s">
        <v>2932</v>
      </c>
      <c r="D8" s="3391"/>
      <c r="E8" s="3409" t="s">
        <v>2932</v>
      </c>
      <c r="F8" s="3410"/>
      <c r="G8" s="3390" t="s">
        <v>2932</v>
      </c>
      <c r="H8" s="3391"/>
      <c r="I8" s="3390" t="s">
        <v>2932</v>
      </c>
      <c r="J8" s="3391"/>
      <c r="K8" s="514" t="s">
        <v>528</v>
      </c>
      <c r="L8" s="2133"/>
      <c r="M8" s="2134"/>
      <c r="N8" s="2134"/>
      <c r="O8" s="2134"/>
      <c r="P8" s="3382"/>
      <c r="Q8" s="3383"/>
      <c r="R8" s="3386"/>
      <c r="S8" s="3387"/>
      <c r="T8" s="3388"/>
      <c r="U8" s="3389"/>
      <c r="V8" s="3371"/>
      <c r="W8" s="3371"/>
      <c r="X8" s="1568"/>
      <c r="Y8" s="3388"/>
      <c r="Z8" s="3389"/>
      <c r="AA8" s="3375"/>
      <c r="AB8" s="3375"/>
      <c r="AC8" s="3375"/>
    </row>
    <row r="9" spans="1:29" s="1220"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1" t="s">
        <v>530</v>
      </c>
      <c r="Q9" s="3403"/>
      <c r="R9" s="1569" t="s">
        <v>8</v>
      </c>
      <c r="S9" s="1570">
        <f t="shared" ref="S9:S17" si="0">F9</f>
        <v>0</v>
      </c>
      <c r="T9" s="1569" t="s">
        <v>8</v>
      </c>
      <c r="U9" s="1570">
        <f t="shared" ref="U9:U17" si="1">H9</f>
        <v>0</v>
      </c>
      <c r="V9" s="1569" t="s">
        <v>8</v>
      </c>
      <c r="W9" s="1570">
        <f t="shared" ref="W9:W17" si="2">J9</f>
        <v>0</v>
      </c>
      <c r="X9" s="1571"/>
      <c r="Y9" s="3401" t="s">
        <v>530</v>
      </c>
      <c r="Z9" s="3402"/>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1" t="s">
        <v>533</v>
      </c>
      <c r="Q10" s="3402"/>
      <c r="R10" s="1569" t="s">
        <v>8</v>
      </c>
      <c r="S10" s="1570">
        <f t="shared" si="0"/>
        <v>0</v>
      </c>
      <c r="T10" s="1569" t="s">
        <v>8</v>
      </c>
      <c r="U10" s="1570">
        <f t="shared" si="1"/>
        <v>0</v>
      </c>
      <c r="V10" s="1569" t="s">
        <v>8</v>
      </c>
      <c r="W10" s="1570">
        <f t="shared" si="2"/>
        <v>0</v>
      </c>
      <c r="X10" s="1571"/>
      <c r="Y10" s="3401" t="s">
        <v>533</v>
      </c>
      <c r="Z10" s="3402"/>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70"/>
      <c r="Q12" s="1151" t="str">
        <f t="shared" si="6"/>
        <v>土地使用年限（年）</v>
      </c>
      <c r="R12" s="1569" t="s">
        <v>8</v>
      </c>
      <c r="S12" s="1570">
        <f t="shared" si="0"/>
        <v>101</v>
      </c>
      <c r="T12" s="1569" t="s">
        <v>8</v>
      </c>
      <c r="U12" s="1570">
        <f t="shared" si="1"/>
        <v>101</v>
      </c>
      <c r="V12" s="1569" t="s">
        <v>8</v>
      </c>
      <c r="W12" s="1570">
        <f t="shared" si="2"/>
        <v>101</v>
      </c>
      <c r="X12" s="1571"/>
      <c r="Y12" s="3316"/>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0"/>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5"/>
      <c r="Q24" s="1573"/>
      <c r="R24" s="1574"/>
      <c r="S24" s="1575"/>
      <c r="T24" s="1574"/>
      <c r="U24" s="1575"/>
      <c r="V24" s="1574"/>
      <c r="W24" s="1575"/>
      <c r="X24" s="1568"/>
      <c r="Y24" s="3405"/>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05"/>
      <c r="Q26" s="1151"/>
      <c r="R26" s="1569"/>
      <c r="S26" s="1570"/>
      <c r="T26" s="1569"/>
      <c r="U26" s="1570"/>
      <c r="V26" s="1569"/>
      <c r="W26" s="1570"/>
      <c r="X26" s="1571"/>
      <c r="Y26" s="3405"/>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5"/>
      <c r="Q27" s="2578" t="str">
        <f t="shared" ref="Q27" si="9">B27</f>
        <v>基础设施水平</v>
      </c>
      <c r="R27" s="1569" t="s">
        <v>8</v>
      </c>
      <c r="S27" s="1570">
        <f>F27</f>
        <v>100</v>
      </c>
      <c r="T27" s="1569" t="s">
        <v>8</v>
      </c>
      <c r="U27" s="1570">
        <f>H27</f>
        <v>100</v>
      </c>
      <c r="V27" s="1569" t="s">
        <v>8</v>
      </c>
      <c r="W27" s="1570">
        <f>J27</f>
        <v>100</v>
      </c>
      <c r="X27" s="1571"/>
      <c r="Y27" s="3405"/>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05"/>
      <c r="Q28" s="2578"/>
      <c r="R28" s="1569"/>
      <c r="S28" s="1570"/>
      <c r="T28" s="1569"/>
      <c r="U28" s="1570"/>
      <c r="V28" s="1569"/>
      <c r="W28" s="1570"/>
      <c r="X28" s="1571"/>
      <c r="Y28" s="3405"/>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5"/>
      <c r="Q31" s="1573"/>
      <c r="R31" s="1574"/>
      <c r="S31" s="1575"/>
      <c r="T31" s="1574"/>
      <c r="U31" s="1575"/>
      <c r="V31" s="1574"/>
      <c r="W31" s="1575"/>
      <c r="X31" s="1568"/>
      <c r="Y31" s="3405"/>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0" t="str">
        <f>A43</f>
        <v>成交单价</v>
      </c>
      <c r="Q43" s="3370"/>
      <c r="R43" s="3371">
        <f>E43</f>
        <v>0</v>
      </c>
      <c r="S43" s="3371"/>
      <c r="T43" s="3371">
        <f>G43</f>
        <v>0</v>
      </c>
      <c r="U43" s="3371"/>
      <c r="V43" s="3371">
        <f>I43</f>
        <v>0</v>
      </c>
      <c r="W43" s="3371"/>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70" t="str">
        <f>A44</f>
        <v>比较价格（元/平方米）</v>
      </c>
      <c r="Q44" s="3370"/>
      <c r="R44" s="3372" t="e">
        <f>ROUND(PRODUCT(R43,AA9:AA42),0)</f>
        <v>#DIV/0!</v>
      </c>
      <c r="S44" s="3372"/>
      <c r="T44" s="3372" t="e">
        <f>ROUND(PRODUCT(T43,AB9:AB42),0)</f>
        <v>#DIV/0!</v>
      </c>
      <c r="U44" s="3372"/>
      <c r="V44" s="3372" t="e">
        <f>ROUND(PRODUCT(V43,AC9:AC42),0)</f>
        <v>#DIV/0!</v>
      </c>
      <c r="W44" s="3372"/>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67" t="str">
        <f>A45</f>
        <v>估价对象XX用房的比较价格（楼面单价，元/平方米）</v>
      </c>
      <c r="Q45" s="3368"/>
      <c r="R45" s="3369" t="e">
        <f>ROUND(AVERAGE(R44:V44),0)</f>
        <v>#DIV/0!</v>
      </c>
      <c r="S45" s="3369"/>
      <c r="T45" s="3369"/>
      <c r="U45" s="3369"/>
      <c r="V45" s="3369"/>
      <c r="W45" s="3369"/>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15" t="s">
        <v>2286</v>
      </c>
      <c r="H52" s="3416"/>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148524.47999999998</v>
      </c>
      <c r="F53" s="1952" t="e">
        <f t="shared" ref="F53:F62" si="15">ROUND(B53*E53/10000,0)</f>
        <v>#DIV/0!</v>
      </c>
      <c r="G53" s="3417"/>
      <c r="H53" s="3418"/>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19"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19"/>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19"/>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19"/>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49638.62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9"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30"/>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21" t="s">
        <v>2785</v>
      </c>
      <c r="X8" s="342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0"/>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20"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0"/>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2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0"/>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2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9"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20"/>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1"/>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20"/>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31"/>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43361</v>
      </c>
      <c r="H19" s="1476" t="s">
        <v>2936</v>
      </c>
      <c r="I19" s="2784" t="str">
        <f>IF(H19="季度增幅（自定义）",SUMIF(N21:N24,E2,O21:O24),"")</f>
        <v/>
      </c>
      <c r="J19" s="1472"/>
      <c r="K19" s="1482"/>
      <c r="L19" s="3039" t="s">
        <v>2843</v>
      </c>
      <c r="M19" s="3040">
        <f>ROUND(SUMIF(地价!B2:F2,E2,地价!B23:F23),0)</f>
        <v>0</v>
      </c>
      <c r="N19" s="2786" t="s">
        <v>1676</v>
      </c>
      <c r="O19" s="2785">
        <f>ROUNDDOWN(DATEDIF(E19,G19,"M")/3,0)</f>
        <v>18</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1.54E-2</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1.54E-2</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1.41E-2</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5"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6"/>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6"/>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7"/>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33" t="s">
        <v>1633</v>
      </c>
      <c r="B90" s="3433"/>
      <c r="C90" s="3433"/>
      <c r="D90" s="3433"/>
      <c r="E90" s="3433"/>
      <c r="F90" s="3433"/>
      <c r="G90" s="3433"/>
      <c r="H90" s="3433"/>
      <c r="I90" s="3433"/>
      <c r="J90" s="3433"/>
      <c r="K90" s="2450"/>
      <c r="L90" s="2450"/>
      <c r="M90" s="2450"/>
      <c r="N90" s="2450"/>
    </row>
    <row r="91" spans="1:40">
      <c r="A91" s="3434" t="s">
        <v>1443</v>
      </c>
      <c r="B91" s="3434" t="s">
        <v>1634</v>
      </c>
      <c r="C91" s="1140" t="s">
        <v>1635</v>
      </c>
      <c r="D91" s="1141"/>
      <c r="E91" s="1141"/>
      <c r="F91" s="1141"/>
      <c r="G91" s="1141"/>
      <c r="H91" s="1141"/>
      <c r="I91" s="1141"/>
      <c r="J91" s="1142"/>
      <c r="K91" s="1134"/>
      <c r="L91" s="1134"/>
      <c r="M91" s="1134"/>
      <c r="N91" s="1134"/>
    </row>
    <row r="92" spans="1:40">
      <c r="A92" s="3434"/>
      <c r="B92" s="3434"/>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4"/>
      <c r="B108" s="342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8" t="s">
        <v>1639</v>
      </c>
      <c r="B110" s="3428"/>
      <c r="C110" s="3428"/>
      <c r="D110" s="3428"/>
      <c r="E110" s="3428"/>
      <c r="F110" s="3428"/>
      <c r="G110" s="3428"/>
      <c r="H110" s="3428"/>
      <c r="I110" s="3428"/>
      <c r="J110" s="3428"/>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4" t="s">
        <v>1007</v>
      </c>
      <c r="B18" s="1154" t="s">
        <v>1446</v>
      </c>
      <c r="C18" s="1131" t="s">
        <v>1447</v>
      </c>
      <c r="D18" s="1132"/>
      <c r="E18" s="1154">
        <v>1</v>
      </c>
      <c r="F18" s="1133" t="s">
        <v>1448</v>
      </c>
      <c r="G18" s="1134"/>
      <c r="H18" s="1105"/>
      <c r="I18" s="1105"/>
    </row>
    <row r="19" spans="1:9" s="1600" customFormat="1" ht="19.5" customHeight="1">
      <c r="A19" s="3434"/>
      <c r="B19" s="3434" t="s">
        <v>1449</v>
      </c>
      <c r="C19" s="1131" t="s">
        <v>1450</v>
      </c>
      <c r="D19" s="1132"/>
      <c r="E19" s="1154">
        <v>0.9</v>
      </c>
      <c r="F19" s="1133" t="s">
        <v>1451</v>
      </c>
      <c r="G19" s="1134"/>
      <c r="H19" s="1105"/>
      <c r="I19" s="1105"/>
    </row>
    <row r="20" spans="1:9" s="1600" customFormat="1" ht="19.5" customHeight="1">
      <c r="A20" s="3434"/>
      <c r="B20" s="3434"/>
      <c r="C20" s="1131" t="s">
        <v>1452</v>
      </c>
      <c r="D20" s="1132"/>
      <c r="E20" s="1154">
        <v>1.1000000000000001</v>
      </c>
      <c r="F20" s="1133" t="s">
        <v>1453</v>
      </c>
      <c r="G20" s="1134"/>
      <c r="H20" s="1105"/>
      <c r="I20" s="1105"/>
    </row>
    <row r="21" spans="1:9" s="1600" customFormat="1" ht="19.5" customHeight="1">
      <c r="A21" s="3434"/>
      <c r="B21" s="3434"/>
      <c r="C21" s="1131" t="s">
        <v>1454</v>
      </c>
      <c r="D21" s="1132"/>
      <c r="E21" s="1154">
        <v>0.8</v>
      </c>
      <c r="F21" s="1133" t="s">
        <v>1455</v>
      </c>
      <c r="G21" s="1134"/>
      <c r="H21" s="1105"/>
      <c r="I21" s="1105"/>
    </row>
    <row r="22" spans="1:9" s="1600" customFormat="1" ht="19.5" customHeight="1">
      <c r="A22" s="3434"/>
      <c r="B22" s="3434"/>
      <c r="C22" s="1131" t="s">
        <v>1456</v>
      </c>
      <c r="D22" s="1132"/>
      <c r="E22" s="1154">
        <v>0.5</v>
      </c>
      <c r="F22" s="1133"/>
      <c r="G22" s="1134"/>
      <c r="H22" s="1105"/>
      <c r="I22" s="1105"/>
    </row>
    <row r="23" spans="1:9" s="1600" customFormat="1" ht="19.5" customHeight="1">
      <c r="A23" s="3434" t="s">
        <v>1029</v>
      </c>
      <c r="B23" s="1154" t="s">
        <v>1446</v>
      </c>
      <c r="C23" s="1131" t="s">
        <v>1457</v>
      </c>
      <c r="D23" s="1132"/>
      <c r="E23" s="1154">
        <v>1</v>
      </c>
      <c r="F23" s="1133" t="s">
        <v>1458</v>
      </c>
      <c r="G23" s="1134"/>
      <c r="H23" s="1105"/>
      <c r="I23" s="1105"/>
    </row>
    <row r="24" spans="1:9" s="1600" customFormat="1" ht="19.5" customHeight="1">
      <c r="A24" s="3434"/>
      <c r="B24" s="3434" t="s">
        <v>1449</v>
      </c>
      <c r="C24" s="1131" t="s">
        <v>1459</v>
      </c>
      <c r="D24" s="1132"/>
      <c r="E24" s="1154">
        <v>0.5</v>
      </c>
      <c r="F24" s="1133"/>
      <c r="G24" s="1134"/>
      <c r="H24" s="1105"/>
      <c r="I24" s="1105"/>
    </row>
    <row r="25" spans="1:9" s="1600" customFormat="1" ht="19.5" customHeight="1">
      <c r="A25" s="3434"/>
      <c r="B25" s="3434"/>
      <c r="C25" s="1131" t="s">
        <v>1460</v>
      </c>
      <c r="D25" s="1132"/>
      <c r="E25" s="1154">
        <v>1.1000000000000001</v>
      </c>
      <c r="F25" s="1133"/>
      <c r="G25" s="1134"/>
      <c r="H25" s="1105"/>
      <c r="I25" s="1105"/>
    </row>
    <row r="26" spans="1:9" s="1600" customFormat="1" ht="19.5" customHeight="1">
      <c r="A26" s="3434"/>
      <c r="B26" s="3434"/>
      <c r="C26" s="1131" t="s">
        <v>1461</v>
      </c>
      <c r="D26" s="1132"/>
      <c r="E26" s="1154">
        <v>1.1000000000000001</v>
      </c>
      <c r="F26" s="1133"/>
      <c r="G26" s="1134"/>
      <c r="H26" s="1105"/>
      <c r="I26" s="1105"/>
    </row>
    <row r="27" spans="1:9" s="1600" customFormat="1" ht="19.5" customHeight="1">
      <c r="A27" s="3434"/>
      <c r="B27" s="3434"/>
      <c r="C27" s="1131" t="s">
        <v>1462</v>
      </c>
      <c r="D27" s="1132"/>
      <c r="E27" s="1154">
        <v>0.9</v>
      </c>
      <c r="F27" s="1133" t="s">
        <v>1463</v>
      </c>
      <c r="G27" s="1134"/>
      <c r="H27" s="1105"/>
      <c r="I27" s="1105"/>
    </row>
    <row r="28" spans="1:9" s="1600" customFormat="1" ht="19.5" customHeight="1">
      <c r="A28" s="3434"/>
      <c r="B28" s="3434"/>
      <c r="C28" s="1131" t="s">
        <v>1464</v>
      </c>
      <c r="D28" s="1132"/>
      <c r="E28" s="1154">
        <v>0.9</v>
      </c>
      <c r="F28" s="1133" t="s">
        <v>1465</v>
      </c>
      <c r="G28" s="1134"/>
      <c r="H28" s="1105"/>
      <c r="I28" s="1105"/>
    </row>
    <row r="29" spans="1:9" s="1600" customFormat="1" ht="19.5" customHeight="1">
      <c r="A29" s="3434"/>
      <c r="B29" s="3434"/>
      <c r="C29" s="1131" t="s">
        <v>1466</v>
      </c>
      <c r="D29" s="1132"/>
      <c r="E29" s="1154">
        <v>0.9</v>
      </c>
      <c r="F29" s="1133" t="s">
        <v>1467</v>
      </c>
      <c r="G29" s="1134"/>
      <c r="H29" s="1105"/>
      <c r="I29" s="1105"/>
    </row>
    <row r="30" spans="1:9" s="1600" customFormat="1" ht="19.5" customHeight="1">
      <c r="A30" s="3434"/>
      <c r="B30" s="3434"/>
      <c r="C30" s="1131" t="s">
        <v>1468</v>
      </c>
      <c r="D30" s="1132"/>
      <c r="E30" s="1154">
        <v>0.9</v>
      </c>
      <c r="F30" s="1133" t="s">
        <v>1469</v>
      </c>
      <c r="G30" s="1134"/>
      <c r="H30" s="1105"/>
      <c r="I30" s="1105"/>
    </row>
    <row r="31" spans="1:9" s="1600" customFormat="1" ht="19.5" customHeight="1">
      <c r="A31" s="3434"/>
      <c r="B31" s="3434"/>
      <c r="C31" s="1131" t="s">
        <v>1470</v>
      </c>
      <c r="D31" s="1132"/>
      <c r="E31" s="1154">
        <v>0.8</v>
      </c>
      <c r="F31" s="1133" t="s">
        <v>1471</v>
      </c>
      <c r="G31" s="1134"/>
      <c r="H31" s="1105"/>
      <c r="I31" s="1105"/>
    </row>
    <row r="32" spans="1:9" s="1600" customFormat="1" ht="19.5" customHeight="1">
      <c r="A32" s="3434"/>
      <c r="B32" s="3434"/>
      <c r="C32" s="1131" t="s">
        <v>1472</v>
      </c>
      <c r="D32" s="1132"/>
      <c r="E32" s="1154">
        <v>0.8</v>
      </c>
      <c r="F32" s="1133" t="s">
        <v>1473</v>
      </c>
      <c r="G32" s="1134"/>
      <c r="H32" s="1105"/>
      <c r="I32" s="1105"/>
    </row>
    <row r="33" spans="1:9" s="1600" customFormat="1" ht="19.5" customHeight="1">
      <c r="A33" s="3434" t="s">
        <v>1474</v>
      </c>
      <c r="B33" s="1154" t="s">
        <v>1446</v>
      </c>
      <c r="C33" s="1131" t="s">
        <v>1475</v>
      </c>
      <c r="D33" s="1132"/>
      <c r="E33" s="1154">
        <v>1</v>
      </c>
      <c r="F33" s="1133" t="s">
        <v>1476</v>
      </c>
      <c r="G33" s="1134"/>
      <c r="H33" s="1105"/>
      <c r="I33" s="1105"/>
    </row>
    <row r="34" spans="1:9" s="1600" customFormat="1" ht="19.5" customHeight="1">
      <c r="A34" s="3434"/>
      <c r="B34" s="1154" t="s">
        <v>1449</v>
      </c>
      <c r="C34" s="1131" t="s">
        <v>1477</v>
      </c>
      <c r="D34" s="1132"/>
      <c r="E34" s="1154">
        <v>1.5</v>
      </c>
      <c r="F34" s="1133" t="s">
        <v>1478</v>
      </c>
      <c r="G34" s="1134"/>
      <c r="H34" s="1105"/>
      <c r="I34" s="1105"/>
    </row>
    <row r="35" spans="1:9" s="1600" customFormat="1" ht="19.5" customHeight="1">
      <c r="A35" s="3434" t="s">
        <v>1432</v>
      </c>
      <c r="B35" s="1154" t="s">
        <v>1446</v>
      </c>
      <c r="C35" s="1131" t="s">
        <v>1479</v>
      </c>
      <c r="D35" s="1132"/>
      <c r="E35" s="1154">
        <v>1</v>
      </c>
      <c r="F35" s="1133" t="s">
        <v>1480</v>
      </c>
      <c r="G35" s="1134"/>
      <c r="H35" s="1105"/>
      <c r="I35" s="1105"/>
    </row>
    <row r="36" spans="1:9" s="1600" customFormat="1" ht="19.5" customHeight="1">
      <c r="A36" s="3434"/>
      <c r="B36" s="3434" t="s">
        <v>1449</v>
      </c>
      <c r="C36" s="1131" t="s">
        <v>1481</v>
      </c>
      <c r="D36" s="1132"/>
      <c r="E36" s="1154">
        <v>1</v>
      </c>
      <c r="F36" s="1133" t="s">
        <v>1482</v>
      </c>
      <c r="G36" s="1134"/>
      <c r="H36" s="1105"/>
      <c r="I36" s="1105"/>
    </row>
    <row r="37" spans="1:9" s="1600" customFormat="1" ht="19.5" customHeight="1">
      <c r="A37" s="3434"/>
      <c r="B37" s="3434"/>
      <c r="C37" s="1131" t="s">
        <v>1483</v>
      </c>
      <c r="D37" s="1132"/>
      <c r="E37" s="1154">
        <v>1.5</v>
      </c>
      <c r="F37" s="1133" t="s">
        <v>1484</v>
      </c>
      <c r="G37" s="1134"/>
      <c r="H37" s="1105"/>
      <c r="I37" s="1105"/>
    </row>
    <row r="38" spans="1:9" s="1600" customFormat="1" ht="19.5" customHeight="1">
      <c r="A38" s="3434"/>
      <c r="B38" s="3434"/>
      <c r="C38" s="1131" t="s">
        <v>1485</v>
      </c>
      <c r="D38" s="1132"/>
      <c r="E38" s="1154">
        <v>1</v>
      </c>
      <c r="F38" s="1133" t="s">
        <v>1486</v>
      </c>
      <c r="G38" s="1134"/>
      <c r="H38" s="1105"/>
      <c r="I38" s="1105"/>
    </row>
    <row r="39" spans="1:9" s="1600" customFormat="1" ht="19.5" customHeight="1">
      <c r="A39" s="3434"/>
      <c r="B39" s="343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4" t="s">
        <v>1501</v>
      </c>
      <c r="C61" s="1068" t="s">
        <v>1502</v>
      </c>
      <c r="D61" s="1068" t="s">
        <v>1503</v>
      </c>
      <c r="E61" s="1139">
        <v>0.5</v>
      </c>
      <c r="F61" s="1154">
        <v>80</v>
      </c>
      <c r="H61" s="1105">
        <f>SUMIF(C59:C119,基准地价!C8,E59:E119)</f>
        <v>0</v>
      </c>
    </row>
    <row r="62" spans="1:8" s="1105" customFormat="1" ht="24">
      <c r="A62" s="1154">
        <v>2</v>
      </c>
      <c r="B62" s="3434"/>
      <c r="C62" s="1068" t="s">
        <v>1504</v>
      </c>
      <c r="D62" s="1068" t="s">
        <v>1505</v>
      </c>
      <c r="E62" s="1139">
        <v>0.5</v>
      </c>
      <c r="F62" s="1154">
        <v>80</v>
      </c>
    </row>
    <row r="63" spans="1:8" s="1105" customFormat="1" ht="36">
      <c r="A63" s="1154">
        <v>3</v>
      </c>
      <c r="B63" s="3434"/>
      <c r="C63" s="1068" t="s">
        <v>1506</v>
      </c>
      <c r="D63" s="1068" t="s">
        <v>1507</v>
      </c>
      <c r="E63" s="1139">
        <v>0.5</v>
      </c>
      <c r="F63" s="1154">
        <v>80</v>
      </c>
    </row>
    <row r="64" spans="1:8" s="1105" customFormat="1" ht="36">
      <c r="A64" s="1154">
        <v>4</v>
      </c>
      <c r="B64" s="3434"/>
      <c r="C64" s="1068" t="s">
        <v>1508</v>
      </c>
      <c r="D64" s="1068" t="s">
        <v>1509</v>
      </c>
      <c r="E64" s="1139">
        <v>0.4</v>
      </c>
      <c r="F64" s="1154">
        <v>60</v>
      </c>
    </row>
    <row r="65" spans="1:6" s="1105" customFormat="1" ht="36">
      <c r="A65" s="1154">
        <v>5</v>
      </c>
      <c r="B65" s="3434"/>
      <c r="C65" s="1068" t="s">
        <v>1510</v>
      </c>
      <c r="D65" s="1068" t="s">
        <v>1511</v>
      </c>
      <c r="E65" s="1139">
        <v>0.2</v>
      </c>
      <c r="F65" s="1154">
        <v>30</v>
      </c>
    </row>
    <row r="66" spans="1:6" s="1105" customFormat="1" ht="36">
      <c r="A66" s="1154">
        <v>6</v>
      </c>
      <c r="B66" s="3434"/>
      <c r="C66" s="1068" t="s">
        <v>1512</v>
      </c>
      <c r="D66" s="1068" t="s">
        <v>1513</v>
      </c>
      <c r="E66" s="1139">
        <v>0.3</v>
      </c>
      <c r="F66" s="1154">
        <v>50</v>
      </c>
    </row>
    <row r="67" spans="1:6" s="1105" customFormat="1" ht="36">
      <c r="A67" s="1154">
        <v>7</v>
      </c>
      <c r="B67" s="3434"/>
      <c r="C67" s="1068" t="s">
        <v>1514</v>
      </c>
      <c r="D67" s="1068" t="s">
        <v>1515</v>
      </c>
      <c r="E67" s="1139">
        <v>0.2</v>
      </c>
      <c r="F67" s="1154">
        <v>30</v>
      </c>
    </row>
    <row r="68" spans="1:6" s="1105" customFormat="1" ht="36">
      <c r="A68" s="1154">
        <v>8</v>
      </c>
      <c r="B68" s="3434"/>
      <c r="C68" s="1068" t="s">
        <v>1516</v>
      </c>
      <c r="D68" s="1068" t="s">
        <v>1517</v>
      </c>
      <c r="E68" s="1139">
        <v>0.2</v>
      </c>
      <c r="F68" s="1154">
        <v>30</v>
      </c>
    </row>
    <row r="69" spans="1:6" s="1105" customFormat="1" ht="36">
      <c r="A69" s="1154">
        <v>9</v>
      </c>
      <c r="B69" s="3434"/>
      <c r="C69" s="1068" t="s">
        <v>1518</v>
      </c>
      <c r="D69" s="1068" t="s">
        <v>1519</v>
      </c>
      <c r="E69" s="1139">
        <v>0.2</v>
      </c>
      <c r="F69" s="1154">
        <v>30</v>
      </c>
    </row>
    <row r="70" spans="1:6" s="1105" customFormat="1" ht="48">
      <c r="A70" s="1154">
        <v>10</v>
      </c>
      <c r="B70" s="3434"/>
      <c r="C70" s="1068" t="s">
        <v>1520</v>
      </c>
      <c r="D70" s="1068" t="s">
        <v>1521</v>
      </c>
      <c r="E70" s="1139">
        <v>0.2</v>
      </c>
      <c r="F70" s="1154">
        <v>30</v>
      </c>
    </row>
    <row r="71" spans="1:6" s="1105" customFormat="1" ht="48">
      <c r="A71" s="1154">
        <v>11</v>
      </c>
      <c r="B71" s="3434"/>
      <c r="C71" s="1068" t="s">
        <v>1522</v>
      </c>
      <c r="D71" s="1068" t="s">
        <v>1523</v>
      </c>
      <c r="E71" s="1139">
        <v>0.2</v>
      </c>
      <c r="F71" s="1154">
        <v>30</v>
      </c>
    </row>
    <row r="72" spans="1:6" s="1105" customFormat="1" ht="36">
      <c r="A72" s="1154">
        <v>12</v>
      </c>
      <c r="B72" s="3434"/>
      <c r="C72" s="1068" t="s">
        <v>1524</v>
      </c>
      <c r="D72" s="1068" t="s">
        <v>1525</v>
      </c>
      <c r="E72" s="1139">
        <v>0.5</v>
      </c>
      <c r="F72" s="1154">
        <v>80</v>
      </c>
    </row>
    <row r="73" spans="1:6" s="1105" customFormat="1" ht="24">
      <c r="A73" s="1154">
        <v>13</v>
      </c>
      <c r="B73" s="3434"/>
      <c r="C73" s="1068" t="s">
        <v>1526</v>
      </c>
      <c r="D73" s="1068" t="s">
        <v>1527</v>
      </c>
      <c r="E73" s="1139">
        <v>0.4</v>
      </c>
      <c r="F73" s="1154">
        <v>60</v>
      </c>
    </row>
    <row r="74" spans="1:6" s="1105" customFormat="1" ht="24">
      <c r="A74" s="1154">
        <v>14</v>
      </c>
      <c r="B74" s="3434"/>
      <c r="C74" s="1068" t="s">
        <v>1528</v>
      </c>
      <c r="D74" s="1068" t="s">
        <v>1529</v>
      </c>
      <c r="E74" s="1139">
        <v>0.2</v>
      </c>
      <c r="F74" s="1154">
        <v>30</v>
      </c>
    </row>
    <row r="75" spans="1:6" s="1105" customFormat="1" ht="24">
      <c r="A75" s="1154">
        <v>15</v>
      </c>
      <c r="B75" s="3434"/>
      <c r="C75" s="1068" t="s">
        <v>1530</v>
      </c>
      <c r="D75" s="1068" t="s">
        <v>1531</v>
      </c>
      <c r="E75" s="1139">
        <v>0.2</v>
      </c>
      <c r="F75" s="1154">
        <v>30</v>
      </c>
    </row>
    <row r="76" spans="1:6" s="1105" customFormat="1" ht="24">
      <c r="A76" s="1154">
        <v>16</v>
      </c>
      <c r="B76" s="3434" t="s">
        <v>1532</v>
      </c>
      <c r="C76" s="1068" t="s">
        <v>1533</v>
      </c>
      <c r="D76" s="1068" t="s">
        <v>1534</v>
      </c>
      <c r="E76" s="1139">
        <v>0.5</v>
      </c>
      <c r="F76" s="1154">
        <v>80</v>
      </c>
    </row>
    <row r="77" spans="1:6" s="1105" customFormat="1" ht="24">
      <c r="A77" s="1154">
        <v>17</v>
      </c>
      <c r="B77" s="3434"/>
      <c r="C77" s="1068" t="s">
        <v>1535</v>
      </c>
      <c r="D77" s="1068" t="s">
        <v>1536</v>
      </c>
      <c r="E77" s="1139">
        <v>0.5</v>
      </c>
      <c r="F77" s="1154">
        <v>80</v>
      </c>
    </row>
    <row r="78" spans="1:6" s="1105" customFormat="1" ht="24">
      <c r="A78" s="1154">
        <v>18</v>
      </c>
      <c r="B78" s="3434"/>
      <c r="C78" s="1068" t="s">
        <v>1537</v>
      </c>
      <c r="D78" s="1068" t="s">
        <v>1538</v>
      </c>
      <c r="E78" s="1139">
        <v>0.2</v>
      </c>
      <c r="F78" s="1154">
        <v>30</v>
      </c>
    </row>
    <row r="79" spans="1:6" s="1105" customFormat="1" ht="24">
      <c r="A79" s="1154">
        <v>19</v>
      </c>
      <c r="B79" s="3434"/>
      <c r="C79" s="1068" t="s">
        <v>1539</v>
      </c>
      <c r="D79" s="1068" t="s">
        <v>1540</v>
      </c>
      <c r="E79" s="1139">
        <v>0.5</v>
      </c>
      <c r="F79" s="1154">
        <v>80</v>
      </c>
    </row>
    <row r="80" spans="1:6" s="1105" customFormat="1" ht="36">
      <c r="A80" s="1154">
        <v>20</v>
      </c>
      <c r="B80" s="3434"/>
      <c r="C80" s="1068" t="s">
        <v>1541</v>
      </c>
      <c r="D80" s="1068" t="s">
        <v>1542</v>
      </c>
      <c r="E80" s="1139">
        <v>0.2</v>
      </c>
      <c r="F80" s="1154">
        <v>30</v>
      </c>
    </row>
    <row r="81" spans="1:6" s="1105" customFormat="1" ht="36">
      <c r="A81" s="1154">
        <v>21</v>
      </c>
      <c r="B81" s="3434"/>
      <c r="C81" s="1068" t="s">
        <v>1543</v>
      </c>
      <c r="D81" s="1068" t="s">
        <v>1544</v>
      </c>
      <c r="E81" s="1139">
        <v>0.2</v>
      </c>
      <c r="F81" s="1154">
        <v>30</v>
      </c>
    </row>
    <row r="82" spans="1:6" s="1105" customFormat="1" ht="48">
      <c r="A82" s="1154">
        <v>22</v>
      </c>
      <c r="B82" s="3434"/>
      <c r="C82" s="1068" t="s">
        <v>1545</v>
      </c>
      <c r="D82" s="1068" t="s">
        <v>1546</v>
      </c>
      <c r="E82" s="1139">
        <v>0.2</v>
      </c>
      <c r="F82" s="1154">
        <v>30</v>
      </c>
    </row>
    <row r="83" spans="1:6" s="1105" customFormat="1" ht="48">
      <c r="A83" s="1154">
        <v>23</v>
      </c>
      <c r="B83" s="3434"/>
      <c r="C83" s="1068" t="s">
        <v>1547</v>
      </c>
      <c r="D83" s="1068" t="s">
        <v>1548</v>
      </c>
      <c r="E83" s="1139">
        <v>0.2</v>
      </c>
      <c r="F83" s="1154">
        <v>30</v>
      </c>
    </row>
    <row r="84" spans="1:6" s="1105" customFormat="1" ht="36">
      <c r="A84" s="1154">
        <v>24</v>
      </c>
      <c r="B84" s="3434"/>
      <c r="C84" s="1068" t="s">
        <v>1549</v>
      </c>
      <c r="D84" s="1068" t="s">
        <v>1550</v>
      </c>
      <c r="E84" s="1139">
        <v>0.2</v>
      </c>
      <c r="F84" s="1154">
        <v>30</v>
      </c>
    </row>
    <row r="85" spans="1:6" s="1105" customFormat="1" ht="36">
      <c r="A85" s="1154">
        <v>25</v>
      </c>
      <c r="B85" s="3434"/>
      <c r="C85" s="1068" t="s">
        <v>1551</v>
      </c>
      <c r="D85" s="1068" t="s">
        <v>1552</v>
      </c>
      <c r="E85" s="1139">
        <v>0.5</v>
      </c>
      <c r="F85" s="1154">
        <v>80</v>
      </c>
    </row>
    <row r="86" spans="1:6" s="1105" customFormat="1" ht="36">
      <c r="A86" s="1154">
        <v>26</v>
      </c>
      <c r="B86" s="3434"/>
      <c r="C86" s="1068" t="s">
        <v>1553</v>
      </c>
      <c r="D86" s="1068" t="s">
        <v>1554</v>
      </c>
      <c r="E86" s="1139">
        <v>0.2</v>
      </c>
      <c r="F86" s="1154">
        <v>30</v>
      </c>
    </row>
    <row r="87" spans="1:6" s="1105" customFormat="1" ht="36">
      <c r="A87" s="1154">
        <v>27</v>
      </c>
      <c r="B87" s="3434"/>
      <c r="C87" s="1068" t="s">
        <v>1555</v>
      </c>
      <c r="D87" s="1068" t="s">
        <v>1556</v>
      </c>
      <c r="E87" s="1139">
        <v>0.2</v>
      </c>
      <c r="F87" s="1154">
        <v>30</v>
      </c>
    </row>
    <row r="88" spans="1:6" s="1105" customFormat="1" ht="36">
      <c r="A88" s="1154">
        <v>28</v>
      </c>
      <c r="B88" s="3434"/>
      <c r="C88" s="1068" t="s">
        <v>1557</v>
      </c>
      <c r="D88" s="1068" t="s">
        <v>1558</v>
      </c>
      <c r="E88" s="1139">
        <v>0.2</v>
      </c>
      <c r="F88" s="1154">
        <v>30</v>
      </c>
    </row>
    <row r="89" spans="1:6" s="1105" customFormat="1" ht="24">
      <c r="A89" s="1154">
        <v>29</v>
      </c>
      <c r="B89" s="3434"/>
      <c r="C89" s="1068" t="s">
        <v>1559</v>
      </c>
      <c r="D89" s="1068" t="s">
        <v>1560</v>
      </c>
      <c r="E89" s="1139">
        <v>0.2</v>
      </c>
      <c r="F89" s="1154">
        <v>30</v>
      </c>
    </row>
    <row r="90" spans="1:6" s="1105" customFormat="1" ht="24">
      <c r="A90" s="1154">
        <v>30</v>
      </c>
      <c r="B90" s="3434"/>
      <c r="C90" s="1068" t="s">
        <v>1561</v>
      </c>
      <c r="D90" s="1068" t="s">
        <v>1562</v>
      </c>
      <c r="E90" s="1139">
        <v>0.2</v>
      </c>
      <c r="F90" s="1154">
        <v>30</v>
      </c>
    </row>
    <row r="91" spans="1:6" s="1105" customFormat="1" ht="36">
      <c r="A91" s="1154">
        <v>31</v>
      </c>
      <c r="B91" s="3434"/>
      <c r="C91" s="1068" t="s">
        <v>1563</v>
      </c>
      <c r="D91" s="1068" t="s">
        <v>1564</v>
      </c>
      <c r="E91" s="1139">
        <v>0.2</v>
      </c>
      <c r="F91" s="1154">
        <v>30</v>
      </c>
    </row>
    <row r="92" spans="1:6" s="1105" customFormat="1" ht="24">
      <c r="A92" s="1154">
        <v>32</v>
      </c>
      <c r="B92" s="3434" t="s">
        <v>1565</v>
      </c>
      <c r="C92" s="1154" t="s">
        <v>1566</v>
      </c>
      <c r="D92" s="1068" t="s">
        <v>1567</v>
      </c>
      <c r="E92" s="1139">
        <v>0.2</v>
      </c>
      <c r="F92" s="1154">
        <v>30</v>
      </c>
    </row>
    <row r="93" spans="1:6" s="1105" customFormat="1" ht="36">
      <c r="A93" s="1154">
        <v>33</v>
      </c>
      <c r="B93" s="3434"/>
      <c r="C93" s="1154" t="s">
        <v>1568</v>
      </c>
      <c r="D93" s="1068" t="s">
        <v>1569</v>
      </c>
      <c r="E93" s="1139">
        <v>0.2</v>
      </c>
      <c r="F93" s="1154">
        <v>30</v>
      </c>
    </row>
    <row r="94" spans="1:6" s="1105" customFormat="1" ht="48">
      <c r="A94" s="1154">
        <v>34</v>
      </c>
      <c r="B94" s="3434"/>
      <c r="C94" s="1154" t="s">
        <v>1570</v>
      </c>
      <c r="D94" s="1068" t="s">
        <v>1571</v>
      </c>
      <c r="E94" s="1139">
        <v>0.2</v>
      </c>
      <c r="F94" s="1154">
        <v>30</v>
      </c>
    </row>
    <row r="95" spans="1:6" s="1105" customFormat="1" ht="36">
      <c r="A95" s="1154">
        <v>35</v>
      </c>
      <c r="B95" s="3434"/>
      <c r="C95" s="1154" t="s">
        <v>1572</v>
      </c>
      <c r="D95" s="1068" t="s">
        <v>1573</v>
      </c>
      <c r="E95" s="1139">
        <v>0.2</v>
      </c>
      <c r="F95" s="1154">
        <v>30</v>
      </c>
    </row>
    <row r="96" spans="1:6" s="1105" customFormat="1" ht="48">
      <c r="A96" s="1154">
        <v>36</v>
      </c>
      <c r="B96" s="3434"/>
      <c r="C96" s="1068" t="s">
        <v>1574</v>
      </c>
      <c r="D96" s="1068" t="s">
        <v>1575</v>
      </c>
      <c r="E96" s="1139">
        <v>0.2</v>
      </c>
      <c r="F96" s="1154">
        <v>30</v>
      </c>
    </row>
    <row r="97" spans="1:6" s="1105" customFormat="1" ht="36">
      <c r="A97" s="1154">
        <v>37</v>
      </c>
      <c r="B97" s="3434"/>
      <c r="C97" s="1154" t="s">
        <v>1576</v>
      </c>
      <c r="D97" s="1068" t="s">
        <v>1577</v>
      </c>
      <c r="E97" s="1139">
        <v>0.2</v>
      </c>
      <c r="F97" s="1154">
        <v>30</v>
      </c>
    </row>
    <row r="98" spans="1:6" s="1105" customFormat="1" ht="36">
      <c r="A98" s="1154">
        <v>38</v>
      </c>
      <c r="B98" s="3434"/>
      <c r="C98" s="1154" t="s">
        <v>1578</v>
      </c>
      <c r="D98" s="1068" t="s">
        <v>1579</v>
      </c>
      <c r="E98" s="1139">
        <v>0.2</v>
      </c>
      <c r="F98" s="1154">
        <v>30</v>
      </c>
    </row>
    <row r="99" spans="1:6" s="1105" customFormat="1" ht="36">
      <c r="A99" s="1154">
        <v>39</v>
      </c>
      <c r="B99" s="3434" t="s">
        <v>1580</v>
      </c>
      <c r="C99" s="1154" t="s">
        <v>1581</v>
      </c>
      <c r="D99" s="1068" t="s">
        <v>1582</v>
      </c>
      <c r="E99" s="1139">
        <v>0.3</v>
      </c>
      <c r="F99" s="1154">
        <v>50</v>
      </c>
    </row>
    <row r="100" spans="1:6" s="1105" customFormat="1" ht="24">
      <c r="A100" s="1154">
        <v>40</v>
      </c>
      <c r="B100" s="3434"/>
      <c r="C100" s="1154" t="s">
        <v>1583</v>
      </c>
      <c r="D100" s="1068" t="s">
        <v>1584</v>
      </c>
      <c r="E100" s="1139">
        <v>0.2</v>
      </c>
      <c r="F100" s="1154">
        <v>30</v>
      </c>
    </row>
    <row r="101" spans="1:6" s="1105" customFormat="1" ht="36">
      <c r="A101" s="1154">
        <v>41</v>
      </c>
      <c r="B101" s="343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4" t="s">
        <v>1595</v>
      </c>
      <c r="C105" s="1154" t="s">
        <v>1596</v>
      </c>
      <c r="D105" s="1068" t="s">
        <v>1597</v>
      </c>
      <c r="E105" s="1139">
        <v>0.2</v>
      </c>
      <c r="F105" s="1154">
        <v>30</v>
      </c>
    </row>
    <row r="106" spans="1:6" s="1105" customFormat="1" ht="36">
      <c r="A106" s="1154">
        <v>46</v>
      </c>
      <c r="B106" s="3434"/>
      <c r="C106" s="1154" t="s">
        <v>1598</v>
      </c>
      <c r="D106" s="1068" t="s">
        <v>1599</v>
      </c>
      <c r="E106" s="1139">
        <v>0.2</v>
      </c>
      <c r="F106" s="1154">
        <v>30</v>
      </c>
    </row>
    <row r="107" spans="1:6" s="1105" customFormat="1" ht="36">
      <c r="A107" s="1154">
        <v>47</v>
      </c>
      <c r="B107" s="3434" t="s">
        <v>1600</v>
      </c>
      <c r="C107" s="1154" t="s">
        <v>1601</v>
      </c>
      <c r="D107" s="1068" t="s">
        <v>1602</v>
      </c>
      <c r="E107" s="1139">
        <v>0.3</v>
      </c>
      <c r="F107" s="1154">
        <v>50</v>
      </c>
    </row>
    <row r="108" spans="1:6" s="1105" customFormat="1" ht="36">
      <c r="A108" s="1154">
        <v>48</v>
      </c>
      <c r="B108" s="343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4" t="s">
        <v>1611</v>
      </c>
      <c r="C111" s="1154" t="s">
        <v>1612</v>
      </c>
      <c r="D111" s="1068" t="s">
        <v>1613</v>
      </c>
      <c r="E111" s="1139">
        <v>0.2</v>
      </c>
      <c r="F111" s="1154">
        <v>30</v>
      </c>
    </row>
    <row r="112" spans="1:6" s="1105" customFormat="1" ht="24">
      <c r="A112" s="1154">
        <v>52</v>
      </c>
      <c r="B112" s="3434"/>
      <c r="C112" s="1154" t="s">
        <v>1614</v>
      </c>
      <c r="D112" s="1068" t="s">
        <v>1615</v>
      </c>
      <c r="E112" s="1139">
        <v>0.2</v>
      </c>
      <c r="F112" s="1154">
        <v>30</v>
      </c>
    </row>
    <row r="113" spans="1:14" s="1105" customFormat="1" ht="24">
      <c r="A113" s="1154">
        <v>53</v>
      </c>
      <c r="B113" s="343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4" t="s">
        <v>1624</v>
      </c>
      <c r="C116" s="1154" t="s">
        <v>1625</v>
      </c>
      <c r="D116" s="1068" t="s">
        <v>1626</v>
      </c>
      <c r="E116" s="1139">
        <v>0.2</v>
      </c>
      <c r="F116" s="1154">
        <v>30</v>
      </c>
    </row>
    <row r="117" spans="1:14" ht="36">
      <c r="A117" s="1154">
        <v>57</v>
      </c>
      <c r="B117" s="343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3" t="s">
        <v>1633</v>
      </c>
      <c r="B121" s="3433"/>
      <c r="C121" s="3433"/>
      <c r="D121" s="3433"/>
      <c r="E121" s="3433"/>
      <c r="F121" s="3433"/>
      <c r="G121" s="3433"/>
      <c r="H121" s="3433"/>
      <c r="I121" s="3433"/>
      <c r="J121" s="343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1039</v>
      </c>
      <c r="B1" s="3438"/>
      <c r="C1" s="3438"/>
      <c r="D1" s="3438"/>
      <c r="E1" s="3438"/>
      <c r="F1" s="343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9" t="s">
        <v>1052</v>
      </c>
      <c r="B2" s="3439"/>
      <c r="C2" s="3439"/>
      <c r="D2" s="3439"/>
      <c r="E2" s="3439"/>
      <c r="F2" s="343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2" t="s">
        <v>2081</v>
      </c>
      <c r="B1" s="344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4" t="s">
        <v>2465</v>
      </c>
      <c r="C8" s="1827">
        <f ca="1">ROUND(F8*F10*F9*(1-F11)/10000,0)</f>
        <v>0</v>
      </c>
      <c r="D8" s="1824" t="s">
        <v>2536</v>
      </c>
      <c r="E8" s="61" t="s">
        <v>637</v>
      </c>
      <c r="F8" s="785">
        <f ca="1">INDIRECT("'数据-取费表'!u"&amp;$G$1)</f>
        <v>0</v>
      </c>
      <c r="G8" s="1593"/>
      <c r="H8" s="2504" t="s">
        <v>1824</v>
      </c>
      <c r="I8" s="3444" t="s">
        <v>2465</v>
      </c>
      <c r="J8" s="783">
        <f ca="1">ROUND(M8*M10*M9*(1-M11)/10000,0)</f>
        <v>0</v>
      </c>
      <c r="K8" s="341" t="s">
        <v>2536</v>
      </c>
      <c r="L8" s="784" t="s">
        <v>1738</v>
      </c>
      <c r="M8" s="785">
        <f ca="1">INDIRECT("'数据-取费表'!z"&amp;$G$1)</f>
        <v>0</v>
      </c>
    </row>
    <row r="9" spans="1:25" ht="18" customHeight="1">
      <c r="A9" s="2500"/>
      <c r="B9" s="3445"/>
      <c r="C9" s="1828"/>
      <c r="D9" s="1825"/>
      <c r="E9" s="61" t="s">
        <v>638</v>
      </c>
      <c r="F9" s="785">
        <f ca="1">IF(INDIRECT("'数据-取费表'!ah"&amp;$G$1)="",INDIRECT("'数据-取费表'!k"&amp;$G$1),INDIRECT("'数据-取费表'!ah"&amp;$G$1))</f>
        <v>0</v>
      </c>
      <c r="G9" s="1593"/>
      <c r="H9" s="2489"/>
      <c r="I9" s="3445"/>
      <c r="J9" s="788"/>
      <c r="K9" s="789"/>
      <c r="L9" s="784" t="s">
        <v>1739</v>
      </c>
      <c r="M9" s="785">
        <f ca="1">F9</f>
        <v>0</v>
      </c>
    </row>
    <row r="10" spans="1:25" ht="18" customHeight="1">
      <c r="A10" s="2493"/>
      <c r="B10" s="3446"/>
      <c r="C10" s="1828"/>
      <c r="D10" s="1825"/>
      <c r="E10" s="61" t="s">
        <v>639</v>
      </c>
      <c r="F10" s="785">
        <f ca="1">INDIRECT("'数据-取费表'!ai"&amp;$G$1)</f>
        <v>0</v>
      </c>
      <c r="G10" s="1593"/>
      <c r="H10" s="2489"/>
      <c r="I10" s="3446"/>
      <c r="J10" s="788"/>
      <c r="K10" s="789"/>
      <c r="L10" s="784" t="s">
        <v>1740</v>
      </c>
      <c r="M10" s="785">
        <f ca="1">INDIRECT("'数据-取费表'!ai"&amp;$G$1)</f>
        <v>0</v>
      </c>
    </row>
    <row r="11" spans="1:25" ht="18" customHeight="1">
      <c r="A11" s="786"/>
      <c r="B11" s="3447"/>
      <c r="C11" s="1828"/>
      <c r="D11" s="1825"/>
      <c r="E11" s="61" t="s">
        <v>640</v>
      </c>
      <c r="F11" s="794">
        <f ca="1">INDIRECT("'数据-取费表'!w"&amp;$G$1)</f>
        <v>0</v>
      </c>
      <c r="G11" s="1593"/>
      <c r="H11" s="2505"/>
      <c r="I11" s="3446"/>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43"/>
      <c r="J36" s="2079"/>
      <c r="K36" s="2080"/>
      <c r="L36" s="2079"/>
      <c r="M36" s="2079"/>
    </row>
    <row r="37" spans="1:18" ht="18" customHeight="1">
      <c r="A37" s="815"/>
      <c r="B37" s="793"/>
      <c r="C37" s="69"/>
      <c r="D37" s="816"/>
      <c r="E37" s="784" t="s">
        <v>674</v>
      </c>
      <c r="F37" s="785">
        <f ca="1">INDIRECT("'数据-取费表'!r"&amp;$G$1)</f>
        <v>0</v>
      </c>
      <c r="G37" s="2062"/>
      <c r="H37" s="2065"/>
      <c r="I37" s="344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-2</v>
      </c>
      <c r="K54" s="3448"/>
      <c r="L54" s="3449"/>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6" t="s">
        <v>2578</v>
      </c>
      <c r="C1" s="3456"/>
      <c r="D1" s="3456"/>
      <c r="E1" s="3456"/>
      <c r="F1" s="3456"/>
      <c r="G1" s="3455" t="s">
        <v>2579</v>
      </c>
      <c r="H1" s="3455"/>
      <c r="I1" s="3455"/>
      <c r="J1" s="3455"/>
      <c r="K1" s="3455"/>
      <c r="L1" s="3455"/>
      <c r="N1" s="3455" t="s">
        <v>2580</v>
      </c>
      <c r="O1" s="3455"/>
      <c r="P1" s="3455"/>
      <c r="Q1" s="3455"/>
      <c r="R1" s="2654"/>
      <c r="S1" s="3455" t="s">
        <v>2581</v>
      </c>
      <c r="T1" s="3455"/>
      <c r="U1" s="3455"/>
      <c r="V1" s="3455"/>
      <c r="X1" s="3454" t="s">
        <v>2641</v>
      </c>
      <c r="Y1" s="3455"/>
      <c r="Z1" s="3455"/>
      <c r="AA1" s="3455"/>
      <c r="AB1" s="3455"/>
      <c r="AD1" s="3454" t="s">
        <v>2645</v>
      </c>
      <c r="AE1" s="3455"/>
      <c r="AF1" s="3455"/>
      <c r="AG1" s="3455"/>
      <c r="AH1" s="3455"/>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1"/>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1"/>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2"/>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0">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1"/>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1"/>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2"/>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0">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1"/>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1"/>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2"/>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0">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1"/>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1"/>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2"/>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0">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1">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1">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2">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0">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1">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1">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2">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0">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1">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1">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2">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0">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1">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1">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2">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0">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1">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1">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2">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0">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1">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1">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2">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0">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1">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1">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2">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0">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1">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1">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2">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0">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1">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1">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2">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0">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1">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1">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2">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本次估价对象为出让国有建设用地使用权，《国有土地使用证》[]证载土地终止日期为住宅2087年3月19日、商业2057年3月19日。截至估价期日，出让国有建设用地使用权剩余土地使用年限为。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37" zoomScaleNormal="100" workbookViewId="0">
      <selection activeCell="F31" sqref="F31:F38"/>
    </sheetView>
  </sheetViews>
  <sheetFormatPr defaultRowHeight="15"/>
  <cols>
    <col min="1" max="1" width="9" style="2060" customWidth="1"/>
    <col min="2" max="2" width="20.625" style="2099" customWidth="1"/>
    <col min="3" max="3" width="11.875" style="2099" customWidth="1"/>
    <col min="4" max="4" width="26.875" style="2060" customWidth="1"/>
    <col min="5" max="5" width="11.3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951</v>
      </c>
      <c r="E1" s="2387" t="s">
        <v>2376</v>
      </c>
      <c r="F1" s="2388">
        <f ca="1">J53</f>
        <v>38.520000000000003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23953</v>
      </c>
      <c r="C2" s="2057"/>
      <c r="D2" s="2055"/>
      <c r="E2" s="2056"/>
      <c r="F2" s="2056"/>
      <c r="G2" s="1591"/>
      <c r="H2" s="2057"/>
      <c r="I2" s="2057"/>
      <c r="J2" s="2057"/>
      <c r="K2" s="2058"/>
      <c r="L2" s="2057"/>
      <c r="M2" s="2057"/>
    </row>
    <row r="3" spans="1:33" ht="18" customHeight="1" thickBot="1">
      <c r="A3" s="833" t="s">
        <v>1727</v>
      </c>
      <c r="B3" s="834">
        <f ca="1">IF(ISERROR(B2*10000/F43),0,ROUND(B2*10000/F43,0))</f>
        <v>8364</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1535</v>
      </c>
      <c r="D5" s="2496" t="s">
        <v>2463</v>
      </c>
      <c r="E5" s="2490"/>
      <c r="F5" s="2491"/>
      <c r="G5" s="1593"/>
      <c r="H5" s="781">
        <v>1</v>
      </c>
      <c r="I5" s="782" t="s">
        <v>2460</v>
      </c>
      <c r="J5" s="55">
        <f ca="1">J6+J10+J12</f>
        <v>0</v>
      </c>
      <c r="K5" s="2496" t="s">
        <v>2463</v>
      </c>
      <c r="L5" s="2490"/>
      <c r="M5" s="2491"/>
    </row>
    <row r="6" spans="1:33" ht="18" customHeight="1">
      <c r="A6" s="1832" t="s">
        <v>1824</v>
      </c>
      <c r="B6" s="3444" t="s">
        <v>2465</v>
      </c>
      <c r="C6" s="783">
        <f ca="1">ROUND(F6*F8*F7*(1-F9)/10000,0)</f>
        <v>1533</v>
      </c>
      <c r="D6" s="2497" t="s">
        <v>2464</v>
      </c>
      <c r="E6" s="784" t="s">
        <v>1738</v>
      </c>
      <c r="F6" s="785">
        <f ca="1">INDIRECT("'数据-取费表'!u"&amp;$G$1)</f>
        <v>1.63</v>
      </c>
      <c r="G6" s="1593"/>
      <c r="H6" s="2504" t="s">
        <v>2470</v>
      </c>
      <c r="I6" s="3444" t="s">
        <v>2465</v>
      </c>
      <c r="J6" s="783">
        <f ca="1">ROUND(M6*M8*M7*(1-M9)/10000,0)</f>
        <v>0</v>
      </c>
      <c r="K6" s="341" t="s">
        <v>1737</v>
      </c>
      <c r="L6" s="784" t="s">
        <v>1738</v>
      </c>
      <c r="M6" s="785">
        <f ca="1">INDIRECT("'数据-取费表'!z"&amp;$G$1)</f>
        <v>0</v>
      </c>
    </row>
    <row r="7" spans="1:33" ht="18" customHeight="1">
      <c r="A7" s="2500"/>
      <c r="B7" s="3445"/>
      <c r="C7" s="788"/>
      <c r="D7" s="789"/>
      <c r="E7" s="784" t="s">
        <v>1739</v>
      </c>
      <c r="F7" s="785">
        <f ca="1">IF(INDIRECT("'数据-取费表'!ah"&amp;$G$1)="",INDIRECT("'数据-取费表'!k"&amp;$G$1),INDIRECT("'数据-取费表'!ah"&amp;$G$1))</f>
        <v>28637.67</v>
      </c>
      <c r="G7" s="1593"/>
      <c r="H7" s="2489"/>
      <c r="I7" s="3445"/>
      <c r="J7" s="788"/>
      <c r="K7" s="789"/>
      <c r="L7" s="784" t="s">
        <v>1739</v>
      </c>
      <c r="M7" s="785">
        <f ca="1">F7</f>
        <v>28637.67</v>
      </c>
    </row>
    <row r="8" spans="1:33" ht="18" customHeight="1">
      <c r="A8" s="2493"/>
      <c r="B8" s="3446"/>
      <c r="C8" s="788"/>
      <c r="D8" s="789"/>
      <c r="E8" s="784" t="s">
        <v>1740</v>
      </c>
      <c r="F8" s="785">
        <f ca="1">INDIRECT("'数据-取费表'!ai"&amp;$G$1)</f>
        <v>365</v>
      </c>
      <c r="G8" s="1593"/>
      <c r="H8" s="2489"/>
      <c r="I8" s="3446"/>
      <c r="J8" s="788"/>
      <c r="K8" s="789"/>
      <c r="L8" s="784" t="s">
        <v>1740</v>
      </c>
      <c r="M8" s="785">
        <f ca="1">INDIRECT("'数据-取费表'!ai"&amp;$G$1)</f>
        <v>365</v>
      </c>
    </row>
    <row r="9" spans="1:33" ht="18" customHeight="1">
      <c r="A9" s="786"/>
      <c r="B9" s="3447"/>
      <c r="C9" s="788"/>
      <c r="D9" s="789"/>
      <c r="E9" s="784" t="s">
        <v>1741</v>
      </c>
      <c r="F9" s="794">
        <f ca="1">INDIRECT("'数据-取费表'!w"&amp;$G$1)</f>
        <v>0.1</v>
      </c>
      <c r="G9" s="1593"/>
      <c r="H9" s="2505"/>
      <c r="I9" s="3446"/>
      <c r="J9" s="788"/>
      <c r="K9" s="789"/>
      <c r="L9" s="795" t="s">
        <v>1741</v>
      </c>
      <c r="M9" s="796">
        <f ca="1">INDIRECT("'数据-取费表'!ab"&amp;$G$1)</f>
        <v>0</v>
      </c>
    </row>
    <row r="10" spans="1:33" ht="18" customHeight="1">
      <c r="A10" s="1832" t="s">
        <v>2468</v>
      </c>
      <c r="B10" s="2494" t="s">
        <v>2461</v>
      </c>
      <c r="C10" s="799">
        <f ca="1">ROUND(IF(F10="押一",C6/12*F11,IF(F10="押二",C6/12*2*F11,IF(F10="押三",C6/12*3*F11,C11*F11))),0)</f>
        <v>2</v>
      </c>
      <c r="D10" s="2501" t="s">
        <v>2974</v>
      </c>
      <c r="E10" s="2498" t="s">
        <v>2466</v>
      </c>
      <c r="F10" s="2621" t="s">
        <v>3172</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8985</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5728</v>
      </c>
      <c r="D14" s="1979" t="s">
        <v>1745</v>
      </c>
      <c r="E14" s="1980"/>
      <c r="F14" s="805"/>
      <c r="G14" s="1593"/>
      <c r="H14" s="1650" t="s">
        <v>1830</v>
      </c>
      <c r="I14" s="2231" t="s">
        <v>2828</v>
      </c>
      <c r="J14" s="53">
        <f ca="1">C29</f>
        <v>8985</v>
      </c>
      <c r="K14" s="26"/>
      <c r="L14" s="801"/>
      <c r="M14" s="802"/>
    </row>
    <row r="15" spans="1:33" s="2064" customFormat="1" ht="18" customHeight="1" thickBot="1">
      <c r="A15" s="1649" t="s">
        <v>1885</v>
      </c>
      <c r="B15" s="784" t="s">
        <v>647</v>
      </c>
      <c r="C15" s="53">
        <f ca="1">ROUND(C14*F15,0)</f>
        <v>172</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907</v>
      </c>
      <c r="K16" s="1823" t="s">
        <v>1750</v>
      </c>
      <c r="L16" s="2486"/>
      <c r="M16" s="2491"/>
    </row>
    <row r="17" spans="1:33" s="2064" customFormat="1" ht="18" customHeight="1">
      <c r="A17" s="1649" t="s">
        <v>1887</v>
      </c>
      <c r="B17" s="784" t="s">
        <v>653</v>
      </c>
      <c r="C17" s="53">
        <f ca="1">ROUND(F17*(F43+INDIRECT("'数据-取费表'!S"&amp;$G$1))/10000,0)</f>
        <v>573</v>
      </c>
      <c r="D17" s="784" t="s">
        <v>1751</v>
      </c>
      <c r="E17" s="784" t="s">
        <v>1752</v>
      </c>
      <c r="F17" s="56">
        <f>'数据-取费表'!B35</f>
        <v>200</v>
      </c>
      <c r="G17" s="1594"/>
      <c r="H17" s="1650" t="s">
        <v>1830</v>
      </c>
      <c r="I17" s="784" t="s">
        <v>656</v>
      </c>
      <c r="J17" s="53">
        <f ca="1">ROUND(IF(项目基本情况!B11="自然人",J5*M17,J18+J19+J20),0)</f>
        <v>772</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86</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6559</v>
      </c>
      <c r="D19" s="261" t="s">
        <v>1757</v>
      </c>
      <c r="E19" s="1982"/>
      <c r="F19" s="56"/>
      <c r="G19" s="1593"/>
      <c r="H19" s="1649" t="s">
        <v>1885</v>
      </c>
      <c r="I19" s="784" t="s">
        <v>1758</v>
      </c>
      <c r="J19" s="53">
        <f ca="1">IF(K19="按租金收入计税",ROUND(J5*M19,1),ROUND(C29*F33*0.7,1))</f>
        <v>754.7</v>
      </c>
      <c r="K19" s="811" t="s">
        <v>665</v>
      </c>
      <c r="L19" s="784" t="s">
        <v>1747</v>
      </c>
      <c r="M19" s="809">
        <f>IF(K19="按租金收入计税",'数据-取费表'!B51,'数据-取费表'!B50)</f>
        <v>1.2E-2</v>
      </c>
    </row>
    <row r="20" spans="1:33" s="2064" customFormat="1" ht="18" customHeight="1">
      <c r="A20" s="1650" t="s">
        <v>1889</v>
      </c>
      <c r="B20" s="784" t="s">
        <v>666</v>
      </c>
      <c r="C20" s="53">
        <f ca="1">ROUND(C19*F20,0)</f>
        <v>131</v>
      </c>
      <c r="D20" s="812" t="s">
        <v>1759</v>
      </c>
      <c r="E20" s="784" t="s">
        <v>1747</v>
      </c>
      <c r="F20" s="809">
        <f>'数据-取费表'!B37</f>
        <v>0.02</v>
      </c>
      <c r="G20" s="1594"/>
      <c r="H20" s="1652" t="s">
        <v>1880</v>
      </c>
      <c r="I20" s="341" t="s">
        <v>1760</v>
      </c>
      <c r="J20" s="54">
        <f ca="1">ROUND(M20*M21/10000,0)</f>
        <v>17</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9545.89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135</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318</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-907</v>
      </c>
      <c r="K25" s="2548" t="s">
        <v>1777</v>
      </c>
      <c r="L25" s="2549"/>
      <c r="M25" s="2550"/>
    </row>
    <row r="26" spans="1:33" ht="18" customHeight="1">
      <c r="A26" s="1649" t="s">
        <v>1831</v>
      </c>
      <c r="B26" s="784" t="s">
        <v>2440</v>
      </c>
      <c r="C26" s="53">
        <f ca="1">ROUND((C19+C20)*F26,0)</f>
        <v>1338</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8985</v>
      </c>
      <c r="D29" s="2545"/>
      <c r="E29" s="2546"/>
      <c r="F29" s="2547"/>
      <c r="G29" s="1594"/>
      <c r="H29" s="823" t="s">
        <v>1787</v>
      </c>
      <c r="I29" s="824" t="s">
        <v>1788</v>
      </c>
      <c r="J29" s="825">
        <f ca="1">ROUND(J26/(1+F40)^F41,0)</f>
        <v>0</v>
      </c>
      <c r="K29" s="826" t="s">
        <v>1789</v>
      </c>
      <c r="L29" s="827"/>
      <c r="M29" s="828">
        <f ca="1">INDIRECT("'数据-取费表'!k"&amp;$G$1)</f>
        <v>28637.67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461</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281.8</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80.400000000000006</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184.2</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17.2</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9545.89</v>
      </c>
      <c r="G35" s="2062"/>
      <c r="H35" s="2065"/>
      <c r="I35" s="837" t="s">
        <v>1814</v>
      </c>
      <c r="J35" s="838">
        <f ca="1">ROUND(C13*J36,0)</f>
        <v>764</v>
      </c>
      <c r="K35" s="2078"/>
      <c r="L35" s="2077"/>
      <c r="M35" s="2077"/>
    </row>
    <row r="36" spans="1:18" ht="18" customHeight="1">
      <c r="A36" s="1650" t="s">
        <v>1889</v>
      </c>
      <c r="B36" s="784" t="s">
        <v>1802</v>
      </c>
      <c r="C36" s="53">
        <f ca="1">ROUND(C29*F36,1)</f>
        <v>134.80000000000001</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30.7</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1074</v>
      </c>
      <c r="D39" s="2548" t="s">
        <v>1806</v>
      </c>
      <c r="E39" s="2549"/>
      <c r="F39" s="2550"/>
      <c r="G39" s="2062"/>
      <c r="H39" s="2077"/>
      <c r="I39" s="837" t="s">
        <v>1818</v>
      </c>
      <c r="J39" s="845">
        <f ca="1">ROUND(J35/C39,3)</f>
        <v>0.71099999999999997</v>
      </c>
      <c r="K39" s="2083"/>
      <c r="L39" s="2077"/>
      <c r="M39" s="2077"/>
    </row>
    <row r="40" spans="1:18" ht="18" customHeight="1">
      <c r="A40" s="781" t="s">
        <v>1895</v>
      </c>
      <c r="B40" s="2232" t="s">
        <v>2303</v>
      </c>
      <c r="C40" s="783">
        <f ca="1">ROUND(C39*(1-((1+F42)/(1+F40))^F41)/(F40-F42),0)</f>
        <v>23953</v>
      </c>
      <c r="D40" s="814" t="s">
        <v>1807</v>
      </c>
      <c r="E40" s="784" t="s">
        <v>2421</v>
      </c>
      <c r="F40" s="794">
        <f ca="1">INDIRECT("'数据-取费表'!I"&amp;$G$1)</f>
        <v>0.06</v>
      </c>
      <c r="G40" s="2062"/>
      <c r="H40" s="2062"/>
      <c r="I40" s="837" t="s">
        <v>1819</v>
      </c>
      <c r="J40" s="845">
        <f ca="1">1-J39</f>
        <v>0.28900000000000003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38.520000000000003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0.375</v>
      </c>
      <c r="K42" s="2082"/>
      <c r="L42" s="1988"/>
      <c r="M42" s="1988"/>
    </row>
    <row r="43" spans="1:18" ht="18" customHeight="1" thickBot="1">
      <c r="A43" s="823" t="s">
        <v>1787</v>
      </c>
      <c r="B43" s="824" t="s">
        <v>1810</v>
      </c>
      <c r="C43" s="825">
        <f ca="1">ROUND(C40*10000/F43,0)</f>
        <v>8364</v>
      </c>
      <c r="D43" s="826" t="s">
        <v>1811</v>
      </c>
      <c r="E43" s="827" t="s">
        <v>1812</v>
      </c>
      <c r="F43" s="828">
        <f ca="1">INDIRECT("'数据-取费表'!k"&amp;$G$1)</f>
        <v>28637.67</v>
      </c>
      <c r="G43" s="2062"/>
      <c r="H43" s="1988"/>
      <c r="I43" s="847" t="s">
        <v>1822</v>
      </c>
      <c r="J43" s="848">
        <f ca="1">1-J42</f>
        <v>0.625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-26426</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38.520000000000003</v>
      </c>
      <c r="O48" s="2398" t="s">
        <v>2381</v>
      </c>
      <c r="P48" s="2399" t="s">
        <v>2407</v>
      </c>
      <c r="Q48" s="2400">
        <f ca="1">C40+J29</f>
        <v>23953</v>
      </c>
      <c r="R48" s="2399" t="s">
        <v>2382</v>
      </c>
    </row>
    <row r="49" spans="1:18" s="2059" customFormat="1" ht="18" customHeight="1" thickBot="1">
      <c r="A49" s="786"/>
      <c r="B49" s="787"/>
      <c r="C49" s="788"/>
      <c r="D49" s="789"/>
      <c r="E49" s="784" t="s">
        <v>1739</v>
      </c>
      <c r="F49" s="785">
        <f ca="1">F7</f>
        <v>28637.67</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8985</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5258</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38.520000000000003</v>
      </c>
      <c r="K53" s="3460" t="s">
        <v>2966</v>
      </c>
      <c r="L53" s="3461"/>
      <c r="O53" s="2401" t="s">
        <v>2390</v>
      </c>
      <c r="P53" s="2399" t="s">
        <v>2391</v>
      </c>
      <c r="Q53" s="2400">
        <f ca="1">J53</f>
        <v>38.520000000000003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23953</v>
      </c>
      <c r="R54" s="2403" t="s">
        <v>2394</v>
      </c>
    </row>
    <row r="55" spans="1:18" s="2059" customFormat="1" ht="18" customHeight="1" thickTop="1" thickBot="1">
      <c r="A55" s="797">
        <v>2</v>
      </c>
      <c r="B55" s="798" t="s">
        <v>644</v>
      </c>
      <c r="C55" s="799">
        <f ca="1">C13</f>
        <v>8985</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8985</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166</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23953</v>
      </c>
      <c r="R57" s="2399" t="s">
        <v>2382</v>
      </c>
    </row>
    <row r="58" spans="1:18" s="2059" customFormat="1" ht="28.5" customHeight="1" thickBot="1">
      <c r="A58" s="1650" t="s">
        <v>1824</v>
      </c>
      <c r="B58" s="784" t="s">
        <v>656</v>
      </c>
      <c r="C58" s="53">
        <f ca="1">ROUND(IF(项目基本情况!B11="自然人",C47*F58,C59+C60+C61),1)</f>
        <v>17.2</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17.2</v>
      </c>
      <c r="D61" s="814" t="s">
        <v>669</v>
      </c>
      <c r="E61" s="784" t="s">
        <v>670</v>
      </c>
      <c r="F61" s="640">
        <f t="shared" si="0"/>
        <v>18</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9545.89</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5.75" thickBot="1">
      <c r="A63" s="1650" t="s">
        <v>1889</v>
      </c>
      <c r="B63" s="784" t="s">
        <v>676</v>
      </c>
      <c r="C63" s="53">
        <f ca="1">ROUND(C56*F63,1)</f>
        <v>134.80000000000001</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23953</v>
      </c>
      <c r="R63" s="2403" t="s">
        <v>2394</v>
      </c>
    </row>
    <row r="64" spans="1:18" s="2059" customFormat="1" ht="16.5" thickBot="1">
      <c r="A64" s="1650" t="s">
        <v>1890</v>
      </c>
      <c r="B64" s="784" t="s">
        <v>679</v>
      </c>
      <c r="C64" s="53">
        <f ca="1">ROUND(C55*F64,1)</f>
        <v>13.5</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-166</v>
      </c>
      <c r="D66" s="2638" t="s">
        <v>700</v>
      </c>
      <c r="E66" s="2637"/>
      <c r="F66" s="820"/>
      <c r="K66" s="2086"/>
      <c r="O66" s="2398" t="s">
        <v>2381</v>
      </c>
      <c r="P66" s="2399" t="s">
        <v>2411</v>
      </c>
      <c r="Q66" s="2400">
        <f ca="1">C40+J29</f>
        <v>23953</v>
      </c>
      <c r="R66" s="2399" t="s">
        <v>2382</v>
      </c>
    </row>
    <row r="67" spans="1:18" s="2059" customFormat="1" ht="20.25" thickBot="1">
      <c r="A67" s="781" t="s">
        <v>1780</v>
      </c>
      <c r="B67" s="2232" t="s">
        <v>2303</v>
      </c>
      <c r="C67" s="783">
        <f ca="1">ROUND(C66*(1-((1+F69)/(1+F67))^F68)/(F67-F69),0)</f>
        <v>-2473</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38.520000000000003</v>
      </c>
      <c r="O68" s="2401" t="s">
        <v>2385</v>
      </c>
      <c r="P68" s="2399" t="s">
        <v>2415</v>
      </c>
      <c r="Q68" s="2405">
        <f ca="1">L51</f>
        <v>5258</v>
      </c>
      <c r="R68" s="2406" t="s">
        <v>2418</v>
      </c>
    </row>
    <row r="69" spans="1:18" ht="20.25" thickBot="1">
      <c r="A69" s="790"/>
      <c r="B69" s="791"/>
      <c r="C69" s="792"/>
      <c r="D69" s="816"/>
      <c r="E69" s="784" t="s">
        <v>710</v>
      </c>
      <c r="F69" s="2371"/>
      <c r="O69" s="2401" t="s">
        <v>2386</v>
      </c>
      <c r="P69" s="2407" t="s">
        <v>2400</v>
      </c>
      <c r="Q69" s="2400">
        <f ca="1">ROUND(Q70-Q71*Q72,0)</f>
        <v>310</v>
      </c>
      <c r="R69" s="2403"/>
    </row>
    <row r="70" spans="1:18" ht="15.75" thickBot="1">
      <c r="A70" s="823" t="s">
        <v>1787</v>
      </c>
      <c r="B70" s="824" t="s">
        <v>1810</v>
      </c>
      <c r="C70" s="825">
        <f ca="1">ROUND(C67*10000/F70,0)</f>
        <v>-864</v>
      </c>
      <c r="D70" s="826" t="s">
        <v>1811</v>
      </c>
      <c r="E70" s="827" t="s">
        <v>1812</v>
      </c>
      <c r="F70" s="828">
        <f ca="1">F43</f>
        <v>28637.67</v>
      </c>
      <c r="O70" s="2401" t="s">
        <v>2401</v>
      </c>
      <c r="P70" s="2407" t="s">
        <v>2402</v>
      </c>
      <c r="Q70" s="2400">
        <f ca="1">C39</f>
        <v>1074</v>
      </c>
      <c r="R70" s="2399" t="s">
        <v>2382</v>
      </c>
    </row>
    <row r="71" spans="1:18" ht="15.75" thickBot="1">
      <c r="O71" s="2401" t="s">
        <v>2403</v>
      </c>
      <c r="P71" s="2407" t="s">
        <v>2404</v>
      </c>
      <c r="Q71" s="2400">
        <f ca="1">C13</f>
        <v>8985</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建筑物剩余耐用年限下的土地年期修正系数Kn</v>
      </c>
      <c r="Q75" s="2400" t="e">
        <f ca="1">L59</f>
        <v>#DIV/0!</v>
      </c>
      <c r="R75" s="2403" t="s">
        <v>2399</v>
      </c>
    </row>
    <row r="76" spans="1:18" ht="15.75" thickBot="1">
      <c r="O76" s="2398" t="s">
        <v>2393</v>
      </c>
      <c r="P76" s="2399" t="s">
        <v>2410</v>
      </c>
      <c r="Q76" s="2400">
        <f ca="1">Q66+Q67</f>
        <v>23953</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62" t="s">
        <v>2473</v>
      </c>
      <c r="B1" s="3463"/>
      <c r="C1" s="3464"/>
      <c r="D1" s="3465">
        <f>SUM(I10,I15,I20,I21,I23)</f>
        <v>0</v>
      </c>
      <c r="E1" s="3465"/>
      <c r="F1" s="3465"/>
      <c r="G1" s="3465"/>
      <c r="H1" s="3465"/>
      <c r="I1" s="3466"/>
    </row>
    <row r="2" spans="1:9">
      <c r="A2" s="3467" t="s">
        <v>2474</v>
      </c>
      <c r="B2" s="3468" t="s">
        <v>2475</v>
      </c>
      <c r="C2" s="3468"/>
      <c r="D2" s="2507" t="s">
        <v>2476</v>
      </c>
      <c r="E2" s="2507" t="s">
        <v>2477</v>
      </c>
      <c r="F2" s="2507" t="s">
        <v>2478</v>
      </c>
      <c r="G2" s="2507" t="s">
        <v>2479</v>
      </c>
      <c r="H2" s="2507" t="s">
        <v>2480</v>
      </c>
      <c r="I2" s="2508" t="s">
        <v>2481</v>
      </c>
    </row>
    <row r="3" spans="1:9">
      <c r="A3" s="3467"/>
      <c r="B3" s="3468" t="s">
        <v>2482</v>
      </c>
      <c r="C3" s="3468"/>
      <c r="D3" s="2509"/>
      <c r="E3" s="2507"/>
      <c r="F3" s="2510"/>
      <c r="G3" s="2510"/>
      <c r="H3" s="2511"/>
      <c r="I3" s="2512">
        <f>ROUND(D3*E3*F3*G3*H3/10000,0)</f>
        <v>0</v>
      </c>
    </row>
    <row r="4" spans="1:9">
      <c r="A4" s="3467"/>
      <c r="B4" s="3468" t="s">
        <v>2483</v>
      </c>
      <c r="C4" s="3468"/>
      <c r="D4" s="2509"/>
      <c r="E4" s="2507"/>
      <c r="F4" s="2510"/>
      <c r="G4" s="2510"/>
      <c r="H4" s="2511"/>
      <c r="I4" s="2512">
        <f t="shared" ref="I4:I9" si="0">ROUND(D4*E4*F4*G4*H4/10000,0)</f>
        <v>0</v>
      </c>
    </row>
    <row r="5" spans="1:9">
      <c r="A5" s="3467"/>
      <c r="B5" s="3468" t="s">
        <v>2484</v>
      </c>
      <c r="C5" s="3468"/>
      <c r="D5" s="2509"/>
      <c r="E5" s="2507"/>
      <c r="F5" s="2510"/>
      <c r="G5" s="2510"/>
      <c r="H5" s="2511"/>
      <c r="I5" s="2512">
        <f t="shared" si="0"/>
        <v>0</v>
      </c>
    </row>
    <row r="6" spans="1:9">
      <c r="A6" s="3467"/>
      <c r="B6" s="3468" t="s">
        <v>2485</v>
      </c>
      <c r="C6" s="3468"/>
      <c r="D6" s="2509"/>
      <c r="E6" s="2507"/>
      <c r="F6" s="2510"/>
      <c r="G6" s="2510"/>
      <c r="H6" s="2511"/>
      <c r="I6" s="2512">
        <f t="shared" si="0"/>
        <v>0</v>
      </c>
    </row>
    <row r="7" spans="1:9">
      <c r="A7" s="3467"/>
      <c r="B7" s="3468" t="s">
        <v>2486</v>
      </c>
      <c r="C7" s="3468"/>
      <c r="D7" s="2509"/>
      <c r="E7" s="2507"/>
      <c r="F7" s="2510"/>
      <c r="G7" s="2510"/>
      <c r="H7" s="2511"/>
      <c r="I7" s="2512">
        <f t="shared" si="0"/>
        <v>0</v>
      </c>
    </row>
    <row r="8" spans="1:9">
      <c r="A8" s="3467"/>
      <c r="B8" s="3468" t="s">
        <v>2487</v>
      </c>
      <c r="C8" s="3468"/>
      <c r="D8" s="2509"/>
      <c r="E8" s="2507"/>
      <c r="F8" s="2510"/>
      <c r="G8" s="2510"/>
      <c r="H8" s="2511"/>
      <c r="I8" s="2512">
        <f t="shared" si="0"/>
        <v>0</v>
      </c>
    </row>
    <row r="9" spans="1:9">
      <c r="A9" s="3467"/>
      <c r="B9" s="3468" t="s">
        <v>2488</v>
      </c>
      <c r="C9" s="3468"/>
      <c r="D9" s="2509"/>
      <c r="E9" s="2507"/>
      <c r="F9" s="2510"/>
      <c r="G9" s="2510"/>
      <c r="H9" s="2511"/>
      <c r="I9" s="2512">
        <f t="shared" si="0"/>
        <v>0</v>
      </c>
    </row>
    <row r="10" spans="1:9">
      <c r="A10" s="3467"/>
      <c r="B10" s="3469" t="s">
        <v>2489</v>
      </c>
      <c r="C10" s="3469"/>
      <c r="D10" s="2513">
        <v>527</v>
      </c>
      <c r="E10" s="2513" t="e">
        <f>ROUND(D1*10000/D10/H9,0)</f>
        <v>#DIV/0!</v>
      </c>
      <c r="F10" s="2514"/>
      <c r="G10" s="2514"/>
      <c r="H10" s="2515"/>
      <c r="I10" s="2516">
        <f>SUM(I3:I9)</f>
        <v>0</v>
      </c>
    </row>
    <row r="11" spans="1:9" ht="14.25">
      <c r="A11" s="3467" t="s">
        <v>2490</v>
      </c>
      <c r="B11" s="3468" t="s">
        <v>2491</v>
      </c>
      <c r="C11" s="3468"/>
      <c r="D11" s="2509" t="s">
        <v>2492</v>
      </c>
      <c r="E11" s="2509" t="s">
        <v>2493</v>
      </c>
      <c r="F11" s="2510" t="s">
        <v>2494</v>
      </c>
      <c r="G11" s="2510" t="s">
        <v>2495</v>
      </c>
      <c r="H11" s="2517" t="s">
        <v>2496</v>
      </c>
      <c r="I11" s="2508" t="s">
        <v>2497</v>
      </c>
    </row>
    <row r="12" spans="1:9">
      <c r="A12" s="3467"/>
      <c r="B12" s="3468" t="s">
        <v>2498</v>
      </c>
      <c r="C12" s="3468"/>
      <c r="D12" s="2509"/>
      <c r="E12" s="2509"/>
      <c r="F12" s="2510"/>
      <c r="G12" s="2511"/>
      <c r="H12" s="2518"/>
      <c r="I12" s="2508">
        <f>ROUND(D12*E12*F12*G12/10000,0)</f>
        <v>0</v>
      </c>
    </row>
    <row r="13" spans="1:9">
      <c r="A13" s="3467"/>
      <c r="B13" s="3468" t="s">
        <v>2499</v>
      </c>
      <c r="C13" s="3468"/>
      <c r="D13" s="2509"/>
      <c r="E13" s="2509"/>
      <c r="F13" s="2510"/>
      <c r="G13" s="2511"/>
      <c r="H13" s="2518"/>
      <c r="I13" s="2508">
        <f>ROUND(D13*E13*F13*G13/10000,0)</f>
        <v>0</v>
      </c>
    </row>
    <row r="14" spans="1:9">
      <c r="A14" s="3467"/>
      <c r="B14" s="3468" t="s">
        <v>2500</v>
      </c>
      <c r="C14" s="3468"/>
      <c r="D14" s="2509"/>
      <c r="E14" s="2509"/>
      <c r="F14" s="2510"/>
      <c r="G14" s="2511"/>
      <c r="H14" s="2518"/>
      <c r="I14" s="2508">
        <f>ROUND(D14*E14*F14*G14/10000,0)</f>
        <v>0</v>
      </c>
    </row>
    <row r="15" spans="1:9">
      <c r="A15" s="3467"/>
      <c r="B15" s="3469" t="s">
        <v>2489</v>
      </c>
      <c r="C15" s="3469"/>
      <c r="D15" s="2513"/>
      <c r="E15" s="2513">
        <f>SUM(E12:E14)</f>
        <v>0</v>
      </c>
      <c r="F15" s="2514"/>
      <c r="G15" s="2511"/>
      <c r="H15" s="2518"/>
      <c r="I15" s="2519">
        <f>SUM(I12:I14)</f>
        <v>0</v>
      </c>
    </row>
    <row r="16" spans="1:9" ht="24">
      <c r="A16" s="3467" t="s">
        <v>2501</v>
      </c>
      <c r="B16" s="3468" t="s">
        <v>2502</v>
      </c>
      <c r="C16" s="3468"/>
      <c r="D16" s="2509" t="s">
        <v>2503</v>
      </c>
      <c r="E16" s="2520" t="s">
        <v>2504</v>
      </c>
      <c r="F16" s="2510" t="s">
        <v>2505</v>
      </c>
      <c r="G16" s="2511" t="s">
        <v>2495</v>
      </c>
      <c r="H16" s="2517" t="s">
        <v>2496</v>
      </c>
      <c r="I16" s="2508" t="s">
        <v>2497</v>
      </c>
    </row>
    <row r="17" spans="1:9" ht="14.25">
      <c r="A17" s="3467"/>
      <c r="B17" s="3468" t="s">
        <v>2506</v>
      </c>
      <c r="C17" s="3468"/>
      <c r="D17" s="2509"/>
      <c r="E17" s="2509"/>
      <c r="F17" s="2510"/>
      <c r="G17" s="2511"/>
      <c r="H17" s="2521"/>
      <c r="I17" s="2522">
        <f>ROUND(D17*E17*F17*G17/10000,0)</f>
        <v>0</v>
      </c>
    </row>
    <row r="18" spans="1:9" ht="14.25">
      <c r="A18" s="3467"/>
      <c r="B18" s="3468" t="s">
        <v>2507</v>
      </c>
      <c r="C18" s="3468"/>
      <c r="D18" s="2509"/>
      <c r="E18" s="2509"/>
      <c r="F18" s="2510"/>
      <c r="G18" s="2511"/>
      <c r="H18" s="2521"/>
      <c r="I18" s="2522">
        <f>ROUND(D18*E18*F18*G18/10000,0)</f>
        <v>0</v>
      </c>
    </row>
    <row r="19" spans="1:9" ht="14.25">
      <c r="A19" s="3467"/>
      <c r="B19" s="3468" t="s">
        <v>2508</v>
      </c>
      <c r="C19" s="3468"/>
      <c r="D19" s="2509"/>
      <c r="E19" s="2509"/>
      <c r="F19" s="2510"/>
      <c r="G19" s="2511"/>
      <c r="H19" s="2521"/>
      <c r="I19" s="2522">
        <f>ROUND(D19*E19*F19*G19/10000,0)</f>
        <v>0</v>
      </c>
    </row>
    <row r="20" spans="1:9">
      <c r="A20" s="3467"/>
      <c r="B20" s="3469" t="s">
        <v>2489</v>
      </c>
      <c r="C20" s="3469"/>
      <c r="D20" s="2513">
        <f>SUM(D17:D19)</f>
        <v>0</v>
      </c>
      <c r="E20" s="2513"/>
      <c r="F20" s="2514"/>
      <c r="G20" s="2511"/>
      <c r="H20" s="2518"/>
      <c r="I20" s="2519">
        <f>SUM(I17:I19)</f>
        <v>0</v>
      </c>
    </row>
    <row r="21" spans="1:9">
      <c r="A21" s="3467" t="s">
        <v>2509</v>
      </c>
      <c r="B21" s="3471"/>
      <c r="C21" s="3471"/>
      <c r="D21" s="3471"/>
      <c r="E21" s="3471"/>
      <c r="F21" s="3471"/>
      <c r="G21" s="3471"/>
      <c r="H21" s="2523">
        <v>0.1</v>
      </c>
      <c r="I21" s="2516">
        <f>ROUND(I10*H21,0)</f>
        <v>0</v>
      </c>
    </row>
    <row r="22" spans="1:9" ht="14.25">
      <c r="A22" s="3472" t="s">
        <v>2510</v>
      </c>
      <c r="B22" s="3473"/>
      <c r="C22" s="3474"/>
      <c r="D22" s="2524" t="s">
        <v>2511</v>
      </c>
      <c r="E22" s="2524" t="s">
        <v>2512</v>
      </c>
      <c r="F22" s="2525" t="s">
        <v>2513</v>
      </c>
      <c r="G22" s="2525" t="s">
        <v>2514</v>
      </c>
      <c r="H22" s="2517" t="s">
        <v>2515</v>
      </c>
      <c r="I22" s="2508" t="s">
        <v>2516</v>
      </c>
    </row>
    <row r="23" spans="1:9" ht="14.25" thickBot="1">
      <c r="A23" s="3475"/>
      <c r="B23" s="3476"/>
      <c r="C23" s="3477"/>
      <c r="D23" s="2526"/>
      <c r="E23" s="2526"/>
      <c r="F23" s="2526"/>
      <c r="G23" s="2527"/>
      <c r="H23" s="2528"/>
      <c r="I23" s="2529">
        <f>ROUND(E23*D23*F23*(1-G23)/10000,0)</f>
        <v>0</v>
      </c>
    </row>
    <row r="26" spans="1:9">
      <c r="A26" s="2530" t="s">
        <v>2517</v>
      </c>
      <c r="B26" s="2530"/>
      <c r="C26" s="2530"/>
      <c r="D26" s="2530"/>
      <c r="E26" s="3478">
        <f>C27-C30-C31-C32</f>
        <v>0</v>
      </c>
      <c r="F26" s="3478"/>
      <c r="G26" s="3478"/>
      <c r="H26" s="3043" t="s">
        <v>2845</v>
      </c>
    </row>
    <row r="27" spans="1:9">
      <c r="A27" s="2531">
        <v>1</v>
      </c>
      <c r="B27" s="2532" t="s">
        <v>2518</v>
      </c>
      <c r="C27" s="2532"/>
      <c r="D27" s="2532"/>
      <c r="E27" s="3479"/>
      <c r="F27" s="3479"/>
      <c r="G27" s="3479"/>
    </row>
    <row r="28" spans="1:9">
      <c r="A28" s="2533" t="s">
        <v>2519</v>
      </c>
      <c r="B28" s="2532" t="s">
        <v>2520</v>
      </c>
      <c r="C28" s="2532"/>
      <c r="D28" s="2532"/>
      <c r="E28" s="3479"/>
      <c r="F28" s="3479"/>
      <c r="G28" s="3479"/>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0"/>
      <c r="F32" s="3470"/>
      <c r="G32" s="3470"/>
    </row>
    <row r="33" spans="1:7" hidden="1">
      <c r="A33" s="3480" t="s">
        <v>2528</v>
      </c>
      <c r="B33" s="3481"/>
      <c r="C33" s="3481"/>
      <c r="D33" s="3482"/>
      <c r="E33" s="3478"/>
      <c r="F33" s="3478"/>
      <c r="G33" s="3478"/>
    </row>
    <row r="34" spans="1:7" hidden="1">
      <c r="A34" s="2535">
        <v>1</v>
      </c>
      <c r="B34" s="2532" t="s">
        <v>2529</v>
      </c>
      <c r="C34" s="2532"/>
      <c r="D34" s="2532"/>
      <c r="E34" s="3479"/>
      <c r="F34" s="3479"/>
      <c r="G34" s="3479"/>
    </row>
    <row r="35" spans="1:7" hidden="1">
      <c r="A35" s="2535">
        <v>2</v>
      </c>
      <c r="B35" s="2532" t="s">
        <v>2530</v>
      </c>
      <c r="C35" s="2532"/>
      <c r="D35" s="2532"/>
      <c r="E35" s="3479"/>
      <c r="F35" s="3479"/>
      <c r="G35" s="3479"/>
    </row>
    <row r="36" spans="1:7" hidden="1">
      <c r="A36" s="2535">
        <v>3</v>
      </c>
      <c r="B36" s="2532" t="s">
        <v>2531</v>
      </c>
      <c r="C36" s="2532"/>
      <c r="D36" s="2532"/>
      <c r="E36" s="3479"/>
      <c r="F36" s="3479"/>
      <c r="G36" s="3479"/>
    </row>
    <row r="37" spans="1:7" hidden="1">
      <c r="A37" s="2535">
        <v>4</v>
      </c>
      <c r="B37" s="2532" t="s">
        <v>2532</v>
      </c>
      <c r="C37" s="2532"/>
      <c r="D37" s="2532"/>
      <c r="E37" s="3479"/>
      <c r="F37" s="3479"/>
      <c r="G37" s="3479"/>
    </row>
    <row r="38" spans="1:7" hidden="1">
      <c r="A38" s="3480" t="s">
        <v>2533</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148915.85999999999</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599</v>
      </c>
      <c r="D12" s="758">
        <f>'数据-汇总表'!E5</f>
        <v>119886.81</v>
      </c>
      <c r="E12" s="757">
        <f>'数据-取费表'!B27</f>
        <v>50</v>
      </c>
      <c r="F12" s="755"/>
      <c r="G12" s="759"/>
    </row>
    <row r="13" spans="1:25" s="2183" customFormat="1" ht="13.5" customHeight="1">
      <c r="A13" s="2476" t="s">
        <v>2449</v>
      </c>
      <c r="B13" s="756" t="s">
        <v>612</v>
      </c>
      <c r="C13" s="757">
        <f>ROUND(D13*E13/10000,0)</f>
        <v>145</v>
      </c>
      <c r="D13" s="758">
        <f>'数据-汇总表'!E6</f>
        <v>29029.049999999988</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0.93100000000000005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D3" sqref="D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t="s">
        <v>922</v>
      </c>
      <c r="E1" s="2626"/>
      <c r="F1" s="2807" t="s">
        <v>3195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53745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4483</v>
      </c>
      <c r="C3" s="852" t="s">
        <v>722</v>
      </c>
      <c r="D3" s="851">
        <f>SUMIF('数据-汇总表'!$C19:$C33,D1,'数据-汇总表'!$E19:$E33)</f>
        <v>119886.81</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76" t="s">
        <v>522</v>
      </c>
      <c r="D4" s="3377"/>
      <c r="E4" s="3411" t="s">
        <v>523</v>
      </c>
      <c r="F4" s="3412"/>
      <c r="G4" s="3376" t="s">
        <v>524</v>
      </c>
      <c r="H4" s="3377"/>
      <c r="I4" s="3376" t="s">
        <v>525</v>
      </c>
      <c r="J4" s="3377"/>
      <c r="K4" s="853" t="s">
        <v>526</v>
      </c>
      <c r="L4" s="2133"/>
      <c r="M4" s="2134"/>
      <c r="N4" s="2134"/>
      <c r="O4" s="2134"/>
      <c r="P4" s="3378"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408" t="s">
        <v>2928</v>
      </c>
      <c r="D5" s="3393"/>
      <c r="E5" s="3486" t="s">
        <v>2994</v>
      </c>
      <c r="F5" s="3414"/>
      <c r="G5" s="3392" t="s">
        <v>2995</v>
      </c>
      <c r="H5" s="3393"/>
      <c r="I5" s="3392" t="s">
        <v>3031</v>
      </c>
      <c r="J5" s="3393"/>
      <c r="K5" s="854"/>
      <c r="L5" s="2133"/>
      <c r="M5" s="2134"/>
      <c r="N5" s="2134"/>
      <c r="O5" s="2134"/>
      <c r="P5" s="3380"/>
      <c r="Q5" s="3381"/>
      <c r="R5" s="3386"/>
      <c r="S5" s="3387"/>
      <c r="T5" s="3386"/>
      <c r="U5" s="3387"/>
      <c r="V5" s="3371"/>
      <c r="W5" s="3371"/>
      <c r="X5" s="1568"/>
      <c r="Y5" s="3386"/>
      <c r="Z5" s="3387"/>
      <c r="AA5" s="3374"/>
      <c r="AB5" s="3374"/>
      <c r="AC5" s="3374"/>
    </row>
    <row r="6" spans="1:29" ht="15.75" thickBot="1">
      <c r="A6" s="517"/>
      <c r="B6" s="518"/>
      <c r="C6" s="3390" t="s">
        <v>2932</v>
      </c>
      <c r="D6" s="3391"/>
      <c r="E6" s="3409" t="s">
        <v>2932</v>
      </c>
      <c r="F6" s="3410"/>
      <c r="G6" s="3390" t="s">
        <v>2932</v>
      </c>
      <c r="H6" s="3391"/>
      <c r="I6" s="3390" t="s">
        <v>2932</v>
      </c>
      <c r="J6" s="3391"/>
      <c r="K6" s="854" t="s">
        <v>528</v>
      </c>
      <c r="L6" s="2133"/>
      <c r="M6" s="2134"/>
      <c r="N6" s="2134"/>
      <c r="O6" s="2134"/>
      <c r="P6" s="3382"/>
      <c r="Q6" s="3383"/>
      <c r="R6" s="3386"/>
      <c r="S6" s="3387"/>
      <c r="T6" s="3388"/>
      <c r="U6" s="3389"/>
      <c r="V6" s="3371"/>
      <c r="W6" s="3371"/>
      <c r="X6" s="1568"/>
      <c r="Y6" s="3388"/>
      <c r="Z6" s="3389"/>
      <c r="AA6" s="3375"/>
      <c r="AB6" s="3375"/>
      <c r="AC6" s="3375"/>
    </row>
    <row r="7" spans="1:29" s="1220" customFormat="1" ht="15.75" thickBot="1">
      <c r="A7" s="2912"/>
      <c r="B7" s="2919" t="s">
        <v>529</v>
      </c>
      <c r="C7" s="519">
        <f>'数据-取费表'!B2</f>
        <v>43361</v>
      </c>
      <c r="D7" s="520">
        <v>100</v>
      </c>
      <c r="E7" s="521">
        <f>C7</f>
        <v>43361</v>
      </c>
      <c r="F7" s="522">
        <f>SUMIF(58:58,YEAR(E7)&amp;"-"&amp;MONTH(E7),59:59)</f>
        <v>100</v>
      </c>
      <c r="G7" s="523">
        <f>C7</f>
        <v>43361</v>
      </c>
      <c r="H7" s="520">
        <f>SUMIF(58:58,YEAR(G7)&amp;"-"&amp;MONTH(G7),59:59)</f>
        <v>100</v>
      </c>
      <c r="I7" s="523">
        <f>C7</f>
        <v>43361</v>
      </c>
      <c r="J7" s="520">
        <f>SUMIF(58:58,YEAR(I7)&amp;"-"&amp;MONTH(I7),59:59)</f>
        <v>100</v>
      </c>
      <c r="K7" s="855"/>
      <c r="L7" s="2135"/>
      <c r="M7" s="2136"/>
      <c r="N7" s="2136"/>
      <c r="O7" s="2136"/>
      <c r="P7" s="3401" t="s">
        <v>530</v>
      </c>
      <c r="Q7" s="3403"/>
      <c r="R7" s="1569" t="s">
        <v>13</v>
      </c>
      <c r="S7" s="1570">
        <f t="shared" ref="S7:S15" si="0">F7</f>
        <v>100</v>
      </c>
      <c r="T7" s="1569" t="s">
        <v>13</v>
      </c>
      <c r="U7" s="1570">
        <f t="shared" ref="U7:U15" si="1">H7</f>
        <v>100</v>
      </c>
      <c r="V7" s="1569" t="s">
        <v>13</v>
      </c>
      <c r="W7" s="1570">
        <f t="shared" ref="W7:W15" si="2">J7</f>
        <v>100</v>
      </c>
      <c r="X7" s="1571"/>
      <c r="Y7" s="3401" t="s">
        <v>530</v>
      </c>
      <c r="Z7" s="3402"/>
      <c r="AA7" s="1572">
        <f>D7/F7</f>
        <v>1</v>
      </c>
      <c r="AB7" s="1572">
        <f>D7/H7</f>
        <v>1</v>
      </c>
      <c r="AC7" s="1572">
        <f>D7/J7</f>
        <v>1</v>
      </c>
    </row>
    <row r="8" spans="1:29" s="1220" customFormat="1" ht="15.7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401" t="s">
        <v>533</v>
      </c>
      <c r="Q8" s="3402"/>
      <c r="R8" s="1569" t="s">
        <v>13</v>
      </c>
      <c r="S8" s="1570">
        <f t="shared" si="0"/>
        <v>100</v>
      </c>
      <c r="T8" s="1569" t="s">
        <v>13</v>
      </c>
      <c r="U8" s="1570">
        <f t="shared" si="1"/>
        <v>100</v>
      </c>
      <c r="V8" s="1569" t="s">
        <v>13</v>
      </c>
      <c r="W8" s="1570">
        <f t="shared" si="2"/>
        <v>100</v>
      </c>
      <c r="X8" s="1571"/>
      <c r="Y8" s="3401" t="s">
        <v>533</v>
      </c>
      <c r="Z8" s="3402"/>
      <c r="AA8" s="1572">
        <f t="shared" ref="AA8:AA46" si="3">D8/F8</f>
        <v>1</v>
      </c>
      <c r="AB8" s="1572">
        <f t="shared" ref="AB8:AB46" si="4">D8/H8</f>
        <v>1</v>
      </c>
      <c r="AC8" s="1572">
        <f t="shared" ref="AC8:AC46" si="5">D8/J8</f>
        <v>1</v>
      </c>
    </row>
    <row r="9" spans="1:29" s="1220" customFormat="1" ht="15">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70"/>
      <c r="Q11" s="1151" t="str">
        <f t="shared" si="6"/>
        <v>容积率</v>
      </c>
      <c r="R11" s="1569" t="s">
        <v>11</v>
      </c>
      <c r="S11" s="1570">
        <f t="shared" si="0"/>
        <v>100</v>
      </c>
      <c r="T11" s="1569" t="s">
        <v>11</v>
      </c>
      <c r="U11" s="1570">
        <f t="shared" si="1"/>
        <v>100</v>
      </c>
      <c r="V11" s="1569" t="s">
        <v>11</v>
      </c>
      <c r="W11" s="1570">
        <f t="shared" si="2"/>
        <v>100</v>
      </c>
      <c r="X11" s="1571"/>
      <c r="Y11" s="3316"/>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0"/>
      <c r="Q12" s="1151">
        <f t="shared" si="6"/>
        <v>111</v>
      </c>
      <c r="R12" s="1569" t="s">
        <v>11</v>
      </c>
      <c r="S12" s="1570">
        <f t="shared" si="0"/>
        <v>100</v>
      </c>
      <c r="T12" s="1569" t="s">
        <v>11</v>
      </c>
      <c r="U12" s="1570">
        <f t="shared" si="1"/>
        <v>100</v>
      </c>
      <c r="V12" s="1569" t="s">
        <v>11</v>
      </c>
      <c r="W12" s="1570">
        <f t="shared" si="2"/>
        <v>100</v>
      </c>
      <c r="X12" s="1571"/>
      <c r="Y12" s="3316"/>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0"/>
      <c r="Q13" s="1151">
        <f t="shared" si="6"/>
        <v>111</v>
      </c>
      <c r="R13" s="1569" t="s">
        <v>11</v>
      </c>
      <c r="S13" s="1570">
        <f t="shared" si="0"/>
        <v>100</v>
      </c>
      <c r="T13" s="1569" t="s">
        <v>11</v>
      </c>
      <c r="U13" s="1570">
        <f t="shared" si="1"/>
        <v>100</v>
      </c>
      <c r="V13" s="1569" t="s">
        <v>11</v>
      </c>
      <c r="W13" s="1570">
        <f t="shared" si="2"/>
        <v>100</v>
      </c>
      <c r="X13" s="1571"/>
      <c r="Y13" s="3316"/>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0"/>
      <c r="Q14" s="1151">
        <f t="shared" si="6"/>
        <v>111</v>
      </c>
      <c r="R14" s="1569" t="s">
        <v>11</v>
      </c>
      <c r="S14" s="1570">
        <f t="shared" si="0"/>
        <v>100</v>
      </c>
      <c r="T14" s="1569" t="s">
        <v>11</v>
      </c>
      <c r="U14" s="1570">
        <f t="shared" si="1"/>
        <v>100</v>
      </c>
      <c r="V14" s="1569" t="s">
        <v>11</v>
      </c>
      <c r="W14" s="1570">
        <f t="shared" si="2"/>
        <v>100</v>
      </c>
      <c r="X14" s="1571"/>
      <c r="Y14" s="3316"/>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100</v>
      </c>
      <c r="I15" s="550"/>
      <c r="J15" s="549">
        <f>SUMIF(76:76,I16,77:77)-SUMIF(76:76,C16,77:77)+100</f>
        <v>103</v>
      </c>
      <c r="K15" s="868">
        <v>3</v>
      </c>
      <c r="L15" s="2142"/>
      <c r="M15" s="2134"/>
      <c r="N15" s="2134"/>
      <c r="O15" s="2141"/>
      <c r="P15" s="3404" t="s">
        <v>540</v>
      </c>
      <c r="Q15" s="1573" t="str">
        <f t="shared" si="6"/>
        <v>居住社区成熟度</v>
      </c>
      <c r="R15" s="1574" t="s">
        <v>11</v>
      </c>
      <c r="S15" s="1575">
        <f t="shared" si="0"/>
        <v>103</v>
      </c>
      <c r="T15" s="1574" t="s">
        <v>11</v>
      </c>
      <c r="U15" s="1575">
        <f t="shared" si="1"/>
        <v>100</v>
      </c>
      <c r="V15" s="1574" t="s">
        <v>11</v>
      </c>
      <c r="W15" s="1575">
        <f t="shared" si="2"/>
        <v>103</v>
      </c>
      <c r="X15" s="1568"/>
      <c r="Y15" s="3404" t="s">
        <v>540</v>
      </c>
      <c r="Z15" s="1576" t="str">
        <f t="shared" si="7"/>
        <v>居住社区成熟度</v>
      </c>
      <c r="AA15" s="1577">
        <f t="shared" si="3"/>
        <v>0.970873786407767</v>
      </c>
      <c r="AB15" s="1577">
        <f t="shared" si="4"/>
        <v>1</v>
      </c>
      <c r="AC15" s="1577">
        <f t="shared" si="5"/>
        <v>0.970873786407767</v>
      </c>
    </row>
    <row r="16" spans="1:29" ht="15">
      <c r="A16" s="532"/>
      <c r="B16" s="869"/>
      <c r="C16" s="576" t="s">
        <v>2999</v>
      </c>
      <c r="D16" s="555"/>
      <c r="E16" s="556" t="s">
        <v>2998</v>
      </c>
      <c r="F16" s="557"/>
      <c r="G16" s="558" t="s">
        <v>2999</v>
      </c>
      <c r="H16" s="559"/>
      <c r="I16" s="556" t="s">
        <v>2998</v>
      </c>
      <c r="J16" s="555"/>
      <c r="K16" s="870"/>
      <c r="L16" s="2142"/>
      <c r="M16" s="2134"/>
      <c r="N16" s="2134"/>
      <c r="O16" s="2141"/>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405"/>
      <c r="Q17" s="1573" t="str">
        <f>B17</f>
        <v>交通便捷度</v>
      </c>
      <c r="R17" s="1574" t="s">
        <v>11</v>
      </c>
      <c r="S17" s="1575">
        <f>F17</f>
        <v>103</v>
      </c>
      <c r="T17" s="1574" t="s">
        <v>11</v>
      </c>
      <c r="U17" s="1575">
        <f>H17</f>
        <v>103</v>
      </c>
      <c r="V17" s="1574" t="s">
        <v>11</v>
      </c>
      <c r="W17" s="1575">
        <f>J17</f>
        <v>103</v>
      </c>
      <c r="X17" s="1568"/>
      <c r="Y17" s="3405"/>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405"/>
      <c r="Q18" s="1573"/>
      <c r="R18" s="1574"/>
      <c r="S18" s="1575"/>
      <c r="T18" s="1574"/>
      <c r="U18" s="1575"/>
      <c r="V18" s="1574"/>
      <c r="W18" s="1575"/>
      <c r="X18" s="1568"/>
      <c r="Y18" s="3405"/>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405"/>
      <c r="Q19" s="1573" t="str">
        <f>B19</f>
        <v>公共配套设施</v>
      </c>
      <c r="R19" s="1574" t="s">
        <v>11</v>
      </c>
      <c r="S19" s="1575">
        <f>F19</f>
        <v>103</v>
      </c>
      <c r="T19" s="1574" t="s">
        <v>11</v>
      </c>
      <c r="U19" s="1575">
        <f>H19</f>
        <v>103</v>
      </c>
      <c r="V19" s="1574" t="s">
        <v>11</v>
      </c>
      <c r="W19" s="1575">
        <f>J19</f>
        <v>103</v>
      </c>
      <c r="X19" s="1568"/>
      <c r="Y19" s="3405"/>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405"/>
      <c r="Q20" s="1573"/>
      <c r="R20" s="1574"/>
      <c r="S20" s="1575"/>
      <c r="T20" s="1574"/>
      <c r="U20" s="1575"/>
      <c r="V20" s="1574"/>
      <c r="W20" s="1575"/>
      <c r="X20" s="1568"/>
      <c r="Y20" s="3405"/>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05"/>
      <c r="Q21" s="2579" t="str">
        <f>B21</f>
        <v>基础设施水平</v>
      </c>
      <c r="R21" s="1574" t="s">
        <v>11</v>
      </c>
      <c r="S21" s="1575">
        <f>F21</f>
        <v>100</v>
      </c>
      <c r="T21" s="1574" t="s">
        <v>11</v>
      </c>
      <c r="U21" s="1575">
        <f>H21</f>
        <v>100</v>
      </c>
      <c r="V21" s="1574" t="s">
        <v>11</v>
      </c>
      <c r="W21" s="1575">
        <f>J21</f>
        <v>100</v>
      </c>
      <c r="X21" s="2581"/>
      <c r="Y21" s="3405"/>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405"/>
      <c r="Q22" s="2579"/>
      <c r="R22" s="1574"/>
      <c r="S22" s="1575"/>
      <c r="T22" s="1574"/>
      <c r="U22" s="1575"/>
      <c r="V22" s="1574"/>
      <c r="W22" s="1575"/>
      <c r="X22" s="2581"/>
      <c r="Y22" s="3405"/>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405"/>
      <c r="Q24" s="1573"/>
      <c r="R24" s="1574"/>
      <c r="S24" s="1575"/>
      <c r="T24" s="1574"/>
      <c r="U24" s="1575"/>
      <c r="V24" s="1574"/>
      <c r="W24" s="1575"/>
      <c r="X24" s="1568"/>
      <c r="Y24" s="3405"/>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406" t="s">
        <v>550</v>
      </c>
      <c r="Q32" s="1573" t="str">
        <f t="shared" si="11"/>
        <v>建筑类型</v>
      </c>
      <c r="R32" s="1574" t="s">
        <v>11</v>
      </c>
      <c r="S32" s="1575">
        <f t="shared" si="12"/>
        <v>100</v>
      </c>
      <c r="T32" s="1574" t="s">
        <v>11</v>
      </c>
      <c r="U32" s="1575">
        <f t="shared" si="13"/>
        <v>106</v>
      </c>
      <c r="V32" s="1574" t="s">
        <v>11</v>
      </c>
      <c r="W32" s="1575">
        <f t="shared" si="14"/>
        <v>100</v>
      </c>
      <c r="X32" s="1568"/>
      <c r="Y32" s="3407"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407"/>
      <c r="Q33" s="1606" t="str">
        <f t="shared" si="11"/>
        <v>项目建筑规模</v>
      </c>
      <c r="R33" s="1578" t="s">
        <v>11</v>
      </c>
      <c r="S33" s="1579">
        <f t="shared" si="12"/>
        <v>100</v>
      </c>
      <c r="T33" s="1578" t="s">
        <v>11</v>
      </c>
      <c r="U33" s="1579">
        <f t="shared" si="13"/>
        <v>98</v>
      </c>
      <c r="V33" s="1578" t="s">
        <v>11</v>
      </c>
      <c r="W33" s="1579">
        <f t="shared" si="14"/>
        <v>100</v>
      </c>
      <c r="X33" s="1580"/>
      <c r="Y33" s="3407"/>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407"/>
      <c r="Q35" s="1573" t="str">
        <f t="shared" si="11"/>
        <v>建筑品质</v>
      </c>
      <c r="R35" s="1574" t="s">
        <v>11</v>
      </c>
      <c r="S35" s="1575">
        <f t="shared" si="12"/>
        <v>100</v>
      </c>
      <c r="T35" s="1574" t="s">
        <v>11</v>
      </c>
      <c r="U35" s="1575">
        <f t="shared" si="13"/>
        <v>100</v>
      </c>
      <c r="V35" s="1574" t="s">
        <v>11</v>
      </c>
      <c r="W35" s="1575">
        <f t="shared" si="14"/>
        <v>103</v>
      </c>
      <c r="X35" s="1568"/>
      <c r="Y35" s="3407"/>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07"/>
      <c r="Q37" s="1151" t="str">
        <f t="shared" si="11"/>
        <v>成新度</v>
      </c>
      <c r="R37" s="1569" t="s">
        <v>11</v>
      </c>
      <c r="S37" s="1570">
        <f t="shared" si="12"/>
        <v>100</v>
      </c>
      <c r="T37" s="1569" t="s">
        <v>11</v>
      </c>
      <c r="U37" s="1570">
        <f t="shared" si="13"/>
        <v>100</v>
      </c>
      <c r="V37" s="1569" t="s">
        <v>11</v>
      </c>
      <c r="W37" s="1570">
        <f t="shared" si="14"/>
        <v>100</v>
      </c>
      <c r="X37" s="1571"/>
      <c r="Y37" s="3407"/>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407"/>
      <c r="Q42" s="1573" t="str">
        <f t="shared" si="11"/>
        <v>内部装修</v>
      </c>
      <c r="R42" s="1574" t="s">
        <v>11</v>
      </c>
      <c r="S42" s="1575">
        <f t="shared" si="12"/>
        <v>100</v>
      </c>
      <c r="T42" s="1574" t="s">
        <v>11</v>
      </c>
      <c r="U42" s="1575">
        <f t="shared" si="13"/>
        <v>100</v>
      </c>
      <c r="V42" s="1574" t="s">
        <v>11</v>
      </c>
      <c r="W42" s="1575">
        <f t="shared" si="14"/>
        <v>115</v>
      </c>
      <c r="X42" s="1568"/>
      <c r="Y42" s="3407"/>
      <c r="Z42" s="1576" t="str">
        <f t="shared" si="15"/>
        <v>内部装修</v>
      </c>
      <c r="AA42" s="1577">
        <f t="shared" si="3"/>
        <v>1</v>
      </c>
      <c r="AB42" s="1577">
        <f t="shared" si="4"/>
        <v>1</v>
      </c>
      <c r="AC42" s="1577">
        <f t="shared" si="5"/>
        <v>0.86956521739130432</v>
      </c>
    </row>
    <row r="43" spans="1:29" ht="27">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5">
      <c r="A47" s="607" t="s">
        <v>736</v>
      </c>
      <c r="B47" s="887"/>
      <c r="C47" s="2627" t="s">
        <v>9</v>
      </c>
      <c r="D47" s="2628"/>
      <c r="E47" s="2629">
        <v>4970</v>
      </c>
      <c r="F47" s="2630"/>
      <c r="G47" s="2631">
        <v>4700</v>
      </c>
      <c r="H47" s="2632"/>
      <c r="I47" s="2629">
        <v>6000</v>
      </c>
      <c r="J47" s="2632"/>
      <c r="K47" s="1607"/>
      <c r="L47" s="2144"/>
      <c r="M47" s="2145"/>
      <c r="N47" s="2134"/>
      <c r="O47" s="2145"/>
      <c r="P47" s="3370" t="str">
        <f>A47</f>
        <v>成交单价（元/平方米）</v>
      </c>
      <c r="Q47" s="3370"/>
      <c r="R47" s="3484">
        <f>E47</f>
        <v>4970</v>
      </c>
      <c r="S47" s="3484"/>
      <c r="T47" s="3484">
        <f>G47</f>
        <v>4700</v>
      </c>
      <c r="U47" s="3484"/>
      <c r="V47" s="3484">
        <f>I47</f>
        <v>6000</v>
      </c>
      <c r="W47" s="3484"/>
      <c r="X47" s="1560"/>
      <c r="Y47" s="1582"/>
      <c r="Z47" s="1560"/>
      <c r="AA47" s="1560"/>
      <c r="AB47" s="1560"/>
      <c r="AC47" s="1560"/>
    </row>
    <row r="48" spans="1:29" ht="15.75" thickBot="1">
      <c r="A48" s="615" t="s">
        <v>2762</v>
      </c>
      <c r="B48" s="888"/>
      <c r="C48" s="2633">
        <f>R49</f>
        <v>4483</v>
      </c>
      <c r="D48" s="2634"/>
      <c r="E48" s="2635">
        <f>R48</f>
        <v>4548</v>
      </c>
      <c r="F48" s="2635"/>
      <c r="G48" s="2633">
        <f>T48</f>
        <v>4265</v>
      </c>
      <c r="H48" s="2634"/>
      <c r="I48" s="2635">
        <f>V48</f>
        <v>4636</v>
      </c>
      <c r="J48" s="2634"/>
      <c r="K48" s="1608"/>
      <c r="L48" s="2144"/>
      <c r="M48" s="2145"/>
      <c r="N48" s="2145"/>
      <c r="O48" s="2145"/>
      <c r="P48" s="3370" t="str">
        <f>A48</f>
        <v>比较价格（元/平方米）</v>
      </c>
      <c r="Q48" s="3370"/>
      <c r="R48" s="3484">
        <f>IF(F1="售价",ROUND(PRODUCT(R47,AA7:AA46),0),ROUND(PRODUCT(R47,AA7:AA46),1))</f>
        <v>4548</v>
      </c>
      <c r="S48" s="3484"/>
      <c r="T48" s="3484">
        <f>IF(F1="售价",ROUND(PRODUCT(T47,AB7:AB46),0),ROUND(PRODUCT(T47,AB7:AB46),1))</f>
        <v>4265</v>
      </c>
      <c r="U48" s="3484"/>
      <c r="V48" s="3484">
        <f>IF(F1="售价",ROUND(PRODUCT(V47,AC7:AC46),0),ROUND(PRODUCT(V47,AC7:AC46),1))</f>
        <v>4636</v>
      </c>
      <c r="W48" s="3484"/>
      <c r="X48" s="1560"/>
      <c r="Y48" s="1560"/>
      <c r="Z48" s="1560"/>
      <c r="AA48" s="1560"/>
      <c r="AB48" s="1560"/>
      <c r="AC48" s="1560"/>
    </row>
    <row r="49" spans="1:29" ht="15.75" thickBot="1">
      <c r="A49" s="621" t="s">
        <v>2934</v>
      </c>
      <c r="B49" s="622"/>
      <c r="C49" s="2636">
        <f>R49</f>
        <v>4483</v>
      </c>
      <c r="D49" s="2636"/>
      <c r="E49" s="2636"/>
      <c r="F49" s="2636"/>
      <c r="G49" s="2636"/>
      <c r="H49" s="2636"/>
      <c r="I49" s="2636"/>
      <c r="J49" s="2636"/>
      <c r="K49" s="1609"/>
      <c r="L49" s="2144"/>
      <c r="M49" s="2145"/>
      <c r="N49" s="2145"/>
      <c r="O49" s="2145"/>
      <c r="P49" s="3367" t="str">
        <f>A49</f>
        <v>估价对象XX用房的比较价格（楼面单价，元/平方米）</v>
      </c>
      <c r="Q49" s="3368"/>
      <c r="R49" s="3483">
        <f>IF(F1="售价",ROUND(AVERAGE(R48:V48),0),ROUND(AVERAGE(R48:V48),1))</f>
        <v>4483</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9.2788038698328856E-2</v>
      </c>
      <c r="F52" s="627" t="str">
        <f>IF(OR(E52&gt;=0.3,E52&lt;=-0.3),"超过30%","")</f>
        <v/>
      </c>
      <c r="G52" s="626">
        <f>IF(G47&lt;G48,G48/G47-1,G47/G48-1)</f>
        <v>0.10199296600234464</v>
      </c>
      <c r="H52" s="627" t="str">
        <f>IF(OR(G52&gt;=0.3,G52&lt;=-0.3),"超过30%","")</f>
        <v/>
      </c>
      <c r="I52" s="626">
        <f>IF(I47&lt;I48,I48/I47-1,I47/I48-1)</f>
        <v>0.29421915444348579</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6.6354044548651903E-2</v>
      </c>
      <c r="F53" s="627" t="str">
        <f>IF(OR(E53&gt;=0.2,E53&lt;=-0.2),"超过20%","")</f>
        <v/>
      </c>
      <c r="G53" s="626">
        <f>IF(G48&lt;I48,I48/G48-1,G48/I48-1)</f>
        <v>8.6987104337631793E-2</v>
      </c>
      <c r="H53" s="627" t="str">
        <f>IF(OR(G53&gt;=0.2,G53&lt;=-0.2),"超过20%","")</f>
        <v/>
      </c>
      <c r="I53" s="626">
        <f>IF(I48&lt;E48,E48/I48-1,I48/E48-1)</f>
        <v>1.9349164467898028E-2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5.7446808510638325E-2</v>
      </c>
      <c r="F54" s="627" t="str">
        <f>IF(OR(E54&gt;=0.3,E54&lt;=-0.3),"超过30%","")</f>
        <v/>
      </c>
      <c r="G54" s="626">
        <f>IF(G47&lt;I47,I47/G47-1,G47/I47-1)</f>
        <v>0.27659574468085113</v>
      </c>
      <c r="H54" s="627" t="str">
        <f>IF(OR(G54&gt;=0.3,G54&lt;=-0.3),"超过30%","")</f>
        <v/>
      </c>
      <c r="I54" s="626">
        <f>IF(I47&lt;E47,E47/I47-1,I47/E47-1)</f>
        <v>0.20724346076458744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76" t="s">
        <v>522</v>
      </c>
      <c r="D4" s="3377"/>
      <c r="E4" s="3411" t="s">
        <v>523</v>
      </c>
      <c r="F4" s="3412"/>
      <c r="G4" s="3376" t="s">
        <v>524</v>
      </c>
      <c r="H4" s="3377"/>
      <c r="I4" s="3376" t="s">
        <v>525</v>
      </c>
      <c r="J4" s="3377"/>
      <c r="K4" s="514" t="s">
        <v>526</v>
      </c>
      <c r="L4" s="2133"/>
      <c r="M4" s="2134"/>
      <c r="N4" s="2134"/>
      <c r="O4" s="2134"/>
      <c r="P4" s="3378" t="s">
        <v>527</v>
      </c>
      <c r="Q4" s="3379"/>
      <c r="R4" s="3384" t="s">
        <v>523</v>
      </c>
      <c r="S4" s="3385"/>
      <c r="T4" s="3384" t="s">
        <v>524</v>
      </c>
      <c r="U4" s="3385"/>
      <c r="V4" s="3371" t="s">
        <v>525</v>
      </c>
      <c r="W4" s="3371"/>
      <c r="X4" s="1568"/>
      <c r="Y4" s="3384" t="s">
        <v>527</v>
      </c>
      <c r="Z4" s="3385"/>
      <c r="AA4" s="3373" t="s">
        <v>523</v>
      </c>
      <c r="AB4" s="3371" t="s">
        <v>524</v>
      </c>
      <c r="AC4" s="3373" t="s">
        <v>525</v>
      </c>
    </row>
    <row r="5" spans="1:29" ht="15">
      <c r="A5" s="515"/>
      <c r="B5" s="516"/>
      <c r="C5" s="3408" t="s">
        <v>2928</v>
      </c>
      <c r="D5" s="3393"/>
      <c r="E5" s="3413" t="s">
        <v>2929</v>
      </c>
      <c r="F5" s="3414"/>
      <c r="G5" s="3408" t="s">
        <v>2930</v>
      </c>
      <c r="H5" s="3393"/>
      <c r="I5" s="3408" t="s">
        <v>2931</v>
      </c>
      <c r="J5" s="3393"/>
      <c r="K5" s="514"/>
      <c r="L5" s="2133"/>
      <c r="M5" s="2134"/>
      <c r="N5" s="2134"/>
      <c r="O5" s="2134"/>
      <c r="P5" s="3380"/>
      <c r="Q5" s="3381"/>
      <c r="R5" s="3386"/>
      <c r="S5" s="3387"/>
      <c r="T5" s="3386"/>
      <c r="U5" s="3387"/>
      <c r="V5" s="3371"/>
      <c r="W5" s="3371"/>
      <c r="X5" s="1568"/>
      <c r="Y5" s="3386"/>
      <c r="Z5" s="3387"/>
      <c r="AA5" s="3374"/>
      <c r="AB5" s="3371"/>
      <c r="AC5" s="3374"/>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2"/>
      <c r="Q6" s="3383"/>
      <c r="R6" s="3386"/>
      <c r="S6" s="3387"/>
      <c r="T6" s="3388"/>
      <c r="U6" s="3389"/>
      <c r="V6" s="3371"/>
      <c r="W6" s="3371"/>
      <c r="X6" s="1568"/>
      <c r="Y6" s="3388"/>
      <c r="Z6" s="3389"/>
      <c r="AA6" s="3375"/>
      <c r="AB6" s="3371"/>
      <c r="AC6" s="3375"/>
    </row>
    <row r="7" spans="1:29" s="1220" customFormat="1" ht="15.75" thickBot="1">
      <c r="A7" s="2912"/>
      <c r="B7" s="2919" t="s">
        <v>529</v>
      </c>
      <c r="C7" s="519">
        <f>'数据-取费表'!B2</f>
        <v>43361</v>
      </c>
      <c r="D7" s="520">
        <v>100</v>
      </c>
      <c r="E7" s="521">
        <f>C7</f>
        <v>43361</v>
      </c>
      <c r="F7" s="522">
        <f>SUMIF(58:58,YEAR(E7)&amp;"-"&amp;MONTH(E7),59:59)</f>
        <v>100</v>
      </c>
      <c r="G7" s="521">
        <f>C7</f>
        <v>43361</v>
      </c>
      <c r="H7" s="520">
        <f>SUMIF(58:58,YEAR(G7)&amp;"-"&amp;MONTH(G7),59:59)</f>
        <v>100</v>
      </c>
      <c r="I7" s="521">
        <f>C7</f>
        <v>43361</v>
      </c>
      <c r="J7" s="520">
        <f>SUMIF(58:58,YEAR(I7)&amp;"-"&amp;MONTH(I7),59:59)</f>
        <v>100</v>
      </c>
      <c r="K7" s="524"/>
      <c r="L7" s="2135"/>
      <c r="M7" s="2136"/>
      <c r="N7" s="2136"/>
      <c r="O7" s="2136"/>
      <c r="P7" s="3401" t="s">
        <v>530</v>
      </c>
      <c r="Q7" s="3403"/>
      <c r="R7" s="1569" t="s">
        <v>8</v>
      </c>
      <c r="S7" s="1570">
        <f t="shared" ref="S7:S15" si="0">F7</f>
        <v>100</v>
      </c>
      <c r="T7" s="1569" t="s">
        <v>8</v>
      </c>
      <c r="U7" s="1570">
        <f t="shared" ref="U7:U15" si="1">H7</f>
        <v>100</v>
      </c>
      <c r="V7" s="1569" t="s">
        <v>8</v>
      </c>
      <c r="W7" s="1570">
        <f t="shared" ref="W7:W15" si="2">J7</f>
        <v>100</v>
      </c>
      <c r="X7" s="1571"/>
      <c r="Y7" s="3401" t="s">
        <v>530</v>
      </c>
      <c r="Z7" s="3402"/>
      <c r="AA7" s="1572">
        <f>D7/F7</f>
        <v>1</v>
      </c>
      <c r="AB7" s="1572">
        <f>D7/H7</f>
        <v>1</v>
      </c>
      <c r="AC7" s="1572">
        <f>D7/J7</f>
        <v>1</v>
      </c>
    </row>
    <row r="8" spans="1:29" s="1220" customFormat="1" ht="15.7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401" t="s">
        <v>533</v>
      </c>
      <c r="Q8" s="3402"/>
      <c r="R8" s="1569" t="s">
        <v>8</v>
      </c>
      <c r="S8" s="1570">
        <f t="shared" si="0"/>
        <v>100</v>
      </c>
      <c r="T8" s="1569" t="s">
        <v>8</v>
      </c>
      <c r="U8" s="1570">
        <f t="shared" si="1"/>
        <v>100</v>
      </c>
      <c r="V8" s="1569" t="s">
        <v>8</v>
      </c>
      <c r="W8" s="1570">
        <f t="shared" si="2"/>
        <v>100</v>
      </c>
      <c r="X8" s="1571"/>
      <c r="Y8" s="3401" t="s">
        <v>533</v>
      </c>
      <c r="Z8" s="3402"/>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5"/>
      <c r="Q18" s="1573"/>
      <c r="R18" s="1574"/>
      <c r="S18" s="1575"/>
      <c r="T18" s="1574"/>
      <c r="U18" s="1575"/>
      <c r="V18" s="1574"/>
      <c r="W18" s="1575"/>
      <c r="X18" s="1568"/>
      <c r="Y18" s="3405"/>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5"/>
      <c r="Q20" s="1573"/>
      <c r="R20" s="1574"/>
      <c r="S20" s="1575"/>
      <c r="T20" s="1574"/>
      <c r="U20" s="1575"/>
      <c r="V20" s="1574"/>
      <c r="W20" s="1575"/>
      <c r="X20" s="1568"/>
      <c r="Y20" s="3405"/>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5"/>
      <c r="Q21" s="2579" t="str">
        <f>B21</f>
        <v>基础设施水平</v>
      </c>
      <c r="R21" s="1574" t="s">
        <v>8</v>
      </c>
      <c r="S21" s="1575">
        <f>F21</f>
        <v>100</v>
      </c>
      <c r="T21" s="1574" t="s">
        <v>8</v>
      </c>
      <c r="U21" s="1575">
        <f>H21</f>
        <v>100</v>
      </c>
      <c r="V21" s="1574" t="s">
        <v>8</v>
      </c>
      <c r="W21" s="1575">
        <f>J21</f>
        <v>100</v>
      </c>
      <c r="X21" s="2581"/>
      <c r="Y21" s="3405"/>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05"/>
      <c r="Q22" s="2579"/>
      <c r="R22" s="1574"/>
      <c r="S22" s="1575"/>
      <c r="T22" s="1574"/>
      <c r="U22" s="1575"/>
      <c r="V22" s="1574"/>
      <c r="W22" s="1575"/>
      <c r="X22" s="2581"/>
      <c r="Y22" s="3405"/>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70" t="str">
        <f>A47</f>
        <v>成交单价（元/平方米）</v>
      </c>
      <c r="Q47" s="3370"/>
      <c r="R47" s="3484">
        <f>E47</f>
        <v>25000</v>
      </c>
      <c r="S47" s="3484"/>
      <c r="T47" s="3484">
        <f>G47</f>
        <v>20000</v>
      </c>
      <c r="U47" s="3484"/>
      <c r="V47" s="3484">
        <f>I47</f>
        <v>15000</v>
      </c>
      <c r="W47" s="3484"/>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70" t="str">
        <f>A48</f>
        <v>比较价格（元/平方米）</v>
      </c>
      <c r="Q48" s="3370"/>
      <c r="R48" s="3484" t="e">
        <f>IF(F1="售价",ROUND(PRODUCT(R47,AA7:AA46),0),ROUND(PRODUCT(R47,AA7:AA46),1))</f>
        <v>#N/A</v>
      </c>
      <c r="S48" s="3484"/>
      <c r="T48" s="3484" t="e">
        <f>IF(F1="售价",ROUND(PRODUCT(T47,AB7:AB46),0),ROUND(PRODUCT(T47,AB7:AB46),1))</f>
        <v>#N/A</v>
      </c>
      <c r="U48" s="3484"/>
      <c r="V48" s="3484" t="e">
        <f>IF(F1="售价",ROUND(PRODUCT(V47,AC7:AC46),0),ROUND(PRODUCT(V47,AC7:AC46),1))</f>
        <v>#N/A</v>
      </c>
      <c r="W48" s="3484"/>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367" t="str">
        <f>A49</f>
        <v>估价对象XX用房的比较价格（楼面单价，元/平方米）</v>
      </c>
      <c r="Q49" s="3368"/>
      <c r="R49" s="3483" t="e">
        <f>IF(F1="售价",ROUND(AVERAGE(R48:V48),0),ROUND(AVERAGE(R48:V48),1))</f>
        <v>#N/A</v>
      </c>
      <c r="S49" s="3483"/>
      <c r="T49" s="3483"/>
      <c r="U49" s="3483"/>
      <c r="V49" s="3483"/>
      <c r="W49" s="34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76" t="s">
        <v>522</v>
      </c>
      <c r="D4" s="3377"/>
      <c r="E4" s="3411" t="s">
        <v>523</v>
      </c>
      <c r="F4" s="3412"/>
      <c r="G4" s="3376" t="s">
        <v>524</v>
      </c>
      <c r="H4" s="3377"/>
      <c r="I4" s="3376" t="s">
        <v>525</v>
      </c>
      <c r="J4" s="3377"/>
      <c r="K4" s="514" t="s">
        <v>526</v>
      </c>
      <c r="L4" s="2133"/>
      <c r="M4" s="2134"/>
      <c r="N4" s="2134"/>
      <c r="O4" s="2134"/>
      <c r="P4" s="3488"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408" t="s">
        <v>2928</v>
      </c>
      <c r="D5" s="3393"/>
      <c r="E5" s="3413" t="s">
        <v>2929</v>
      </c>
      <c r="F5" s="3414"/>
      <c r="G5" s="3408" t="s">
        <v>2930</v>
      </c>
      <c r="H5" s="3393"/>
      <c r="I5" s="3408" t="s">
        <v>2931</v>
      </c>
      <c r="J5" s="3393"/>
      <c r="K5" s="514"/>
      <c r="L5" s="2133"/>
      <c r="M5" s="2134"/>
      <c r="N5" s="2134"/>
      <c r="O5" s="2134"/>
      <c r="P5" s="3489"/>
      <c r="Q5" s="3381"/>
      <c r="R5" s="3386"/>
      <c r="S5" s="3387"/>
      <c r="T5" s="3386"/>
      <c r="U5" s="3387"/>
      <c r="V5" s="3371"/>
      <c r="W5" s="3371"/>
      <c r="X5" s="1568"/>
      <c r="Y5" s="3386"/>
      <c r="Z5" s="3387"/>
      <c r="AA5" s="3374"/>
      <c r="AB5" s="3374"/>
      <c r="AC5" s="3374"/>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490"/>
      <c r="Q6" s="3383"/>
      <c r="R6" s="3386"/>
      <c r="S6" s="3387"/>
      <c r="T6" s="3388"/>
      <c r="U6" s="3389"/>
      <c r="V6" s="3371"/>
      <c r="W6" s="3371"/>
      <c r="X6" s="1568"/>
      <c r="Y6" s="3388"/>
      <c r="Z6" s="3389"/>
      <c r="AA6" s="3375"/>
      <c r="AB6" s="3375"/>
      <c r="AC6" s="3375"/>
    </row>
    <row r="7" spans="1:29" s="1220"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3"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3" t="s">
        <v>533</v>
      </c>
      <c r="Q8" s="3402"/>
      <c r="R8" s="1569" t="s">
        <v>8</v>
      </c>
      <c r="S8" s="1570">
        <f t="shared" si="0"/>
        <v>0</v>
      </c>
      <c r="T8" s="1569" t="s">
        <v>8</v>
      </c>
      <c r="U8" s="1570">
        <f t="shared" si="1"/>
        <v>0</v>
      </c>
      <c r="V8" s="1569" t="s">
        <v>8</v>
      </c>
      <c r="W8" s="1570">
        <f t="shared" si="2"/>
        <v>0</v>
      </c>
      <c r="X8" s="1571"/>
      <c r="Y8" s="3401" t="s">
        <v>533</v>
      </c>
      <c r="Z8" s="3402"/>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5"/>
      <c r="Q18" s="1573"/>
      <c r="R18" s="1574"/>
      <c r="S18" s="1575"/>
      <c r="T18" s="1574"/>
      <c r="U18" s="1575"/>
      <c r="V18" s="1574"/>
      <c r="W18" s="1575"/>
      <c r="X18" s="1568"/>
      <c r="Y18" s="3405"/>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5"/>
      <c r="Q20" s="1573"/>
      <c r="R20" s="1574"/>
      <c r="S20" s="1575"/>
      <c r="T20" s="1574"/>
      <c r="U20" s="1575"/>
      <c r="V20" s="1574"/>
      <c r="W20" s="1575"/>
      <c r="X20" s="1568"/>
      <c r="Y20" s="3405"/>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5"/>
      <c r="Q21" s="2579" t="str">
        <f>B21</f>
        <v>基础设施水平</v>
      </c>
      <c r="R21" s="1574" t="s">
        <v>8</v>
      </c>
      <c r="S21" s="1575">
        <f>F21</f>
        <v>100</v>
      </c>
      <c r="T21" s="1574" t="s">
        <v>8</v>
      </c>
      <c r="U21" s="1575">
        <f>H21</f>
        <v>100</v>
      </c>
      <c r="V21" s="1574" t="s">
        <v>8</v>
      </c>
      <c r="W21" s="1575">
        <f>J21</f>
        <v>100</v>
      </c>
      <c r="X21" s="2581"/>
      <c r="Y21" s="3405"/>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05"/>
      <c r="Q22" s="2579"/>
      <c r="R22" s="1574"/>
      <c r="S22" s="1575"/>
      <c r="T22" s="1574"/>
      <c r="U22" s="1575"/>
      <c r="V22" s="1574"/>
      <c r="W22" s="1575"/>
      <c r="X22" s="2581"/>
      <c r="Y22" s="3405"/>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368" t="str">
        <f>A48</f>
        <v>成交单价（元/平方米）</v>
      </c>
      <c r="Q48" s="3370"/>
      <c r="R48" s="3484">
        <f>E48</f>
        <v>0</v>
      </c>
      <c r="S48" s="3484"/>
      <c r="T48" s="3484">
        <f>G48</f>
        <v>0</v>
      </c>
      <c r="U48" s="3484"/>
      <c r="V48" s="3484">
        <f>I48</f>
        <v>0</v>
      </c>
      <c r="W48" s="3484"/>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368" t="str">
        <f>A49</f>
        <v>比较价格（元/平方米）</v>
      </c>
      <c r="Q49" s="337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87" t="str">
        <f>A50</f>
        <v>估价对象XX用房的比较价格（楼面单价，元/平方米）</v>
      </c>
      <c r="Q50" s="3368"/>
      <c r="R50" s="3483" t="e">
        <f>IF(F1="售价",ROUND(AVERAGE(R49:V49),0),ROUND(AVERAGE(R49:V49),1))</f>
        <v>#DIV/0!</v>
      </c>
      <c r="S50" s="3483"/>
      <c r="T50" s="3483"/>
      <c r="U50" s="3483"/>
      <c r="V50" s="3483"/>
      <c r="W50" s="34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76" t="s">
        <v>522</v>
      </c>
      <c r="D4" s="3377"/>
      <c r="E4" s="3411" t="s">
        <v>523</v>
      </c>
      <c r="F4" s="3412"/>
      <c r="G4" s="3376" t="s">
        <v>524</v>
      </c>
      <c r="H4" s="3377"/>
      <c r="I4" s="3376" t="s">
        <v>525</v>
      </c>
      <c r="J4" s="3377"/>
      <c r="K4" s="514" t="s">
        <v>526</v>
      </c>
      <c r="L4" s="2133"/>
      <c r="M4" s="2134"/>
      <c r="N4" s="2134"/>
      <c r="O4" s="2134"/>
      <c r="P4" s="3378" t="s">
        <v>527</v>
      </c>
      <c r="Q4" s="3379"/>
      <c r="R4" s="3384" t="s">
        <v>523</v>
      </c>
      <c r="S4" s="3385"/>
      <c r="T4" s="3384" t="s">
        <v>524</v>
      </c>
      <c r="U4" s="3385"/>
      <c r="V4" s="3371" t="s">
        <v>525</v>
      </c>
      <c r="W4" s="3371"/>
      <c r="X4" s="1568"/>
      <c r="Y4" s="3384" t="s">
        <v>527</v>
      </c>
      <c r="Z4" s="3385"/>
      <c r="AA4" s="3373" t="s">
        <v>523</v>
      </c>
      <c r="AB4" s="3374" t="s">
        <v>524</v>
      </c>
      <c r="AC4" s="3373" t="s">
        <v>525</v>
      </c>
    </row>
    <row r="5" spans="1:29" ht="15">
      <c r="A5" s="515"/>
      <c r="B5" s="516"/>
      <c r="C5" s="3408" t="s">
        <v>2928</v>
      </c>
      <c r="D5" s="3393"/>
      <c r="E5" s="3413" t="s">
        <v>2929</v>
      </c>
      <c r="F5" s="3414"/>
      <c r="G5" s="3408" t="s">
        <v>2930</v>
      </c>
      <c r="H5" s="3393"/>
      <c r="I5" s="3408" t="s">
        <v>2931</v>
      </c>
      <c r="J5" s="3393"/>
      <c r="K5" s="514"/>
      <c r="L5" s="2133"/>
      <c r="M5" s="2134"/>
      <c r="N5" s="2134"/>
      <c r="O5" s="2134"/>
      <c r="P5" s="3380"/>
      <c r="Q5" s="3381"/>
      <c r="R5" s="3386"/>
      <c r="S5" s="3387"/>
      <c r="T5" s="3386"/>
      <c r="U5" s="3387"/>
      <c r="V5" s="3371"/>
      <c r="W5" s="3371"/>
      <c r="X5" s="1568"/>
      <c r="Y5" s="3386"/>
      <c r="Z5" s="3387"/>
      <c r="AA5" s="3374"/>
      <c r="AB5" s="3374"/>
      <c r="AC5" s="3374"/>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2"/>
      <c r="Q6" s="3383"/>
      <c r="R6" s="3386"/>
      <c r="S6" s="3387"/>
      <c r="T6" s="3388"/>
      <c r="U6" s="3389"/>
      <c r="V6" s="3371"/>
      <c r="W6" s="3371"/>
      <c r="X6" s="1568"/>
      <c r="Y6" s="3388"/>
      <c r="Z6" s="3389"/>
      <c r="AA6" s="3375"/>
      <c r="AB6" s="3375"/>
      <c r="AC6" s="3375"/>
    </row>
    <row r="7" spans="1:29" s="1220"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1" t="s">
        <v>533</v>
      </c>
      <c r="Q8" s="3402"/>
      <c r="R8" s="1569" t="s">
        <v>8</v>
      </c>
      <c r="S8" s="1570">
        <f t="shared" si="0"/>
        <v>0</v>
      </c>
      <c r="T8" s="1569" t="s">
        <v>8</v>
      </c>
      <c r="U8" s="1570">
        <f t="shared" si="1"/>
        <v>0</v>
      </c>
      <c r="V8" s="1569" t="s">
        <v>8</v>
      </c>
      <c r="W8" s="1570">
        <f t="shared" si="2"/>
        <v>0</v>
      </c>
      <c r="X8" s="1571"/>
      <c r="Y8" s="3401" t="s">
        <v>533</v>
      </c>
      <c r="Z8" s="3402"/>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5"/>
      <c r="Q18" s="1573"/>
      <c r="R18" s="1574"/>
      <c r="S18" s="1575"/>
      <c r="T18" s="1574"/>
      <c r="U18" s="1575"/>
      <c r="V18" s="1574"/>
      <c r="W18" s="1575"/>
      <c r="X18" s="1568"/>
      <c r="Y18" s="3405"/>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5"/>
      <c r="Q20" s="1573"/>
      <c r="R20" s="1574"/>
      <c r="S20" s="1575"/>
      <c r="T20" s="1574"/>
      <c r="U20" s="1575"/>
      <c r="V20" s="1574"/>
      <c r="W20" s="1575"/>
      <c r="X20" s="1568"/>
      <c r="Y20" s="3405"/>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5"/>
      <c r="Q21" s="2579" t="str">
        <f>B21</f>
        <v>基础设施水平</v>
      </c>
      <c r="R21" s="1574" t="s">
        <v>8</v>
      </c>
      <c r="S21" s="1575">
        <f>F21</f>
        <v>100</v>
      </c>
      <c r="T21" s="1574" t="s">
        <v>8</v>
      </c>
      <c r="U21" s="1575">
        <f>H21</f>
        <v>100</v>
      </c>
      <c r="V21" s="1574" t="s">
        <v>8</v>
      </c>
      <c r="W21" s="1575">
        <f>J21</f>
        <v>100</v>
      </c>
      <c r="X21" s="2581"/>
      <c r="Y21" s="3405"/>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05"/>
      <c r="Q22" s="2579"/>
      <c r="R22" s="1574"/>
      <c r="S22" s="1575"/>
      <c r="T22" s="1574"/>
      <c r="U22" s="1575"/>
      <c r="V22" s="1574"/>
      <c r="W22" s="1575"/>
      <c r="X22" s="2581"/>
      <c r="Y22" s="3405"/>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70" t="str">
        <f>A41</f>
        <v>成交单价（元/平方米）</v>
      </c>
      <c r="Q41" s="3370"/>
      <c r="R41" s="3484">
        <f>E41</f>
        <v>0</v>
      </c>
      <c r="S41" s="3484"/>
      <c r="T41" s="3484">
        <f>G41</f>
        <v>0</v>
      </c>
      <c r="U41" s="3484"/>
      <c r="V41" s="3484">
        <f>I41</f>
        <v>0</v>
      </c>
      <c r="W41" s="3484"/>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70" t="str">
        <f>A42</f>
        <v>比较价格（元/平方米）</v>
      </c>
      <c r="Q42" s="337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367" t="str">
        <f>A43</f>
        <v>估价对象XX用房的比较价格（楼面单价，元/平方米）</v>
      </c>
      <c r="Q43" s="3368"/>
      <c r="R43" s="3483" t="e">
        <f>IF(F1="售价",ROUND(AVERAGE(R42:V42),0),ROUND(AVERAGE(R42:V42),1))</f>
        <v>#DIV/0!</v>
      </c>
      <c r="S43" s="3483"/>
      <c r="T43" s="3483"/>
      <c r="U43" s="3483"/>
      <c r="V43" s="3483"/>
      <c r="W43" s="34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6" t="s">
        <v>798</v>
      </c>
      <c r="D4" s="3377"/>
      <c r="E4" s="3376" t="s">
        <v>799</v>
      </c>
      <c r="F4" s="3377"/>
      <c r="G4" s="3376" t="s">
        <v>800</v>
      </c>
      <c r="H4" s="3377"/>
      <c r="I4" s="3376" t="s">
        <v>801</v>
      </c>
      <c r="J4" s="3377"/>
      <c r="K4" s="514" t="s">
        <v>802</v>
      </c>
      <c r="L4" s="2133"/>
      <c r="M4" s="2134"/>
      <c r="N4" s="2134"/>
      <c r="O4" s="2134"/>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408" t="s">
        <v>2928</v>
      </c>
      <c r="D5" s="3393"/>
      <c r="E5" s="3408" t="s">
        <v>2929</v>
      </c>
      <c r="F5" s="3393"/>
      <c r="G5" s="3408" t="s">
        <v>2930</v>
      </c>
      <c r="H5" s="3393"/>
      <c r="I5" s="3408" t="s">
        <v>2931</v>
      </c>
      <c r="J5" s="3393"/>
      <c r="K5" s="514"/>
      <c r="L5" s="2133"/>
      <c r="M5" s="2134"/>
      <c r="N5" s="2134"/>
      <c r="O5" s="2134"/>
      <c r="P5" s="3380"/>
      <c r="Q5" s="3381"/>
      <c r="R5" s="3386"/>
      <c r="S5" s="3387"/>
      <c r="T5" s="3386"/>
      <c r="U5" s="3387"/>
      <c r="V5" s="3371"/>
      <c r="W5" s="3371"/>
      <c r="X5" s="1568"/>
      <c r="Y5" s="3386"/>
      <c r="Z5" s="3387"/>
      <c r="AA5" s="3374"/>
      <c r="AB5" s="3374"/>
      <c r="AC5" s="3374"/>
    </row>
    <row r="6" spans="1:29" ht="15.75" thickBot="1">
      <c r="A6" s="517"/>
      <c r="B6" s="518"/>
      <c r="C6" s="3390" t="s">
        <v>2932</v>
      </c>
      <c r="D6" s="3391"/>
      <c r="E6" s="3394" t="s">
        <v>2932</v>
      </c>
      <c r="F6" s="3395"/>
      <c r="G6" s="3390" t="s">
        <v>2932</v>
      </c>
      <c r="H6" s="3391"/>
      <c r="I6" s="3390" t="s">
        <v>2932</v>
      </c>
      <c r="J6" s="3391"/>
      <c r="K6" s="514" t="s">
        <v>528</v>
      </c>
      <c r="L6" s="2133"/>
      <c r="M6" s="2134"/>
      <c r="N6" s="2134"/>
      <c r="O6" s="2134"/>
      <c r="P6" s="3382"/>
      <c r="Q6" s="3383"/>
      <c r="R6" s="3386"/>
      <c r="S6" s="3387"/>
      <c r="T6" s="3388"/>
      <c r="U6" s="3389"/>
      <c r="V6" s="3371"/>
      <c r="W6" s="3371"/>
      <c r="X6" s="1568"/>
      <c r="Y6" s="3388"/>
      <c r="Z6" s="3389"/>
      <c r="AA6" s="3375"/>
      <c r="AB6" s="3375"/>
      <c r="AC6" s="3375"/>
    </row>
    <row r="7" spans="1:29" s="1220"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1" t="s">
        <v>533</v>
      </c>
      <c r="Q8" s="3402"/>
      <c r="R8" s="1569" t="s">
        <v>8</v>
      </c>
      <c r="S8" s="1570">
        <f t="shared" si="0"/>
        <v>0</v>
      </c>
      <c r="T8" s="1569" t="s">
        <v>8</v>
      </c>
      <c r="U8" s="1570">
        <f t="shared" si="1"/>
        <v>0</v>
      </c>
      <c r="V8" s="1569" t="s">
        <v>8</v>
      </c>
      <c r="W8" s="1570">
        <f t="shared" si="2"/>
        <v>0</v>
      </c>
      <c r="X8" s="1571"/>
      <c r="Y8" s="3401" t="s">
        <v>533</v>
      </c>
      <c r="Z8" s="3402"/>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5"/>
      <c r="Q15" s="1573"/>
      <c r="R15" s="1574"/>
      <c r="S15" s="1575"/>
      <c r="T15" s="1574"/>
      <c r="U15" s="1575"/>
      <c r="V15" s="1574"/>
      <c r="W15" s="1575"/>
      <c r="X15" s="1568"/>
      <c r="Y15" s="3405"/>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5"/>
      <c r="Q17" s="1573"/>
      <c r="R17" s="1574"/>
      <c r="S17" s="1575"/>
      <c r="T17" s="1574"/>
      <c r="U17" s="1575"/>
      <c r="V17" s="1574"/>
      <c r="W17" s="1575"/>
      <c r="X17" s="1568"/>
      <c r="Y17" s="3405"/>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5"/>
      <c r="Q18" s="2579" t="str">
        <f>B18</f>
        <v>基础设施水平</v>
      </c>
      <c r="R18" s="1574" t="s">
        <v>8</v>
      </c>
      <c r="S18" s="1575">
        <f>F18</f>
        <v>100</v>
      </c>
      <c r="T18" s="1574" t="s">
        <v>8</v>
      </c>
      <c r="U18" s="1575">
        <f>H18</f>
        <v>100</v>
      </c>
      <c r="V18" s="1574" t="s">
        <v>8</v>
      </c>
      <c r="W18" s="1575">
        <f>J18</f>
        <v>100</v>
      </c>
      <c r="X18" s="2581"/>
      <c r="Y18" s="3405"/>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05"/>
      <c r="Q19" s="2579"/>
      <c r="R19" s="1574"/>
      <c r="S19" s="1575"/>
      <c r="T19" s="1574"/>
      <c r="U19" s="1575"/>
      <c r="V19" s="1574"/>
      <c r="W19" s="1575"/>
      <c r="X19" s="2581"/>
      <c r="Y19" s="3405"/>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70" t="str">
        <f>A37</f>
        <v>成交单价</v>
      </c>
      <c r="Q37" s="3370"/>
      <c r="R37" s="3484">
        <f>E37</f>
        <v>0</v>
      </c>
      <c r="S37" s="3484"/>
      <c r="T37" s="3484">
        <f>G37</f>
        <v>0</v>
      </c>
      <c r="U37" s="3484"/>
      <c r="V37" s="3484">
        <f>I37</f>
        <v>0</v>
      </c>
      <c r="W37" s="3484"/>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70" t="str">
        <f>A38</f>
        <v>比较价格（元/平方米）</v>
      </c>
      <c r="Q38" s="337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367" t="str">
        <f>A39</f>
        <v>估价对象XX用房的比较价格（楼面单价，元/平方米）</v>
      </c>
      <c r="Q39" s="3368"/>
      <c r="R39" s="3483" t="e">
        <f>IF(F1="售价",ROUND(AVERAGE(R38:V38),0),ROUND(AVERAGE(R38:V38),1))</f>
        <v>#DIV/0!</v>
      </c>
      <c r="S39" s="3483"/>
      <c r="T39" s="3483"/>
      <c r="U39" s="3483"/>
      <c r="V39" s="3483"/>
      <c r="W39" s="34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6" t="s">
        <v>798</v>
      </c>
      <c r="D4" s="3377"/>
      <c r="E4" s="3411" t="s">
        <v>799</v>
      </c>
      <c r="F4" s="3412"/>
      <c r="G4" s="3376" t="s">
        <v>800</v>
      </c>
      <c r="H4" s="3377"/>
      <c r="I4" s="3376" t="s">
        <v>801</v>
      </c>
      <c r="J4" s="3377"/>
      <c r="K4" s="514" t="s">
        <v>802</v>
      </c>
      <c r="L4" s="2133"/>
      <c r="M4" s="2134"/>
      <c r="N4" s="2134"/>
      <c r="O4" s="2134"/>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408" t="s">
        <v>2928</v>
      </c>
      <c r="D5" s="3393"/>
      <c r="E5" s="3413" t="s">
        <v>2929</v>
      </c>
      <c r="F5" s="3414"/>
      <c r="G5" s="3408" t="s">
        <v>2930</v>
      </c>
      <c r="H5" s="3393"/>
      <c r="I5" s="3408" t="s">
        <v>2931</v>
      </c>
      <c r="J5" s="3393"/>
      <c r="K5" s="514"/>
      <c r="L5" s="2133"/>
      <c r="M5" s="2134"/>
      <c r="N5" s="2134"/>
      <c r="O5" s="2134"/>
      <c r="P5" s="3380"/>
      <c r="Q5" s="3381"/>
      <c r="R5" s="3386"/>
      <c r="S5" s="3387"/>
      <c r="T5" s="3386"/>
      <c r="U5" s="3387"/>
      <c r="V5" s="3371"/>
      <c r="W5" s="3371"/>
      <c r="X5" s="1568"/>
      <c r="Y5" s="3386"/>
      <c r="Z5" s="3387"/>
      <c r="AA5" s="3374"/>
      <c r="AB5" s="3374"/>
      <c r="AC5" s="3374"/>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2"/>
      <c r="Q6" s="3383"/>
      <c r="R6" s="3386"/>
      <c r="S6" s="3387"/>
      <c r="T6" s="3388"/>
      <c r="U6" s="3389"/>
      <c r="V6" s="3371"/>
      <c r="W6" s="3371"/>
      <c r="X6" s="1568"/>
      <c r="Y6" s="3388"/>
      <c r="Z6" s="3389"/>
      <c r="AA6" s="3375"/>
      <c r="AB6" s="3375"/>
      <c r="AC6" s="3375"/>
    </row>
    <row r="7" spans="1:29" s="1220"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1" t="s">
        <v>533</v>
      </c>
      <c r="Q8" s="3402"/>
      <c r="R8" s="1569" t="s">
        <v>8</v>
      </c>
      <c r="S8" s="1570">
        <f t="shared" si="0"/>
        <v>0</v>
      </c>
      <c r="T8" s="1569" t="s">
        <v>8</v>
      </c>
      <c r="U8" s="1570">
        <f t="shared" si="1"/>
        <v>0</v>
      </c>
      <c r="V8" s="1569" t="s">
        <v>8</v>
      </c>
      <c r="W8" s="1570">
        <f t="shared" si="2"/>
        <v>0</v>
      </c>
      <c r="X8" s="1571"/>
      <c r="Y8" s="3401" t="s">
        <v>533</v>
      </c>
      <c r="Z8" s="3402"/>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5"/>
      <c r="Q15" s="1573"/>
      <c r="R15" s="1574"/>
      <c r="S15" s="1575"/>
      <c r="T15" s="1574"/>
      <c r="U15" s="1575"/>
      <c r="V15" s="1574"/>
      <c r="W15" s="1575"/>
      <c r="X15" s="1568"/>
      <c r="Y15" s="3405"/>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5"/>
      <c r="Q17" s="1573"/>
      <c r="R17" s="1574"/>
      <c r="S17" s="1575"/>
      <c r="T17" s="1574"/>
      <c r="U17" s="1575"/>
      <c r="V17" s="1574"/>
      <c r="W17" s="1575"/>
      <c r="X17" s="1568"/>
      <c r="Y17" s="3405"/>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5"/>
      <c r="Q18" s="2579" t="str">
        <f>B18</f>
        <v>基础设施水平</v>
      </c>
      <c r="R18" s="1574" t="s">
        <v>8</v>
      </c>
      <c r="S18" s="1575">
        <f>F18</f>
        <v>100</v>
      </c>
      <c r="T18" s="1574" t="s">
        <v>8</v>
      </c>
      <c r="U18" s="1575">
        <f>H18</f>
        <v>100</v>
      </c>
      <c r="V18" s="1574" t="s">
        <v>8</v>
      </c>
      <c r="W18" s="1575">
        <f>J18</f>
        <v>100</v>
      </c>
      <c r="X18" s="2581"/>
      <c r="Y18" s="3405"/>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05"/>
      <c r="Q19" s="2579"/>
      <c r="R19" s="1574"/>
      <c r="S19" s="1575"/>
      <c r="T19" s="1574"/>
      <c r="U19" s="1575"/>
      <c r="V19" s="1574"/>
      <c r="W19" s="1575"/>
      <c r="X19" s="2581"/>
      <c r="Y19" s="3405"/>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70" t="str">
        <f>A35</f>
        <v>成交单价（元/平方米）</v>
      </c>
      <c r="Q35" s="3370"/>
      <c r="R35" s="3484">
        <f>E35</f>
        <v>0</v>
      </c>
      <c r="S35" s="3484"/>
      <c r="T35" s="3484">
        <f>G35</f>
        <v>0</v>
      </c>
      <c r="U35" s="3484"/>
      <c r="V35" s="3484">
        <f>I35</f>
        <v>0</v>
      </c>
      <c r="W35" s="3484"/>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70" t="str">
        <f>A36</f>
        <v>比较价格（元/平方米）</v>
      </c>
      <c r="Q36" s="337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367" t="str">
        <f>A37</f>
        <v>估价对象XX用房的比较价格（楼面单价，元/平方米）</v>
      </c>
      <c r="Q37" s="3368"/>
      <c r="R37" s="3483" t="e">
        <f>IF(F1="售价",ROUND(AVERAGE(R36:V36),0),ROUND(AVERAGE(R36:V36),1))</f>
        <v>#DIV/0!</v>
      </c>
      <c r="S37" s="3483"/>
      <c r="T37" s="3483"/>
      <c r="U37" s="3483"/>
      <c r="V37" s="3483"/>
      <c r="W37" s="34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G1" zoomScale="90" zoomScaleNormal="90" workbookViewId="0">
      <pane ySplit="24" topLeftCell="A49" activePane="bottomLeft" state="frozen"/>
      <selection activeCell="C89" sqref="C89:G96"/>
      <selection pane="bottomLeft" activeCell="B24" sqref="B24"/>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4" t="s">
        <v>2306</v>
      </c>
      <c r="D1" s="3495"/>
      <c r="E1" s="3495"/>
      <c r="F1" s="3495"/>
      <c r="G1" s="3495"/>
      <c r="H1" s="3495"/>
      <c r="I1" s="3495"/>
      <c r="J1" s="3495"/>
      <c r="K1" s="3495"/>
      <c r="L1" s="3495"/>
      <c r="M1" s="3495"/>
      <c r="N1" s="3495"/>
      <c r="O1" s="3495"/>
      <c r="P1" s="3495"/>
      <c r="Q1" s="3495"/>
      <c r="R1" s="3495"/>
      <c r="S1" s="3496"/>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6" t="s">
        <v>3142</v>
      </c>
      <c r="C5" s="3184" t="s">
        <v>3137</v>
      </c>
      <c r="D5" s="3185" t="s">
        <v>3138</v>
      </c>
      <c r="E5" s="3185" t="s">
        <v>3140</v>
      </c>
      <c r="F5" s="3185" t="s">
        <v>3141</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7" t="s">
        <v>3146</v>
      </c>
      <c r="C7" s="3188" t="s">
        <v>3143</v>
      </c>
      <c r="D7" s="3189" t="s">
        <v>3144</v>
      </c>
      <c r="E7" s="3189" t="s">
        <v>3139</v>
      </c>
      <c r="F7" s="3189" t="s">
        <v>3145</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7" t="s">
        <v>3147</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6" t="s">
        <v>3148</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6" t="s">
        <v>3149</v>
      </c>
      <c r="C13" s="954" t="s">
        <v>3150</v>
      </c>
      <c r="D13" s="955" t="s">
        <v>3183</v>
      </c>
      <c r="E13" s="955" t="s">
        <v>3186</v>
      </c>
      <c r="F13" s="955" t="s">
        <v>3187</v>
      </c>
      <c r="G13" s="955" t="s">
        <v>3184</v>
      </c>
      <c r="H13" s="955" t="s">
        <v>3185</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6" t="s">
        <v>3189</v>
      </c>
      <c r="C15" s="2252">
        <f>'数据-取费表'!F6</f>
        <v>68.540000000000006</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32912</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977</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336981.69000000006</v>
      </c>
      <c r="C22" s="3491" t="s">
        <v>20</v>
      </c>
      <c r="D22" s="3492"/>
      <c r="E22" s="3492"/>
      <c r="F22" s="3492"/>
      <c r="G22" s="3492"/>
      <c r="H22" s="3492"/>
      <c r="I22" s="3492"/>
      <c r="J22" s="3492"/>
      <c r="K22" s="3492"/>
      <c r="L22" s="3492"/>
      <c r="M22" s="3492"/>
      <c r="N22" s="3492"/>
      <c r="O22" s="3492"/>
      <c r="P22" s="3492"/>
      <c r="Q22" s="3493"/>
      <c r="R22" s="490">
        <f ca="1">ROUND(S22*10000/B22,0)</f>
        <v>977</v>
      </c>
      <c r="S22" s="53">
        <f ca="1">SUM(S24:S10000)</f>
        <v>32912</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49638.62</v>
      </c>
      <c r="B24" s="3201">
        <v>148915.85999999999</v>
      </c>
      <c r="C24" s="962">
        <v>1</v>
      </c>
      <c r="D24" s="963" t="s">
        <v>3125</v>
      </c>
      <c r="E24" s="962">
        <v>1</v>
      </c>
      <c r="F24" s="963" t="s">
        <v>2998</v>
      </c>
      <c r="G24" s="962">
        <v>1</v>
      </c>
      <c r="H24" s="963" t="s">
        <v>2998</v>
      </c>
      <c r="I24" s="962">
        <v>1</v>
      </c>
      <c r="J24" s="963" t="s">
        <v>2998</v>
      </c>
      <c r="K24" s="962">
        <v>1</v>
      </c>
      <c r="L24" s="963" t="s">
        <v>3188</v>
      </c>
      <c r="M24" s="962">
        <v>1</v>
      </c>
      <c r="N24" s="963"/>
      <c r="O24" s="962">
        <v>1</v>
      </c>
      <c r="P24" s="963"/>
      <c r="Q24" s="962">
        <v>1</v>
      </c>
      <c r="R24" s="964">
        <f ca="1">结果表!G20</f>
        <v>978</v>
      </c>
      <c r="S24" s="962">
        <f t="shared" ref="S24:S54" ca="1" si="11">ROUND(R24*B24/10000,0)</f>
        <v>14564</v>
      </c>
      <c r="T24" s="1973"/>
      <c r="U24" s="1973"/>
      <c r="V24" s="1973"/>
      <c r="W24" s="1973"/>
      <c r="X24" s="1973"/>
      <c r="Y24" s="1973"/>
      <c r="Z24" s="1973"/>
      <c r="AA24" s="1973"/>
      <c r="AB24" s="1973"/>
      <c r="AC24" s="1973"/>
      <c r="AD24" s="1973"/>
      <c r="AE24" s="1973"/>
      <c r="AF24" s="1973"/>
      <c r="AG24" s="1973"/>
      <c r="AH24" s="1973"/>
      <c r="AI24" s="1973"/>
    </row>
    <row r="25" spans="1:45">
      <c r="A25" s="965">
        <v>7505.2</v>
      </c>
      <c r="B25" s="137">
        <v>22500</v>
      </c>
      <c r="C25" s="53">
        <f>IF(B25="",1,(LOOKUP(B25,$3:$3,$4:$4)-LOOKUP($B$24,$3:$3,$4:$4)+100)/100)</f>
        <v>1</v>
      </c>
      <c r="D25" s="963" t="s">
        <v>3125</v>
      </c>
      <c r="E25" s="53">
        <f>(SUMIF($5:$5,D25,$6:$6)-SUMIF($5:$5,$D$24,$6:$6)+100)/100</f>
        <v>1</v>
      </c>
      <c r="F25" s="963" t="s">
        <v>2998</v>
      </c>
      <c r="G25" s="53">
        <f>(SUMIF($7:$7,F25,$8:$8)-SUMIF($7:$7,$F$24,$8:$8)+100)/100</f>
        <v>1</v>
      </c>
      <c r="H25" s="963" t="s">
        <v>2998</v>
      </c>
      <c r="I25" s="53">
        <f>(SUMIF($9:$9,H25,$10:$10)-SUMIF($9:$9,$H$24,$10:$10)+100)/100</f>
        <v>1</v>
      </c>
      <c r="J25" s="963" t="s">
        <v>2998</v>
      </c>
      <c r="K25" s="53">
        <f>(SUMIF($11:$11,J25,$12:$12)-SUMIF($11:$11,$J$24,$12:$12)+100)/100</f>
        <v>1</v>
      </c>
      <c r="L25" s="963" t="s">
        <v>3151</v>
      </c>
      <c r="M25" s="53">
        <f>(SUMIF($13:$13,L25,$14:$14)-SUMIF($13:$13,$L$24,$14:$14)+100)/100</f>
        <v>0.98</v>
      </c>
      <c r="N25" s="963"/>
      <c r="O25" s="53">
        <f>(SUMIF($15:$15,N25,$16:$16)-SUMIF($15:$15,$N$24,$16:$16)+100)/100</f>
        <v>1</v>
      </c>
      <c r="P25" s="963"/>
      <c r="Q25" s="53">
        <f>(SUMIF($17:$17,P25,$18:$18)-SUMIF($17:$17,$P$24,$18:$18)+100)/100</f>
        <v>1</v>
      </c>
      <c r="R25" s="490">
        <f ca="1">IF(B25="",0,ROUND($R$24*C25*E25*G25*I25*K25*M25*O25*Q25,0))</f>
        <v>958</v>
      </c>
      <c r="S25" s="799">
        <f t="shared" ca="1" si="11"/>
        <v>2156</v>
      </c>
    </row>
    <row r="26" spans="1:45">
      <c r="A26" s="965">
        <v>55188.61</v>
      </c>
      <c r="B26" s="137">
        <v>165565.83000000005</v>
      </c>
      <c r="C26" s="53">
        <f t="shared" ref="C26:C89" si="12">IF(B26="",1,(LOOKUP(B26,$3:$3,$4:$4)-LOOKUP($B$24,$3:$3,$4:$4)+100)/100)</f>
        <v>1</v>
      </c>
      <c r="D26" s="963" t="s">
        <v>3125</v>
      </c>
      <c r="E26" s="53">
        <f t="shared" ref="E26:E89" si="13">(SUMIF($5:$5,D26,$6:$6)-SUMIF($5:$5,$D$24,$6:$6)+100)/100</f>
        <v>1</v>
      </c>
      <c r="F26" s="963" t="s">
        <v>2998</v>
      </c>
      <c r="G26" s="53">
        <f t="shared" ref="G26:G89" si="14">(SUMIF($7:$7,F26,$8:$8)-SUMIF($7:$7,$F$24,$8:$8)+100)/100</f>
        <v>1</v>
      </c>
      <c r="H26" s="963" t="s">
        <v>2998</v>
      </c>
      <c r="I26" s="53">
        <f t="shared" ref="I26:I89" si="15">(SUMIF($9:$9,H26,$10:$10)-SUMIF($9:$9,$H$24,$10:$10)+100)/100</f>
        <v>1</v>
      </c>
      <c r="J26" s="963" t="s">
        <v>2998</v>
      </c>
      <c r="K26" s="53">
        <f t="shared" ref="K26:K89" si="16">(SUMIF($11:$11,J26,$12:$12)-SUMIF($11:$11,$J$24,$12:$12)+100)/100</f>
        <v>1</v>
      </c>
      <c r="L26" s="963" t="s">
        <v>3188</v>
      </c>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978</v>
      </c>
      <c r="S26" s="799">
        <f t="shared" ca="1" si="11"/>
        <v>16192</v>
      </c>
    </row>
    <row r="27" spans="1:45">
      <c r="A27" s="965"/>
      <c r="B27" s="137"/>
      <c r="C27" s="53">
        <f t="shared" si="12"/>
        <v>1</v>
      </c>
      <c r="D27" s="963" t="s">
        <v>3128</v>
      </c>
      <c r="E27" s="53">
        <f t="shared" si="13"/>
        <v>0.9</v>
      </c>
      <c r="F27" s="963" t="s">
        <v>2998</v>
      </c>
      <c r="G27" s="53">
        <f t="shared" si="14"/>
        <v>1</v>
      </c>
      <c r="H27" s="963" t="s">
        <v>2998</v>
      </c>
      <c r="I27" s="53">
        <f t="shared" si="15"/>
        <v>1</v>
      </c>
      <c r="J27" s="963" t="s">
        <v>2998</v>
      </c>
      <c r="K27" s="53">
        <f t="shared" si="16"/>
        <v>1</v>
      </c>
      <c r="L27" s="963" t="s">
        <v>3151</v>
      </c>
      <c r="M27" s="53">
        <f t="shared" si="17"/>
        <v>0.98</v>
      </c>
      <c r="N27" s="963"/>
      <c r="O27" s="53">
        <f t="shared" si="18"/>
        <v>1</v>
      </c>
      <c r="P27" s="963"/>
      <c r="Q27" s="53">
        <f t="shared" si="19"/>
        <v>1</v>
      </c>
      <c r="R27" s="490">
        <f t="shared" si="20"/>
        <v>0</v>
      </c>
      <c r="S27" s="799">
        <f t="shared" si="11"/>
        <v>0</v>
      </c>
      <c r="U27" s="257" t="s">
        <v>3152</v>
      </c>
    </row>
    <row r="28" spans="1:45">
      <c r="A28" s="965"/>
      <c r="B28" s="137"/>
      <c r="C28" s="53">
        <f t="shared" si="12"/>
        <v>1</v>
      </c>
      <c r="D28" s="963" t="s">
        <v>3125</v>
      </c>
      <c r="E28" s="53">
        <f t="shared" si="13"/>
        <v>1</v>
      </c>
      <c r="F28" s="963" t="s">
        <v>2998</v>
      </c>
      <c r="G28" s="53">
        <f t="shared" si="14"/>
        <v>1</v>
      </c>
      <c r="H28" s="963" t="s">
        <v>2998</v>
      </c>
      <c r="I28" s="53">
        <f t="shared" si="15"/>
        <v>1</v>
      </c>
      <c r="J28" s="963" t="s">
        <v>2998</v>
      </c>
      <c r="K28" s="53">
        <f t="shared" si="16"/>
        <v>1</v>
      </c>
      <c r="L28" s="963" t="s">
        <v>3188</v>
      </c>
      <c r="M28" s="53">
        <f t="shared" si="17"/>
        <v>1</v>
      </c>
      <c r="N28" s="963"/>
      <c r="O28" s="53">
        <f t="shared" si="18"/>
        <v>1</v>
      </c>
      <c r="P28" s="963"/>
      <c r="Q28" s="53">
        <f t="shared" si="19"/>
        <v>1</v>
      </c>
      <c r="R28" s="490">
        <f t="shared" si="20"/>
        <v>0</v>
      </c>
      <c r="S28" s="799">
        <f t="shared" si="11"/>
        <v>0</v>
      </c>
    </row>
    <row r="29" spans="1:45">
      <c r="A29" s="965"/>
      <c r="B29" s="137"/>
      <c r="C29" s="53">
        <f t="shared" si="12"/>
        <v>1</v>
      </c>
      <c r="D29" s="963" t="s">
        <v>3125</v>
      </c>
      <c r="E29" s="53">
        <f t="shared" si="13"/>
        <v>1</v>
      </c>
      <c r="F29" s="963" t="s">
        <v>2999</v>
      </c>
      <c r="G29" s="53">
        <f t="shared" si="14"/>
        <v>0.97</v>
      </c>
      <c r="H29" s="963" t="s">
        <v>2999</v>
      </c>
      <c r="I29" s="53">
        <f t="shared" si="15"/>
        <v>0.97</v>
      </c>
      <c r="J29" s="963" t="s">
        <v>2999</v>
      </c>
      <c r="K29" s="53">
        <f t="shared" si="16"/>
        <v>0.97</v>
      </c>
      <c r="L29" s="963" t="s">
        <v>3188</v>
      </c>
      <c r="M29" s="53">
        <f t="shared" si="17"/>
        <v>1</v>
      </c>
      <c r="N29" s="963"/>
      <c r="O29" s="53">
        <f t="shared" si="18"/>
        <v>1</v>
      </c>
      <c r="P29" s="963"/>
      <c r="Q29" s="53">
        <f t="shared" si="19"/>
        <v>1</v>
      </c>
      <c r="R29" s="490">
        <f t="shared" si="20"/>
        <v>0</v>
      </c>
      <c r="S29" s="799">
        <f t="shared" si="11"/>
        <v>0</v>
      </c>
    </row>
    <row r="30" spans="1:45">
      <c r="A30" s="965"/>
      <c r="B30" s="137"/>
      <c r="C30" s="53">
        <f t="shared" si="12"/>
        <v>1</v>
      </c>
      <c r="D30" s="963" t="s">
        <v>3125</v>
      </c>
      <c r="E30" s="53">
        <f t="shared" si="13"/>
        <v>1</v>
      </c>
      <c r="F30" s="963" t="s">
        <v>2999</v>
      </c>
      <c r="G30" s="53">
        <f t="shared" si="14"/>
        <v>0.97</v>
      </c>
      <c r="H30" s="963" t="s">
        <v>2999</v>
      </c>
      <c r="I30" s="53">
        <f t="shared" si="15"/>
        <v>0.97</v>
      </c>
      <c r="J30" s="963" t="s">
        <v>2999</v>
      </c>
      <c r="K30" s="53">
        <f t="shared" si="16"/>
        <v>0.97</v>
      </c>
      <c r="L30" s="963" t="s">
        <v>3188</v>
      </c>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0.1</v>
      </c>
      <c r="F31" s="963"/>
      <c r="G31" s="53">
        <f t="shared" si="14"/>
        <v>0.03</v>
      </c>
      <c r="H31" s="963"/>
      <c r="I31" s="53">
        <f t="shared" si="15"/>
        <v>0.03</v>
      </c>
      <c r="J31" s="963"/>
      <c r="K31" s="53">
        <f t="shared" si="16"/>
        <v>0.03</v>
      </c>
      <c r="L31" s="963"/>
      <c r="M31" s="53">
        <f t="shared" si="17"/>
        <v>0.03</v>
      </c>
      <c r="N31" s="963"/>
      <c r="O31" s="53">
        <f t="shared" si="18"/>
        <v>1</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0.03</v>
      </c>
      <c r="L32" s="963"/>
      <c r="M32" s="53">
        <f t="shared" si="17"/>
        <v>0.03</v>
      </c>
      <c r="N32" s="963"/>
      <c r="O32" s="53">
        <f t="shared" si="18"/>
        <v>1</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0.03</v>
      </c>
      <c r="L33" s="963"/>
      <c r="M33" s="53">
        <f t="shared" si="17"/>
        <v>0.03</v>
      </c>
      <c r="N33" s="963"/>
      <c r="O33" s="53">
        <f t="shared" si="18"/>
        <v>1</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0.03</v>
      </c>
      <c r="L34" s="963"/>
      <c r="M34" s="53">
        <f t="shared" si="17"/>
        <v>0.03</v>
      </c>
      <c r="N34" s="963"/>
      <c r="O34" s="53">
        <f t="shared" si="18"/>
        <v>1</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0.03</v>
      </c>
      <c r="L35" s="963"/>
      <c r="M35" s="53">
        <f t="shared" si="17"/>
        <v>0.03</v>
      </c>
      <c r="N35" s="963"/>
      <c r="O35" s="53">
        <f t="shared" si="18"/>
        <v>1</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0.03</v>
      </c>
      <c r="L36" s="963"/>
      <c r="M36" s="53">
        <f t="shared" si="17"/>
        <v>0.03</v>
      </c>
      <c r="N36" s="963"/>
      <c r="O36" s="53">
        <f t="shared" si="18"/>
        <v>1</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0.03</v>
      </c>
      <c r="L37" s="963"/>
      <c r="M37" s="53">
        <f t="shared" si="17"/>
        <v>0.03</v>
      </c>
      <c r="N37" s="963"/>
      <c r="O37" s="53">
        <f t="shared" si="18"/>
        <v>1</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0.03</v>
      </c>
      <c r="L38" s="963"/>
      <c r="M38" s="53">
        <f t="shared" si="17"/>
        <v>0.03</v>
      </c>
      <c r="N38" s="963"/>
      <c r="O38" s="53">
        <f t="shared" si="18"/>
        <v>1</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0.03</v>
      </c>
      <c r="L39" s="963"/>
      <c r="M39" s="53">
        <f t="shared" si="17"/>
        <v>0.03</v>
      </c>
      <c r="N39" s="963"/>
      <c r="O39" s="53">
        <f t="shared" si="18"/>
        <v>1</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0.03</v>
      </c>
      <c r="L40" s="963"/>
      <c r="M40" s="53">
        <f t="shared" si="17"/>
        <v>0.03</v>
      </c>
      <c r="N40" s="963"/>
      <c r="O40" s="53">
        <f t="shared" si="18"/>
        <v>1</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0.03</v>
      </c>
      <c r="L41" s="963"/>
      <c r="M41" s="53">
        <f t="shared" si="17"/>
        <v>0.03</v>
      </c>
      <c r="N41" s="963"/>
      <c r="O41" s="53">
        <f t="shared" si="18"/>
        <v>1</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0.03</v>
      </c>
      <c r="L42" s="963"/>
      <c r="M42" s="53">
        <f t="shared" si="17"/>
        <v>0.03</v>
      </c>
      <c r="N42" s="963"/>
      <c r="O42" s="53">
        <f t="shared" si="18"/>
        <v>1</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0.03</v>
      </c>
      <c r="L43" s="963"/>
      <c r="M43" s="53">
        <f t="shared" si="17"/>
        <v>0.03</v>
      </c>
      <c r="N43" s="963"/>
      <c r="O43" s="53">
        <f t="shared" si="18"/>
        <v>1</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0.03</v>
      </c>
      <c r="L44" s="963"/>
      <c r="M44" s="53">
        <f t="shared" si="17"/>
        <v>0.03</v>
      </c>
      <c r="N44" s="963"/>
      <c r="O44" s="53">
        <f t="shared" si="18"/>
        <v>1</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0.03</v>
      </c>
      <c r="L45" s="963"/>
      <c r="M45" s="53">
        <f t="shared" si="17"/>
        <v>0.03</v>
      </c>
      <c r="N45" s="963"/>
      <c r="O45" s="53">
        <f t="shared" si="18"/>
        <v>1</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0.03</v>
      </c>
      <c r="L46" s="963"/>
      <c r="M46" s="53">
        <f t="shared" si="17"/>
        <v>0.03</v>
      </c>
      <c r="N46" s="963"/>
      <c r="O46" s="53">
        <f t="shared" si="18"/>
        <v>1</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0.03</v>
      </c>
      <c r="L47" s="963"/>
      <c r="M47" s="53">
        <f t="shared" si="17"/>
        <v>0.03</v>
      </c>
      <c r="N47" s="963"/>
      <c r="O47" s="53">
        <f t="shared" si="18"/>
        <v>1</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0.03</v>
      </c>
      <c r="L48" s="963"/>
      <c r="M48" s="53">
        <f t="shared" si="17"/>
        <v>0.03</v>
      </c>
      <c r="N48" s="963"/>
      <c r="O48" s="53">
        <f t="shared" si="18"/>
        <v>1</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0.03</v>
      </c>
      <c r="L49" s="963"/>
      <c r="M49" s="53">
        <f t="shared" si="17"/>
        <v>0.03</v>
      </c>
      <c r="N49" s="963"/>
      <c r="O49" s="53">
        <f t="shared" si="18"/>
        <v>1</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0.03</v>
      </c>
      <c r="L50" s="963"/>
      <c r="M50" s="53">
        <f t="shared" si="17"/>
        <v>0.03</v>
      </c>
      <c r="N50" s="963"/>
      <c r="O50" s="53">
        <f t="shared" si="18"/>
        <v>1</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0.03</v>
      </c>
      <c r="L51" s="963"/>
      <c r="M51" s="53">
        <f t="shared" si="17"/>
        <v>0.03</v>
      </c>
      <c r="N51" s="963"/>
      <c r="O51" s="53">
        <f t="shared" si="18"/>
        <v>1</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0.03</v>
      </c>
      <c r="L52" s="963"/>
      <c r="M52" s="53">
        <f t="shared" si="17"/>
        <v>0.03</v>
      </c>
      <c r="N52" s="963"/>
      <c r="O52" s="53">
        <f t="shared" si="18"/>
        <v>1</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0.03</v>
      </c>
      <c r="L53" s="963"/>
      <c r="M53" s="53">
        <f t="shared" si="17"/>
        <v>0.03</v>
      </c>
      <c r="N53" s="963"/>
      <c r="O53" s="53">
        <f t="shared" si="18"/>
        <v>1</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0.03</v>
      </c>
      <c r="L54" s="963"/>
      <c r="M54" s="53">
        <f t="shared" si="17"/>
        <v>0.03</v>
      </c>
      <c r="N54" s="963"/>
      <c r="O54" s="53">
        <f t="shared" si="18"/>
        <v>1</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0.03</v>
      </c>
      <c r="L55" s="963"/>
      <c r="M55" s="53">
        <f t="shared" si="17"/>
        <v>0.03</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0.03</v>
      </c>
      <c r="L56" s="963"/>
      <c r="M56" s="53">
        <f t="shared" si="17"/>
        <v>0.03</v>
      </c>
      <c r="N56" s="963"/>
      <c r="O56" s="53">
        <f t="shared" si="18"/>
        <v>1</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0.03</v>
      </c>
      <c r="L57" s="963"/>
      <c r="M57" s="53">
        <f t="shared" si="17"/>
        <v>0.03</v>
      </c>
      <c r="N57" s="963"/>
      <c r="O57" s="53">
        <f t="shared" si="18"/>
        <v>1</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0.03</v>
      </c>
      <c r="L58" s="963"/>
      <c r="M58" s="53">
        <f t="shared" si="17"/>
        <v>0.03</v>
      </c>
      <c r="N58" s="963"/>
      <c r="O58" s="53">
        <f t="shared" si="18"/>
        <v>1</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0.03</v>
      </c>
      <c r="L59" s="963"/>
      <c r="M59" s="53">
        <f t="shared" si="17"/>
        <v>0.03</v>
      </c>
      <c r="N59" s="963"/>
      <c r="O59" s="53">
        <f t="shared" si="18"/>
        <v>1</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0.03</v>
      </c>
      <c r="L60" s="963"/>
      <c r="M60" s="53">
        <f t="shared" si="17"/>
        <v>0.03</v>
      </c>
      <c r="N60" s="963"/>
      <c r="O60" s="53">
        <f t="shared" si="18"/>
        <v>1</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0.03</v>
      </c>
      <c r="L61" s="963"/>
      <c r="M61" s="53">
        <f t="shared" si="17"/>
        <v>0.03</v>
      </c>
      <c r="N61" s="963"/>
      <c r="O61" s="53">
        <f t="shared" si="18"/>
        <v>1</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0.03</v>
      </c>
      <c r="L62" s="963"/>
      <c r="M62" s="53">
        <f t="shared" si="17"/>
        <v>0.03</v>
      </c>
      <c r="N62" s="963"/>
      <c r="O62" s="53">
        <f t="shared" si="18"/>
        <v>1</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0.03</v>
      </c>
      <c r="L63" s="963"/>
      <c r="M63" s="53">
        <f t="shared" si="17"/>
        <v>0.03</v>
      </c>
      <c r="N63" s="963"/>
      <c r="O63" s="53">
        <f t="shared" si="18"/>
        <v>1</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0.03</v>
      </c>
      <c r="L64" s="963"/>
      <c r="M64" s="53">
        <f t="shared" si="17"/>
        <v>0.03</v>
      </c>
      <c r="N64" s="963"/>
      <c r="O64" s="53">
        <f t="shared" si="18"/>
        <v>1</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0.03</v>
      </c>
      <c r="L65" s="963"/>
      <c r="M65" s="53">
        <f t="shared" si="17"/>
        <v>0.03</v>
      </c>
      <c r="N65" s="963"/>
      <c r="O65" s="53">
        <f t="shared" si="18"/>
        <v>1</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0.03</v>
      </c>
      <c r="L66" s="963"/>
      <c r="M66" s="53">
        <f t="shared" si="17"/>
        <v>0.03</v>
      </c>
      <c r="N66" s="963"/>
      <c r="O66" s="53">
        <f t="shared" si="18"/>
        <v>1</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0.03</v>
      </c>
      <c r="L67" s="963"/>
      <c r="M67" s="53">
        <f t="shared" si="17"/>
        <v>0.03</v>
      </c>
      <c r="N67" s="963"/>
      <c r="O67" s="53">
        <f t="shared" si="18"/>
        <v>1</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0.03</v>
      </c>
      <c r="L68" s="963"/>
      <c r="M68" s="53">
        <f t="shared" si="17"/>
        <v>0.03</v>
      </c>
      <c r="N68" s="963"/>
      <c r="O68" s="53">
        <f t="shared" si="18"/>
        <v>1</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0.03</v>
      </c>
      <c r="L69" s="963"/>
      <c r="M69" s="53">
        <f t="shared" si="17"/>
        <v>0.03</v>
      </c>
      <c r="N69" s="963"/>
      <c r="O69" s="53">
        <f t="shared" si="18"/>
        <v>1</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0.03</v>
      </c>
      <c r="L70" s="963"/>
      <c r="M70" s="53">
        <f t="shared" si="17"/>
        <v>0.03</v>
      </c>
      <c r="N70" s="963"/>
      <c r="O70" s="53">
        <f t="shared" si="18"/>
        <v>1</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0.03</v>
      </c>
      <c r="L71" s="963"/>
      <c r="M71" s="53">
        <f t="shared" si="17"/>
        <v>0.03</v>
      </c>
      <c r="N71" s="963"/>
      <c r="O71" s="53">
        <f t="shared" si="18"/>
        <v>1</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0.03</v>
      </c>
      <c r="L72" s="963"/>
      <c r="M72" s="53">
        <f t="shared" si="17"/>
        <v>0.03</v>
      </c>
      <c r="N72" s="963"/>
      <c r="O72" s="53">
        <f t="shared" si="18"/>
        <v>1</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0.03</v>
      </c>
      <c r="L73" s="963"/>
      <c r="M73" s="53">
        <f t="shared" si="17"/>
        <v>0.03</v>
      </c>
      <c r="N73" s="963"/>
      <c r="O73" s="53">
        <f t="shared" si="18"/>
        <v>1</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0.03</v>
      </c>
      <c r="L74" s="963"/>
      <c r="M74" s="53">
        <f t="shared" si="17"/>
        <v>0.03</v>
      </c>
      <c r="N74" s="963"/>
      <c r="O74" s="53">
        <f t="shared" si="18"/>
        <v>1</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0.03</v>
      </c>
      <c r="L75" s="963"/>
      <c r="M75" s="53">
        <f t="shared" si="17"/>
        <v>0.03</v>
      </c>
      <c r="N75" s="963"/>
      <c r="O75" s="53">
        <f t="shared" si="18"/>
        <v>1</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0.03</v>
      </c>
      <c r="L76" s="963"/>
      <c r="M76" s="53">
        <f t="shared" si="17"/>
        <v>0.03</v>
      </c>
      <c r="N76" s="963"/>
      <c r="O76" s="53">
        <f t="shared" si="18"/>
        <v>1</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0.03</v>
      </c>
      <c r="L77" s="963"/>
      <c r="M77" s="53">
        <f t="shared" si="17"/>
        <v>0.03</v>
      </c>
      <c r="N77" s="963"/>
      <c r="O77" s="53">
        <f t="shared" si="18"/>
        <v>1</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0.03</v>
      </c>
      <c r="L78" s="963"/>
      <c r="M78" s="53">
        <f t="shared" si="17"/>
        <v>0.03</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0.03</v>
      </c>
      <c r="L79" s="963"/>
      <c r="M79" s="53">
        <f t="shared" si="17"/>
        <v>0.03</v>
      </c>
      <c r="N79" s="963"/>
      <c r="O79" s="53">
        <f t="shared" si="18"/>
        <v>1</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0.03</v>
      </c>
      <c r="L80" s="963"/>
      <c r="M80" s="53">
        <f t="shared" si="17"/>
        <v>0.03</v>
      </c>
      <c r="N80" s="963"/>
      <c r="O80" s="53">
        <f t="shared" si="18"/>
        <v>1</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0.03</v>
      </c>
      <c r="L81" s="963"/>
      <c r="M81" s="53">
        <f t="shared" si="17"/>
        <v>0.03</v>
      </c>
      <c r="N81" s="963"/>
      <c r="O81" s="53">
        <f t="shared" si="18"/>
        <v>1</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0.03</v>
      </c>
      <c r="L82" s="963"/>
      <c r="M82" s="53">
        <f t="shared" si="17"/>
        <v>0.03</v>
      </c>
      <c r="N82" s="963"/>
      <c r="O82" s="53">
        <f t="shared" si="18"/>
        <v>1</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0.03</v>
      </c>
      <c r="L83" s="963"/>
      <c r="M83" s="53">
        <f t="shared" si="17"/>
        <v>0.03</v>
      </c>
      <c r="N83" s="963"/>
      <c r="O83" s="53">
        <f t="shared" si="18"/>
        <v>1</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0.03</v>
      </c>
      <c r="L84" s="963"/>
      <c r="M84" s="53">
        <f t="shared" si="17"/>
        <v>0.03</v>
      </c>
      <c r="N84" s="963"/>
      <c r="O84" s="53">
        <f t="shared" si="18"/>
        <v>1</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0.03</v>
      </c>
      <c r="L85" s="963"/>
      <c r="M85" s="53">
        <f t="shared" si="17"/>
        <v>0.03</v>
      </c>
      <c r="N85" s="963"/>
      <c r="O85" s="53">
        <f t="shared" si="18"/>
        <v>1</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0.03</v>
      </c>
      <c r="L86" s="963"/>
      <c r="M86" s="53">
        <f t="shared" si="17"/>
        <v>0.03</v>
      </c>
      <c r="N86" s="963"/>
      <c r="O86" s="53">
        <f t="shared" si="18"/>
        <v>1</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0.03</v>
      </c>
      <c r="L87" s="963"/>
      <c r="M87" s="53">
        <f t="shared" si="17"/>
        <v>0.03</v>
      </c>
      <c r="N87" s="963"/>
      <c r="O87" s="53">
        <f t="shared" si="18"/>
        <v>1</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0.03</v>
      </c>
      <c r="L88" s="963"/>
      <c r="M88" s="53">
        <f t="shared" si="17"/>
        <v>0.03</v>
      </c>
      <c r="N88" s="963"/>
      <c r="O88" s="53">
        <f t="shared" si="18"/>
        <v>1</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0.03</v>
      </c>
      <c r="L89" s="963"/>
      <c r="M89" s="53">
        <f t="shared" si="17"/>
        <v>0.03</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0.03</v>
      </c>
      <c r="L90" s="963"/>
      <c r="M90" s="53">
        <f t="shared" ref="M90:M153" si="28">(SUMIF($13:$13,L90,$14:$14)-SUMIF($13:$13,$L$24,$14:$14)+100)/100</f>
        <v>0.03</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0.03</v>
      </c>
      <c r="L91" s="963"/>
      <c r="M91" s="53">
        <f t="shared" si="28"/>
        <v>0.03</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0.03</v>
      </c>
      <c r="L92" s="963"/>
      <c r="M92" s="53">
        <f t="shared" si="28"/>
        <v>0.03</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0.03</v>
      </c>
      <c r="L93" s="963"/>
      <c r="M93" s="53">
        <f t="shared" si="28"/>
        <v>0.03</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0.03</v>
      </c>
      <c r="L94" s="963"/>
      <c r="M94" s="53">
        <f t="shared" si="28"/>
        <v>0.03</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0.03</v>
      </c>
      <c r="L95" s="963"/>
      <c r="M95" s="53">
        <f t="shared" si="28"/>
        <v>0.03</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0.03</v>
      </c>
      <c r="L96" s="963"/>
      <c r="M96" s="53">
        <f t="shared" si="28"/>
        <v>0.03</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0.03</v>
      </c>
      <c r="L97" s="963"/>
      <c r="M97" s="53">
        <f t="shared" si="28"/>
        <v>0.03</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0.03</v>
      </c>
      <c r="L98" s="963"/>
      <c r="M98" s="53">
        <f t="shared" si="28"/>
        <v>0.03</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0.03</v>
      </c>
      <c r="L99" s="963"/>
      <c r="M99" s="53">
        <f t="shared" si="28"/>
        <v>0.03</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0.03</v>
      </c>
      <c r="L100" s="963"/>
      <c r="M100" s="53">
        <f t="shared" si="28"/>
        <v>0.03</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0.03</v>
      </c>
      <c r="L101" s="963"/>
      <c r="M101" s="53">
        <f t="shared" si="28"/>
        <v>0.03</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0.03</v>
      </c>
      <c r="L102" s="963"/>
      <c r="M102" s="53">
        <f t="shared" si="28"/>
        <v>0.03</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0.03</v>
      </c>
      <c r="L103" s="963"/>
      <c r="M103" s="53">
        <f t="shared" si="28"/>
        <v>0.03</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0.03</v>
      </c>
      <c r="L104" s="963"/>
      <c r="M104" s="53">
        <f t="shared" si="28"/>
        <v>0.03</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0.03</v>
      </c>
      <c r="L105" s="963"/>
      <c r="M105" s="53">
        <f t="shared" si="28"/>
        <v>0.03</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0.03</v>
      </c>
      <c r="L106" s="963"/>
      <c r="M106" s="53">
        <f t="shared" si="28"/>
        <v>0.03</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0.03</v>
      </c>
      <c r="L107" s="963"/>
      <c r="M107" s="53">
        <f t="shared" si="28"/>
        <v>0.03</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0.03</v>
      </c>
      <c r="L108" s="963"/>
      <c r="M108" s="53">
        <f t="shared" si="28"/>
        <v>0.03</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0.03</v>
      </c>
      <c r="L109" s="963"/>
      <c r="M109" s="53">
        <f t="shared" si="28"/>
        <v>0.03</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0.03</v>
      </c>
      <c r="L110" s="963"/>
      <c r="M110" s="53">
        <f t="shared" si="28"/>
        <v>0.03</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0.03</v>
      </c>
      <c r="L111" s="963"/>
      <c r="M111" s="53">
        <f t="shared" si="28"/>
        <v>0.03</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0.03</v>
      </c>
      <c r="L112" s="963"/>
      <c r="M112" s="53">
        <f t="shared" si="28"/>
        <v>0.03</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0.03</v>
      </c>
      <c r="L113" s="963"/>
      <c r="M113" s="53">
        <f t="shared" si="28"/>
        <v>0.03</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0.03</v>
      </c>
      <c r="L114" s="963"/>
      <c r="M114" s="53">
        <f t="shared" si="28"/>
        <v>0.03</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0.03</v>
      </c>
      <c r="L115" s="963"/>
      <c r="M115" s="53">
        <f t="shared" si="28"/>
        <v>0.03</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0.03</v>
      </c>
      <c r="L116" s="963"/>
      <c r="M116" s="53">
        <f t="shared" si="28"/>
        <v>0.03</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0.03</v>
      </c>
      <c r="L117" s="963"/>
      <c r="M117" s="53">
        <f t="shared" si="28"/>
        <v>0.03</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0.03</v>
      </c>
      <c r="L118" s="963"/>
      <c r="M118" s="53">
        <f t="shared" si="28"/>
        <v>0.03</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0.03</v>
      </c>
      <c r="L119" s="963"/>
      <c r="M119" s="53">
        <f t="shared" si="28"/>
        <v>0.03</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0.03</v>
      </c>
      <c r="L120" s="963"/>
      <c r="M120" s="53">
        <f t="shared" si="28"/>
        <v>0.03</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0.03</v>
      </c>
      <c r="L121" s="963"/>
      <c r="M121" s="53">
        <f t="shared" si="28"/>
        <v>0.03</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0.03</v>
      </c>
      <c r="L122" s="963"/>
      <c r="M122" s="53">
        <f t="shared" si="28"/>
        <v>0.03</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0.03</v>
      </c>
      <c r="L123" s="963"/>
      <c r="M123" s="53">
        <f t="shared" si="28"/>
        <v>0.03</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0.03</v>
      </c>
      <c r="L124" s="963"/>
      <c r="M124" s="53">
        <f t="shared" si="28"/>
        <v>0.03</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0.03</v>
      </c>
      <c r="L125" s="963"/>
      <c r="M125" s="53">
        <f t="shared" si="28"/>
        <v>0.03</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0.03</v>
      </c>
      <c r="L126" s="963"/>
      <c r="M126" s="53">
        <f t="shared" si="28"/>
        <v>0.03</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0.03</v>
      </c>
      <c r="L127" s="963"/>
      <c r="M127" s="53">
        <f t="shared" si="28"/>
        <v>0.03</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0.03</v>
      </c>
      <c r="L128" s="963"/>
      <c r="M128" s="53">
        <f t="shared" si="28"/>
        <v>0.03</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0.03</v>
      </c>
      <c r="L129" s="963"/>
      <c r="M129" s="53">
        <f t="shared" si="28"/>
        <v>0.03</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0.03</v>
      </c>
      <c r="L130" s="963"/>
      <c r="M130" s="53">
        <f t="shared" si="28"/>
        <v>0.03</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0.03</v>
      </c>
      <c r="L131" s="963"/>
      <c r="M131" s="53">
        <f t="shared" si="28"/>
        <v>0.03</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0.03</v>
      </c>
      <c r="L132" s="963"/>
      <c r="M132" s="53">
        <f t="shared" si="28"/>
        <v>0.03</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0.03</v>
      </c>
      <c r="L133" s="963"/>
      <c r="M133" s="53">
        <f t="shared" si="28"/>
        <v>0.03</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0.03</v>
      </c>
      <c r="L134" s="963"/>
      <c r="M134" s="53">
        <f t="shared" si="28"/>
        <v>0.03</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0.03</v>
      </c>
      <c r="L135" s="963"/>
      <c r="M135" s="53">
        <f t="shared" si="28"/>
        <v>0.03</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0.03</v>
      </c>
      <c r="L136" s="963"/>
      <c r="M136" s="53">
        <f t="shared" si="28"/>
        <v>0.03</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0.03</v>
      </c>
      <c r="L137" s="963"/>
      <c r="M137" s="53">
        <f t="shared" si="28"/>
        <v>0.03</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0.03</v>
      </c>
      <c r="L138" s="963"/>
      <c r="M138" s="53">
        <f t="shared" si="28"/>
        <v>0.03</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0.03</v>
      </c>
      <c r="L139" s="963"/>
      <c r="M139" s="53">
        <f t="shared" si="28"/>
        <v>0.03</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0.03</v>
      </c>
      <c r="L140" s="963"/>
      <c r="M140" s="53">
        <f t="shared" si="28"/>
        <v>0.03</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0.03</v>
      </c>
      <c r="L141" s="963"/>
      <c r="M141" s="53">
        <f t="shared" si="28"/>
        <v>0.03</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0.03</v>
      </c>
      <c r="L142" s="963"/>
      <c r="M142" s="53">
        <f t="shared" si="28"/>
        <v>0.03</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0.03</v>
      </c>
      <c r="L143" s="963"/>
      <c r="M143" s="53">
        <f t="shared" si="28"/>
        <v>0.03</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0.03</v>
      </c>
      <c r="L144" s="963"/>
      <c r="M144" s="53">
        <f t="shared" si="28"/>
        <v>0.03</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0.03</v>
      </c>
      <c r="L145" s="963"/>
      <c r="M145" s="53">
        <f t="shared" si="28"/>
        <v>0.03</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0.03</v>
      </c>
      <c r="L146" s="963"/>
      <c r="M146" s="53">
        <f t="shared" si="28"/>
        <v>0.03</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0.03</v>
      </c>
      <c r="L147" s="963"/>
      <c r="M147" s="53">
        <f t="shared" si="28"/>
        <v>0.03</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0.03</v>
      </c>
      <c r="L148" s="963"/>
      <c r="M148" s="53">
        <f t="shared" si="28"/>
        <v>0.03</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0.03</v>
      </c>
      <c r="L149" s="963"/>
      <c r="M149" s="53">
        <f t="shared" si="28"/>
        <v>0.03</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0.03</v>
      </c>
      <c r="L150" s="963"/>
      <c r="M150" s="53">
        <f t="shared" si="28"/>
        <v>0.03</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0.03</v>
      </c>
      <c r="L151" s="963"/>
      <c r="M151" s="53">
        <f t="shared" si="28"/>
        <v>0.03</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0.03</v>
      </c>
      <c r="L152" s="963"/>
      <c r="M152" s="53">
        <f t="shared" si="28"/>
        <v>0.03</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0.03</v>
      </c>
      <c r="L153" s="963"/>
      <c r="M153" s="53">
        <f t="shared" si="28"/>
        <v>0.03</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0.03</v>
      </c>
      <c r="L154" s="963"/>
      <c r="M154" s="53">
        <f t="shared" ref="M154:M217" si="38">(SUMIF($13:$13,L154,$14:$14)-SUMIF($13:$13,$L$24,$14:$14)+100)/100</f>
        <v>0.03</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0.03</v>
      </c>
      <c r="L155" s="963"/>
      <c r="M155" s="53">
        <f t="shared" si="38"/>
        <v>0.03</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0.03</v>
      </c>
      <c r="L156" s="963"/>
      <c r="M156" s="53">
        <f t="shared" si="38"/>
        <v>0.03</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0.03</v>
      </c>
      <c r="L157" s="963"/>
      <c r="M157" s="53">
        <f t="shared" si="38"/>
        <v>0.03</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0.03</v>
      </c>
      <c r="L158" s="963"/>
      <c r="M158" s="53">
        <f t="shared" si="38"/>
        <v>0.03</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0.03</v>
      </c>
      <c r="L159" s="963"/>
      <c r="M159" s="53">
        <f t="shared" si="38"/>
        <v>0.03</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0.03</v>
      </c>
      <c r="L160" s="963"/>
      <c r="M160" s="53">
        <f t="shared" si="38"/>
        <v>0.03</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0.03</v>
      </c>
      <c r="L161" s="963"/>
      <c r="M161" s="53">
        <f t="shared" si="38"/>
        <v>0.03</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0.03</v>
      </c>
      <c r="L162" s="963"/>
      <c r="M162" s="53">
        <f t="shared" si="38"/>
        <v>0.03</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0.03</v>
      </c>
      <c r="L163" s="963"/>
      <c r="M163" s="53">
        <f t="shared" si="38"/>
        <v>0.03</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0.03</v>
      </c>
      <c r="L164" s="963"/>
      <c r="M164" s="53">
        <f t="shared" si="38"/>
        <v>0.03</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0.03</v>
      </c>
      <c r="L165" s="963"/>
      <c r="M165" s="53">
        <f t="shared" si="38"/>
        <v>0.03</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0.03</v>
      </c>
      <c r="L166" s="963"/>
      <c r="M166" s="53">
        <f t="shared" si="38"/>
        <v>0.03</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0.03</v>
      </c>
      <c r="L167" s="963"/>
      <c r="M167" s="53">
        <f t="shared" si="38"/>
        <v>0.03</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0.03</v>
      </c>
      <c r="L168" s="963"/>
      <c r="M168" s="53">
        <f t="shared" si="38"/>
        <v>0.03</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0.03</v>
      </c>
      <c r="L169" s="963"/>
      <c r="M169" s="53">
        <f t="shared" si="38"/>
        <v>0.03</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0.03</v>
      </c>
      <c r="L170" s="963"/>
      <c r="M170" s="53">
        <f t="shared" si="38"/>
        <v>0.03</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0.03</v>
      </c>
      <c r="L171" s="963"/>
      <c r="M171" s="53">
        <f t="shared" si="38"/>
        <v>0.03</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0.03</v>
      </c>
      <c r="L172" s="963"/>
      <c r="M172" s="53">
        <f t="shared" si="38"/>
        <v>0.03</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0.03</v>
      </c>
      <c r="L173" s="963"/>
      <c r="M173" s="53">
        <f t="shared" si="38"/>
        <v>0.03</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0.03</v>
      </c>
      <c r="L174" s="963"/>
      <c r="M174" s="53">
        <f t="shared" si="38"/>
        <v>0.03</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0.03</v>
      </c>
      <c r="L175" s="963"/>
      <c r="M175" s="53">
        <f t="shared" si="38"/>
        <v>0.03</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0.03</v>
      </c>
      <c r="L176" s="963"/>
      <c r="M176" s="53">
        <f t="shared" si="38"/>
        <v>0.03</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0.03</v>
      </c>
      <c r="L177" s="963"/>
      <c r="M177" s="53">
        <f t="shared" si="38"/>
        <v>0.03</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0.03</v>
      </c>
      <c r="L178" s="963"/>
      <c r="M178" s="53">
        <f t="shared" si="38"/>
        <v>0.03</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0.03</v>
      </c>
      <c r="L179" s="963"/>
      <c r="M179" s="53">
        <f t="shared" si="38"/>
        <v>0.03</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0.03</v>
      </c>
      <c r="L180" s="963"/>
      <c r="M180" s="53">
        <f t="shared" si="38"/>
        <v>0.03</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0.03</v>
      </c>
      <c r="L181" s="963"/>
      <c r="M181" s="53">
        <f t="shared" si="38"/>
        <v>0.03</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0.03</v>
      </c>
      <c r="L182" s="963"/>
      <c r="M182" s="53">
        <f t="shared" si="38"/>
        <v>0.03</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0.03</v>
      </c>
      <c r="L183" s="963"/>
      <c r="M183" s="53">
        <f t="shared" si="38"/>
        <v>0.03</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0.03</v>
      </c>
      <c r="L184" s="963"/>
      <c r="M184" s="53">
        <f t="shared" si="38"/>
        <v>0.03</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0.03</v>
      </c>
      <c r="L185" s="963"/>
      <c r="M185" s="53">
        <f t="shared" si="38"/>
        <v>0.03</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0.03</v>
      </c>
      <c r="L186" s="963"/>
      <c r="M186" s="53">
        <f t="shared" si="38"/>
        <v>0.03</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0.03</v>
      </c>
      <c r="L187" s="963"/>
      <c r="M187" s="53">
        <f t="shared" si="38"/>
        <v>0.03</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0.03</v>
      </c>
      <c r="L188" s="963"/>
      <c r="M188" s="53">
        <f t="shared" si="38"/>
        <v>0.03</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0.03</v>
      </c>
      <c r="L189" s="963"/>
      <c r="M189" s="53">
        <f t="shared" si="38"/>
        <v>0.03</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0.03</v>
      </c>
      <c r="L190" s="963"/>
      <c r="M190" s="53">
        <f t="shared" si="38"/>
        <v>0.03</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0.03</v>
      </c>
      <c r="L191" s="963"/>
      <c r="M191" s="53">
        <f t="shared" si="38"/>
        <v>0.03</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0.03</v>
      </c>
      <c r="L192" s="963"/>
      <c r="M192" s="53">
        <f t="shared" si="38"/>
        <v>0.03</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0.03</v>
      </c>
      <c r="L193" s="963"/>
      <c r="M193" s="53">
        <f t="shared" si="38"/>
        <v>0.03</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0.03</v>
      </c>
      <c r="L194" s="963"/>
      <c r="M194" s="53">
        <f t="shared" si="38"/>
        <v>0.03</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0.03</v>
      </c>
      <c r="L195" s="963"/>
      <c r="M195" s="53">
        <f t="shared" si="38"/>
        <v>0.03</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0.03</v>
      </c>
      <c r="L196" s="963"/>
      <c r="M196" s="53">
        <f t="shared" si="38"/>
        <v>0.03</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0.03</v>
      </c>
      <c r="L197" s="963"/>
      <c r="M197" s="53">
        <f t="shared" si="38"/>
        <v>0.03</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0.03</v>
      </c>
      <c r="L198" s="963"/>
      <c r="M198" s="53">
        <f t="shared" si="38"/>
        <v>0.03</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0.03</v>
      </c>
      <c r="L199" s="963"/>
      <c r="M199" s="53">
        <f t="shared" si="38"/>
        <v>0.03</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0.03</v>
      </c>
      <c r="L200" s="963"/>
      <c r="M200" s="53">
        <f t="shared" si="38"/>
        <v>0.03</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0.03</v>
      </c>
      <c r="L201" s="963"/>
      <c r="M201" s="53">
        <f t="shared" si="38"/>
        <v>0.03</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0.03</v>
      </c>
      <c r="L202" s="963"/>
      <c r="M202" s="53">
        <f t="shared" si="38"/>
        <v>0.03</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0.03</v>
      </c>
      <c r="L203" s="963"/>
      <c r="M203" s="53">
        <f t="shared" si="38"/>
        <v>0.03</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0.03</v>
      </c>
      <c r="L204" s="963"/>
      <c r="M204" s="53">
        <f t="shared" si="38"/>
        <v>0.03</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0.03</v>
      </c>
      <c r="L205" s="963"/>
      <c r="M205" s="53">
        <f t="shared" si="38"/>
        <v>0.03</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0.03</v>
      </c>
      <c r="L206" s="963"/>
      <c r="M206" s="53">
        <f t="shared" si="38"/>
        <v>0.03</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0.03</v>
      </c>
      <c r="L207" s="963"/>
      <c r="M207" s="53">
        <f t="shared" si="38"/>
        <v>0.03</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0.03</v>
      </c>
      <c r="L208" s="963"/>
      <c r="M208" s="53">
        <f t="shared" si="38"/>
        <v>0.03</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0.03</v>
      </c>
      <c r="L209" s="963"/>
      <c r="M209" s="53">
        <f t="shared" si="38"/>
        <v>0.03</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0.03</v>
      </c>
      <c r="L210" s="963"/>
      <c r="M210" s="53">
        <f t="shared" si="38"/>
        <v>0.03</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0.03</v>
      </c>
      <c r="L211" s="963"/>
      <c r="M211" s="53">
        <f t="shared" si="38"/>
        <v>0.03</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0.03</v>
      </c>
      <c r="L212" s="963"/>
      <c r="M212" s="53">
        <f t="shared" si="38"/>
        <v>0.03</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0.03</v>
      </c>
      <c r="L213" s="963"/>
      <c r="M213" s="53">
        <f t="shared" si="38"/>
        <v>0.03</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0.03</v>
      </c>
      <c r="L214" s="963"/>
      <c r="M214" s="53">
        <f t="shared" si="38"/>
        <v>0.03</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0.03</v>
      </c>
      <c r="L215" s="963"/>
      <c r="M215" s="53">
        <f t="shared" si="38"/>
        <v>0.03</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0.03</v>
      </c>
      <c r="L216" s="963"/>
      <c r="M216" s="53">
        <f t="shared" si="38"/>
        <v>0.03</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0.03</v>
      </c>
      <c r="L217" s="963"/>
      <c r="M217" s="53">
        <f t="shared" si="38"/>
        <v>0.03</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0.03</v>
      </c>
      <c r="L218" s="963"/>
      <c r="M218" s="53">
        <f t="shared" ref="M218:M281" si="48">(SUMIF($13:$13,L218,$14:$14)-SUMIF($13:$13,$L$24,$14:$14)+100)/100</f>
        <v>0.03</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0.03</v>
      </c>
      <c r="L219" s="963"/>
      <c r="M219" s="53">
        <f t="shared" si="48"/>
        <v>0.03</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0.03</v>
      </c>
      <c r="L220" s="963"/>
      <c r="M220" s="53">
        <f t="shared" si="48"/>
        <v>0.03</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0.03</v>
      </c>
      <c r="L221" s="963"/>
      <c r="M221" s="53">
        <f t="shared" si="48"/>
        <v>0.03</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0.03</v>
      </c>
      <c r="L222" s="963"/>
      <c r="M222" s="53">
        <f t="shared" si="48"/>
        <v>0.03</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0.03</v>
      </c>
      <c r="L223" s="963"/>
      <c r="M223" s="53">
        <f t="shared" si="48"/>
        <v>0.03</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0.03</v>
      </c>
      <c r="L224" s="963"/>
      <c r="M224" s="53">
        <f t="shared" si="48"/>
        <v>0.03</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0.03</v>
      </c>
      <c r="L225" s="963"/>
      <c r="M225" s="53">
        <f t="shared" si="48"/>
        <v>0.03</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0.03</v>
      </c>
      <c r="L226" s="963"/>
      <c r="M226" s="53">
        <f t="shared" si="48"/>
        <v>0.03</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0.03</v>
      </c>
      <c r="L227" s="963"/>
      <c r="M227" s="53">
        <f t="shared" si="48"/>
        <v>0.03</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0.03</v>
      </c>
      <c r="L228" s="963"/>
      <c r="M228" s="53">
        <f t="shared" si="48"/>
        <v>0.03</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0.03</v>
      </c>
      <c r="L229" s="963"/>
      <c r="M229" s="53">
        <f t="shared" si="48"/>
        <v>0.03</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0.03</v>
      </c>
      <c r="L230" s="963"/>
      <c r="M230" s="53">
        <f t="shared" si="48"/>
        <v>0.03</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0.03</v>
      </c>
      <c r="L231" s="963"/>
      <c r="M231" s="53">
        <f t="shared" si="48"/>
        <v>0.03</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0.03</v>
      </c>
      <c r="L232" s="963"/>
      <c r="M232" s="53">
        <f t="shared" si="48"/>
        <v>0.03</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0.03</v>
      </c>
      <c r="L233" s="963"/>
      <c r="M233" s="53">
        <f t="shared" si="48"/>
        <v>0.03</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0.03</v>
      </c>
      <c r="L234" s="963"/>
      <c r="M234" s="53">
        <f t="shared" si="48"/>
        <v>0.03</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0.03</v>
      </c>
      <c r="L235" s="963"/>
      <c r="M235" s="53">
        <f t="shared" si="48"/>
        <v>0.03</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0.03</v>
      </c>
      <c r="L236" s="963"/>
      <c r="M236" s="53">
        <f t="shared" si="48"/>
        <v>0.03</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0.03</v>
      </c>
      <c r="L237" s="963"/>
      <c r="M237" s="53">
        <f t="shared" si="48"/>
        <v>0.03</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0.03</v>
      </c>
      <c r="L238" s="963"/>
      <c r="M238" s="53">
        <f t="shared" si="48"/>
        <v>0.03</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0.03</v>
      </c>
      <c r="L239" s="963"/>
      <c r="M239" s="53">
        <f t="shared" si="48"/>
        <v>0.03</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0.03</v>
      </c>
      <c r="L240" s="963"/>
      <c r="M240" s="53">
        <f t="shared" si="48"/>
        <v>0.03</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0.03</v>
      </c>
      <c r="L241" s="963"/>
      <c r="M241" s="53">
        <f t="shared" si="48"/>
        <v>0.03</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0.03</v>
      </c>
      <c r="L242" s="963"/>
      <c r="M242" s="53">
        <f t="shared" si="48"/>
        <v>0.03</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0.03</v>
      </c>
      <c r="L243" s="963"/>
      <c r="M243" s="53">
        <f t="shared" si="48"/>
        <v>0.03</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0.03</v>
      </c>
      <c r="L244" s="963"/>
      <c r="M244" s="53">
        <f t="shared" si="48"/>
        <v>0.03</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0.03</v>
      </c>
      <c r="L245" s="963"/>
      <c r="M245" s="53">
        <f t="shared" si="48"/>
        <v>0.03</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0.03</v>
      </c>
      <c r="L246" s="963"/>
      <c r="M246" s="53">
        <f t="shared" si="48"/>
        <v>0.03</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0.03</v>
      </c>
      <c r="L247" s="963"/>
      <c r="M247" s="53">
        <f t="shared" si="48"/>
        <v>0.03</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0.03</v>
      </c>
      <c r="L248" s="963"/>
      <c r="M248" s="53">
        <f t="shared" si="48"/>
        <v>0.03</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0.03</v>
      </c>
      <c r="L249" s="963"/>
      <c r="M249" s="53">
        <f t="shared" si="48"/>
        <v>0.03</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0.03</v>
      </c>
      <c r="L250" s="963"/>
      <c r="M250" s="53">
        <f t="shared" si="48"/>
        <v>0.03</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0.03</v>
      </c>
      <c r="L251" s="963"/>
      <c r="M251" s="53">
        <f t="shared" si="48"/>
        <v>0.03</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0.03</v>
      </c>
      <c r="L252" s="963"/>
      <c r="M252" s="53">
        <f t="shared" si="48"/>
        <v>0.03</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0.03</v>
      </c>
      <c r="L253" s="963"/>
      <c r="M253" s="53">
        <f t="shared" si="48"/>
        <v>0.03</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0.03</v>
      </c>
      <c r="L254" s="963"/>
      <c r="M254" s="53">
        <f t="shared" si="48"/>
        <v>0.03</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0.03</v>
      </c>
      <c r="L255" s="963"/>
      <c r="M255" s="53">
        <f t="shared" si="48"/>
        <v>0.03</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0.03</v>
      </c>
      <c r="L256" s="963"/>
      <c r="M256" s="53">
        <f t="shared" si="48"/>
        <v>0.03</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0.03</v>
      </c>
      <c r="L257" s="963"/>
      <c r="M257" s="53">
        <f t="shared" si="48"/>
        <v>0.03</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0.03</v>
      </c>
      <c r="L258" s="963"/>
      <c r="M258" s="53">
        <f t="shared" si="48"/>
        <v>0.03</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0.03</v>
      </c>
      <c r="L259" s="963"/>
      <c r="M259" s="53">
        <f t="shared" si="48"/>
        <v>0.03</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0.03</v>
      </c>
      <c r="L260" s="963"/>
      <c r="M260" s="53">
        <f t="shared" si="48"/>
        <v>0.03</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0.03</v>
      </c>
      <c r="L261" s="963"/>
      <c r="M261" s="53">
        <f t="shared" si="48"/>
        <v>0.03</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0.03</v>
      </c>
      <c r="L262" s="963"/>
      <c r="M262" s="53">
        <f t="shared" si="48"/>
        <v>0.03</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0.03</v>
      </c>
      <c r="L263" s="963"/>
      <c r="M263" s="53">
        <f t="shared" si="48"/>
        <v>0.03</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0.03</v>
      </c>
      <c r="L264" s="963"/>
      <c r="M264" s="53">
        <f t="shared" si="48"/>
        <v>0.03</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0.03</v>
      </c>
      <c r="L265" s="963"/>
      <c r="M265" s="53">
        <f t="shared" si="48"/>
        <v>0.03</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0.03</v>
      </c>
      <c r="L266" s="963"/>
      <c r="M266" s="53">
        <f t="shared" si="48"/>
        <v>0.03</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0.03</v>
      </c>
      <c r="L267" s="963"/>
      <c r="M267" s="53">
        <f t="shared" si="48"/>
        <v>0.03</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0.03</v>
      </c>
      <c r="L268" s="963"/>
      <c r="M268" s="53">
        <f t="shared" si="48"/>
        <v>0.03</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0.03</v>
      </c>
      <c r="L269" s="963"/>
      <c r="M269" s="53">
        <f t="shared" si="48"/>
        <v>0.03</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0.03</v>
      </c>
      <c r="L270" s="963"/>
      <c r="M270" s="53">
        <f t="shared" si="48"/>
        <v>0.03</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0.03</v>
      </c>
      <c r="L271" s="963"/>
      <c r="M271" s="53">
        <f t="shared" si="48"/>
        <v>0.03</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0.03</v>
      </c>
      <c r="L272" s="963"/>
      <c r="M272" s="53">
        <f t="shared" si="48"/>
        <v>0.03</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0.03</v>
      </c>
      <c r="L273" s="963"/>
      <c r="M273" s="53">
        <f t="shared" si="48"/>
        <v>0.03</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0.03</v>
      </c>
      <c r="L274" s="963"/>
      <c r="M274" s="53">
        <f t="shared" si="48"/>
        <v>0.03</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0.03</v>
      </c>
      <c r="L275" s="963"/>
      <c r="M275" s="53">
        <f t="shared" si="48"/>
        <v>0.03</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0.03</v>
      </c>
      <c r="L276" s="963"/>
      <c r="M276" s="53">
        <f t="shared" si="48"/>
        <v>0.03</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0.03</v>
      </c>
      <c r="L277" s="963"/>
      <c r="M277" s="53">
        <f t="shared" si="48"/>
        <v>0.03</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0.03</v>
      </c>
      <c r="L278" s="963"/>
      <c r="M278" s="53">
        <f t="shared" si="48"/>
        <v>0.03</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0.03</v>
      </c>
      <c r="L279" s="963"/>
      <c r="M279" s="53">
        <f t="shared" si="48"/>
        <v>0.03</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0.03</v>
      </c>
      <c r="L280" s="963"/>
      <c r="M280" s="53">
        <f t="shared" si="48"/>
        <v>0.03</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0.03</v>
      </c>
      <c r="L281" s="963"/>
      <c r="M281" s="53">
        <f t="shared" si="48"/>
        <v>0.03</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0.03</v>
      </c>
      <c r="L282" s="963"/>
      <c r="M282" s="53">
        <f t="shared" ref="M282:M345" si="58">(SUMIF($13:$13,L282,$14:$14)-SUMIF($13:$13,$L$24,$14:$14)+100)/100</f>
        <v>0.03</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0.03</v>
      </c>
      <c r="L283" s="963"/>
      <c r="M283" s="53">
        <f t="shared" si="58"/>
        <v>0.03</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0.03</v>
      </c>
      <c r="L284" s="963"/>
      <c r="M284" s="53">
        <f t="shared" si="58"/>
        <v>0.03</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0.03</v>
      </c>
      <c r="L285" s="963"/>
      <c r="M285" s="53">
        <f t="shared" si="58"/>
        <v>0.03</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0.03</v>
      </c>
      <c r="L286" s="963"/>
      <c r="M286" s="53">
        <f t="shared" si="58"/>
        <v>0.03</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0.03</v>
      </c>
      <c r="L287" s="963"/>
      <c r="M287" s="53">
        <f t="shared" si="58"/>
        <v>0.03</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0.03</v>
      </c>
      <c r="L288" s="963"/>
      <c r="M288" s="53">
        <f t="shared" si="58"/>
        <v>0.03</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0.03</v>
      </c>
      <c r="L289" s="963"/>
      <c r="M289" s="53">
        <f t="shared" si="58"/>
        <v>0.03</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0.03</v>
      </c>
      <c r="L290" s="963"/>
      <c r="M290" s="53">
        <f t="shared" si="58"/>
        <v>0.03</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0.03</v>
      </c>
      <c r="L291" s="963"/>
      <c r="M291" s="53">
        <f t="shared" si="58"/>
        <v>0.03</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0.03</v>
      </c>
      <c r="L292" s="963"/>
      <c r="M292" s="53">
        <f t="shared" si="58"/>
        <v>0.03</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0.03</v>
      </c>
      <c r="L293" s="963"/>
      <c r="M293" s="53">
        <f t="shared" si="58"/>
        <v>0.03</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0.03</v>
      </c>
      <c r="L294" s="963"/>
      <c r="M294" s="53">
        <f t="shared" si="58"/>
        <v>0.03</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0.03</v>
      </c>
      <c r="L295" s="963"/>
      <c r="M295" s="53">
        <f t="shared" si="58"/>
        <v>0.03</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0.03</v>
      </c>
      <c r="L296" s="963"/>
      <c r="M296" s="53">
        <f t="shared" si="58"/>
        <v>0.03</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0.03</v>
      </c>
      <c r="L297" s="963"/>
      <c r="M297" s="53">
        <f t="shared" si="58"/>
        <v>0.03</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0.03</v>
      </c>
      <c r="L298" s="963"/>
      <c r="M298" s="53">
        <f t="shared" si="58"/>
        <v>0.03</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0.03</v>
      </c>
      <c r="L299" s="963"/>
      <c r="M299" s="53">
        <f t="shared" si="58"/>
        <v>0.03</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0.03</v>
      </c>
      <c r="L300" s="963"/>
      <c r="M300" s="53">
        <f t="shared" si="58"/>
        <v>0.03</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0.03</v>
      </c>
      <c r="L301" s="963"/>
      <c r="M301" s="53">
        <f t="shared" si="58"/>
        <v>0.03</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0.03</v>
      </c>
      <c r="L302" s="963"/>
      <c r="M302" s="53">
        <f t="shared" si="58"/>
        <v>0.03</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0.03</v>
      </c>
      <c r="L303" s="963"/>
      <c r="M303" s="53">
        <f t="shared" si="58"/>
        <v>0.03</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0.03</v>
      </c>
      <c r="L304" s="963"/>
      <c r="M304" s="53">
        <f t="shared" si="58"/>
        <v>0.03</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0.03</v>
      </c>
      <c r="L305" s="963"/>
      <c r="M305" s="53">
        <f t="shared" si="58"/>
        <v>0.03</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0.03</v>
      </c>
      <c r="L306" s="963"/>
      <c r="M306" s="53">
        <f t="shared" si="58"/>
        <v>0.03</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0.03</v>
      </c>
      <c r="L307" s="963"/>
      <c r="M307" s="53">
        <f t="shared" si="58"/>
        <v>0.03</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0.03</v>
      </c>
      <c r="L308" s="963"/>
      <c r="M308" s="53">
        <f t="shared" si="58"/>
        <v>0.03</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0.03</v>
      </c>
      <c r="L309" s="963"/>
      <c r="M309" s="53">
        <f t="shared" si="58"/>
        <v>0.03</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0.03</v>
      </c>
      <c r="L310" s="963"/>
      <c r="M310" s="53">
        <f t="shared" si="58"/>
        <v>0.03</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0.03</v>
      </c>
      <c r="L311" s="963"/>
      <c r="M311" s="53">
        <f t="shared" si="58"/>
        <v>0.03</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0.03</v>
      </c>
      <c r="L312" s="963"/>
      <c r="M312" s="53">
        <f t="shared" si="58"/>
        <v>0.03</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0.03</v>
      </c>
      <c r="L313" s="963"/>
      <c r="M313" s="53">
        <f t="shared" si="58"/>
        <v>0.03</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0.03</v>
      </c>
      <c r="L314" s="963"/>
      <c r="M314" s="53">
        <f t="shared" si="58"/>
        <v>0.03</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0.03</v>
      </c>
      <c r="L315" s="963"/>
      <c r="M315" s="53">
        <f t="shared" si="58"/>
        <v>0.03</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0.03</v>
      </c>
      <c r="L316" s="963"/>
      <c r="M316" s="53">
        <f t="shared" si="58"/>
        <v>0.03</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0.03</v>
      </c>
      <c r="L317" s="963"/>
      <c r="M317" s="53">
        <f t="shared" si="58"/>
        <v>0.03</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0.03</v>
      </c>
      <c r="L318" s="963"/>
      <c r="M318" s="53">
        <f t="shared" si="58"/>
        <v>0.03</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0.03</v>
      </c>
      <c r="L319" s="963"/>
      <c r="M319" s="53">
        <f t="shared" si="58"/>
        <v>0.03</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0.03</v>
      </c>
      <c r="L320" s="963"/>
      <c r="M320" s="53">
        <f t="shared" si="58"/>
        <v>0.03</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0.03</v>
      </c>
      <c r="L321" s="963"/>
      <c r="M321" s="53">
        <f t="shared" si="58"/>
        <v>0.03</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0.03</v>
      </c>
      <c r="L322" s="963"/>
      <c r="M322" s="53">
        <f t="shared" si="58"/>
        <v>0.03</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0.03</v>
      </c>
      <c r="L323" s="963"/>
      <c r="M323" s="53">
        <f t="shared" si="58"/>
        <v>0.03</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0.03</v>
      </c>
      <c r="L324" s="963"/>
      <c r="M324" s="53">
        <f t="shared" si="58"/>
        <v>0.03</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0.03</v>
      </c>
      <c r="L325" s="963"/>
      <c r="M325" s="53">
        <f t="shared" si="58"/>
        <v>0.03</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0.03</v>
      </c>
      <c r="L326" s="963"/>
      <c r="M326" s="53">
        <f t="shared" si="58"/>
        <v>0.03</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0.03</v>
      </c>
      <c r="L327" s="963"/>
      <c r="M327" s="53">
        <f t="shared" si="58"/>
        <v>0.03</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0.03</v>
      </c>
      <c r="L328" s="963"/>
      <c r="M328" s="53">
        <f t="shared" si="58"/>
        <v>0.03</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0.03</v>
      </c>
      <c r="L329" s="963"/>
      <c r="M329" s="53">
        <f t="shared" si="58"/>
        <v>0.03</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0.03</v>
      </c>
      <c r="L330" s="963"/>
      <c r="M330" s="53">
        <f t="shared" si="58"/>
        <v>0.03</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0.03</v>
      </c>
      <c r="L331" s="963"/>
      <c r="M331" s="53">
        <f t="shared" si="58"/>
        <v>0.03</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0.03</v>
      </c>
      <c r="L332" s="963"/>
      <c r="M332" s="53">
        <f t="shared" si="58"/>
        <v>0.03</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0.03</v>
      </c>
      <c r="L333" s="963"/>
      <c r="M333" s="53">
        <f t="shared" si="58"/>
        <v>0.03</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0.03</v>
      </c>
      <c r="L334" s="963"/>
      <c r="M334" s="53">
        <f t="shared" si="58"/>
        <v>0.03</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0.03</v>
      </c>
      <c r="L335" s="963"/>
      <c r="M335" s="53">
        <f t="shared" si="58"/>
        <v>0.03</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0.03</v>
      </c>
      <c r="L336" s="963"/>
      <c r="M336" s="53">
        <f t="shared" si="58"/>
        <v>0.03</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0.03</v>
      </c>
      <c r="L337" s="963"/>
      <c r="M337" s="53">
        <f t="shared" si="58"/>
        <v>0.03</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0.03</v>
      </c>
      <c r="L338" s="963"/>
      <c r="M338" s="53">
        <f t="shared" si="58"/>
        <v>0.03</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0.03</v>
      </c>
      <c r="L339" s="963"/>
      <c r="M339" s="53">
        <f t="shared" si="58"/>
        <v>0.03</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0.03</v>
      </c>
      <c r="L340" s="963"/>
      <c r="M340" s="53">
        <f t="shared" si="58"/>
        <v>0.03</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0.03</v>
      </c>
      <c r="L341" s="963"/>
      <c r="M341" s="53">
        <f t="shared" si="58"/>
        <v>0.03</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0.03</v>
      </c>
      <c r="L342" s="963"/>
      <c r="M342" s="53">
        <f t="shared" si="58"/>
        <v>0.03</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0.03</v>
      </c>
      <c r="L343" s="963"/>
      <c r="M343" s="53">
        <f t="shared" si="58"/>
        <v>0.03</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0.03</v>
      </c>
      <c r="L344" s="963"/>
      <c r="M344" s="53">
        <f t="shared" si="58"/>
        <v>0.03</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0.03</v>
      </c>
      <c r="L345" s="963"/>
      <c r="M345" s="53">
        <f t="shared" si="58"/>
        <v>0.03</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0.03</v>
      </c>
      <c r="L346" s="963"/>
      <c r="M346" s="53">
        <f t="shared" ref="M346:M409" si="69">(SUMIF($13:$13,L346,$14:$14)-SUMIF($13:$13,$L$24,$14:$14)+100)/100</f>
        <v>0.03</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0.03</v>
      </c>
      <c r="L347" s="963"/>
      <c r="M347" s="53">
        <f t="shared" si="69"/>
        <v>0.03</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0.03</v>
      </c>
      <c r="L348" s="963"/>
      <c r="M348" s="53">
        <f t="shared" si="69"/>
        <v>0.03</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0.03</v>
      </c>
      <c r="L349" s="963"/>
      <c r="M349" s="53">
        <f t="shared" si="69"/>
        <v>0.03</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0.03</v>
      </c>
      <c r="L350" s="963"/>
      <c r="M350" s="53">
        <f t="shared" si="69"/>
        <v>0.03</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0.03</v>
      </c>
      <c r="L351" s="963"/>
      <c r="M351" s="53">
        <f t="shared" si="69"/>
        <v>0.03</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0.03</v>
      </c>
      <c r="L352" s="963"/>
      <c r="M352" s="53">
        <f t="shared" si="69"/>
        <v>0.03</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0.03</v>
      </c>
      <c r="L353" s="963"/>
      <c r="M353" s="53">
        <f t="shared" si="69"/>
        <v>0.03</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0.03</v>
      </c>
      <c r="L354" s="963"/>
      <c r="M354" s="53">
        <f t="shared" si="69"/>
        <v>0.03</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0.03</v>
      </c>
      <c r="L355" s="963"/>
      <c r="M355" s="53">
        <f t="shared" si="69"/>
        <v>0.03</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0.03</v>
      </c>
      <c r="L356" s="963"/>
      <c r="M356" s="53">
        <f t="shared" si="69"/>
        <v>0.03</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0.03</v>
      </c>
      <c r="L357" s="963"/>
      <c r="M357" s="53">
        <f t="shared" si="69"/>
        <v>0.03</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0.03</v>
      </c>
      <c r="L358" s="963"/>
      <c r="M358" s="53">
        <f t="shared" si="69"/>
        <v>0.03</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0.03</v>
      </c>
      <c r="L359" s="963"/>
      <c r="M359" s="53">
        <f t="shared" si="69"/>
        <v>0.03</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0.03</v>
      </c>
      <c r="L360" s="963"/>
      <c r="M360" s="53">
        <f t="shared" si="69"/>
        <v>0.03</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0.03</v>
      </c>
      <c r="L361" s="963"/>
      <c r="M361" s="53">
        <f t="shared" si="69"/>
        <v>0.03</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0.03</v>
      </c>
      <c r="L362" s="963"/>
      <c r="M362" s="53">
        <f t="shared" si="69"/>
        <v>0.03</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0.03</v>
      </c>
      <c r="L363" s="963"/>
      <c r="M363" s="53">
        <f t="shared" si="69"/>
        <v>0.03</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0.03</v>
      </c>
      <c r="L364" s="963"/>
      <c r="M364" s="53">
        <f t="shared" si="69"/>
        <v>0.03</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0.03</v>
      </c>
      <c r="L365" s="963"/>
      <c r="M365" s="53">
        <f t="shared" si="69"/>
        <v>0.03</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0.03</v>
      </c>
      <c r="L366" s="963"/>
      <c r="M366" s="53">
        <f t="shared" si="69"/>
        <v>0.03</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0.03</v>
      </c>
      <c r="L367" s="963"/>
      <c r="M367" s="53">
        <f t="shared" si="69"/>
        <v>0.03</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0.03</v>
      </c>
      <c r="L368" s="963"/>
      <c r="M368" s="53">
        <f t="shared" si="69"/>
        <v>0.03</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0.03</v>
      </c>
      <c r="L369" s="963"/>
      <c r="M369" s="53">
        <f t="shared" si="69"/>
        <v>0.03</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0.03</v>
      </c>
      <c r="L370" s="963"/>
      <c r="M370" s="53">
        <f t="shared" si="69"/>
        <v>0.03</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0.03</v>
      </c>
      <c r="L371" s="963"/>
      <c r="M371" s="53">
        <f t="shared" si="69"/>
        <v>0.03</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0.03</v>
      </c>
      <c r="L372" s="963"/>
      <c r="M372" s="53">
        <f t="shared" si="69"/>
        <v>0.03</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0.03</v>
      </c>
      <c r="L373" s="963"/>
      <c r="M373" s="53">
        <f t="shared" si="69"/>
        <v>0.03</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0.03</v>
      </c>
      <c r="L374" s="963"/>
      <c r="M374" s="53">
        <f t="shared" si="69"/>
        <v>0.03</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0.03</v>
      </c>
      <c r="L375" s="963"/>
      <c r="M375" s="53">
        <f t="shared" si="69"/>
        <v>0.03</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0.03</v>
      </c>
      <c r="L376" s="963"/>
      <c r="M376" s="53">
        <f t="shared" si="69"/>
        <v>0.03</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0.03</v>
      </c>
      <c r="L377" s="963"/>
      <c r="M377" s="53">
        <f t="shared" si="69"/>
        <v>0.03</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0.03</v>
      </c>
      <c r="L378" s="963"/>
      <c r="M378" s="53">
        <f t="shared" si="69"/>
        <v>0.03</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0.03</v>
      </c>
      <c r="L379" s="963"/>
      <c r="M379" s="53">
        <f t="shared" si="69"/>
        <v>0.03</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0.03</v>
      </c>
      <c r="L380" s="963"/>
      <c r="M380" s="53">
        <f t="shared" si="69"/>
        <v>0.03</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0.03</v>
      </c>
      <c r="L381" s="963"/>
      <c r="M381" s="53">
        <f t="shared" si="69"/>
        <v>0.03</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0.03</v>
      </c>
      <c r="L382" s="963"/>
      <c r="M382" s="53">
        <f t="shared" si="69"/>
        <v>0.03</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0.03</v>
      </c>
      <c r="L383" s="963"/>
      <c r="M383" s="53">
        <f t="shared" si="69"/>
        <v>0.03</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0.03</v>
      </c>
      <c r="L384" s="963"/>
      <c r="M384" s="53">
        <f t="shared" si="69"/>
        <v>0.03</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0.03</v>
      </c>
      <c r="L385" s="963"/>
      <c r="M385" s="53">
        <f t="shared" si="69"/>
        <v>0.03</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0.03</v>
      </c>
      <c r="L386" s="963"/>
      <c r="M386" s="53">
        <f t="shared" si="69"/>
        <v>0.03</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0.03</v>
      </c>
      <c r="L387" s="963"/>
      <c r="M387" s="53">
        <f t="shared" si="69"/>
        <v>0.03</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0.03</v>
      </c>
      <c r="L388" s="963"/>
      <c r="M388" s="53">
        <f t="shared" si="69"/>
        <v>0.03</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0.03</v>
      </c>
      <c r="L389" s="963"/>
      <c r="M389" s="53">
        <f t="shared" si="69"/>
        <v>0.03</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0.03</v>
      </c>
      <c r="L390" s="963"/>
      <c r="M390" s="53">
        <f t="shared" si="69"/>
        <v>0.03</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0.03</v>
      </c>
      <c r="L391" s="963"/>
      <c r="M391" s="53">
        <f t="shared" si="69"/>
        <v>0.03</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0.03</v>
      </c>
      <c r="L392" s="963"/>
      <c r="M392" s="53">
        <f t="shared" si="69"/>
        <v>0.03</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0.03</v>
      </c>
      <c r="L393" s="963"/>
      <c r="M393" s="53">
        <f t="shared" si="69"/>
        <v>0.03</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0.03</v>
      </c>
      <c r="L394" s="963"/>
      <c r="M394" s="53">
        <f t="shared" si="69"/>
        <v>0.03</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0.03</v>
      </c>
      <c r="L395" s="963"/>
      <c r="M395" s="53">
        <f t="shared" si="69"/>
        <v>0.03</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0.03</v>
      </c>
      <c r="L396" s="963"/>
      <c r="M396" s="53">
        <f t="shared" si="69"/>
        <v>0.03</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0.03</v>
      </c>
      <c r="L397" s="963"/>
      <c r="M397" s="53">
        <f t="shared" si="69"/>
        <v>0.03</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0.03</v>
      </c>
      <c r="L398" s="963"/>
      <c r="M398" s="53">
        <f t="shared" si="69"/>
        <v>0.03</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0.03</v>
      </c>
      <c r="L399" s="963"/>
      <c r="M399" s="53">
        <f t="shared" si="69"/>
        <v>0.03</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0.03</v>
      </c>
      <c r="L400" s="963"/>
      <c r="M400" s="53">
        <f t="shared" si="69"/>
        <v>0.03</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0.03</v>
      </c>
      <c r="L401" s="963"/>
      <c r="M401" s="53">
        <f t="shared" si="69"/>
        <v>0.03</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0.03</v>
      </c>
      <c r="L402" s="963"/>
      <c r="M402" s="53">
        <f t="shared" si="69"/>
        <v>0.03</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0.03</v>
      </c>
      <c r="L403" s="963"/>
      <c r="M403" s="53">
        <f t="shared" si="69"/>
        <v>0.03</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0.03</v>
      </c>
      <c r="L404" s="963"/>
      <c r="M404" s="53">
        <f t="shared" si="69"/>
        <v>0.03</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0.03</v>
      </c>
      <c r="L405" s="963"/>
      <c r="M405" s="53">
        <f t="shared" si="69"/>
        <v>0.03</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0.03</v>
      </c>
      <c r="L406" s="963"/>
      <c r="M406" s="53">
        <f t="shared" si="69"/>
        <v>0.03</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0.03</v>
      </c>
      <c r="L407" s="963"/>
      <c r="M407" s="53">
        <f t="shared" si="69"/>
        <v>0.03</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0.03</v>
      </c>
      <c r="L408" s="963"/>
      <c r="M408" s="53">
        <f t="shared" si="69"/>
        <v>0.03</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0.03</v>
      </c>
      <c r="L409" s="963"/>
      <c r="M409" s="53">
        <f t="shared" si="69"/>
        <v>0.03</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0.03</v>
      </c>
      <c r="L410" s="963"/>
      <c r="M410" s="53">
        <f t="shared" ref="M410:M473" si="79">(SUMIF($13:$13,L410,$14:$14)-SUMIF($13:$13,$L$24,$14:$14)+100)/100</f>
        <v>0.03</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0.03</v>
      </c>
      <c r="L411" s="963"/>
      <c r="M411" s="53">
        <f t="shared" si="79"/>
        <v>0.03</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0.03</v>
      </c>
      <c r="L412" s="963"/>
      <c r="M412" s="53">
        <f t="shared" si="79"/>
        <v>0.03</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0.03</v>
      </c>
      <c r="L413" s="963"/>
      <c r="M413" s="53">
        <f t="shared" si="79"/>
        <v>0.03</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0.03</v>
      </c>
      <c r="L414" s="963"/>
      <c r="M414" s="53">
        <f t="shared" si="79"/>
        <v>0.03</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0.03</v>
      </c>
      <c r="L415" s="963"/>
      <c r="M415" s="53">
        <f t="shared" si="79"/>
        <v>0.03</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0.03</v>
      </c>
      <c r="L416" s="963"/>
      <c r="M416" s="53">
        <f t="shared" si="79"/>
        <v>0.03</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0.03</v>
      </c>
      <c r="L417" s="963"/>
      <c r="M417" s="53">
        <f t="shared" si="79"/>
        <v>0.03</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0.03</v>
      </c>
      <c r="L418" s="963"/>
      <c r="M418" s="53">
        <f t="shared" si="79"/>
        <v>0.03</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0.03</v>
      </c>
      <c r="L419" s="963"/>
      <c r="M419" s="53">
        <f t="shared" si="79"/>
        <v>0.03</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0.03</v>
      </c>
      <c r="L420" s="963"/>
      <c r="M420" s="53">
        <f t="shared" si="79"/>
        <v>0.03</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0.03</v>
      </c>
      <c r="L421" s="963"/>
      <c r="M421" s="53">
        <f t="shared" si="79"/>
        <v>0.03</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0.03</v>
      </c>
      <c r="L422" s="963"/>
      <c r="M422" s="53">
        <f t="shared" si="79"/>
        <v>0.03</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0.03</v>
      </c>
      <c r="L423" s="963"/>
      <c r="M423" s="53">
        <f t="shared" si="79"/>
        <v>0.03</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0.03</v>
      </c>
      <c r="L424" s="963"/>
      <c r="M424" s="53">
        <f t="shared" si="79"/>
        <v>0.03</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0.03</v>
      </c>
      <c r="L425" s="963"/>
      <c r="M425" s="53">
        <f t="shared" si="79"/>
        <v>0.03</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0.03</v>
      </c>
      <c r="L426" s="963"/>
      <c r="M426" s="53">
        <f t="shared" si="79"/>
        <v>0.03</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0.03</v>
      </c>
      <c r="L427" s="963"/>
      <c r="M427" s="53">
        <f t="shared" si="79"/>
        <v>0.03</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0.03</v>
      </c>
      <c r="L428" s="963"/>
      <c r="M428" s="53">
        <f t="shared" si="79"/>
        <v>0.03</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0.03</v>
      </c>
      <c r="L429" s="963"/>
      <c r="M429" s="53">
        <f t="shared" si="79"/>
        <v>0.03</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0.03</v>
      </c>
      <c r="L430" s="963"/>
      <c r="M430" s="53">
        <f t="shared" si="79"/>
        <v>0.03</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0.03</v>
      </c>
      <c r="L431" s="963"/>
      <c r="M431" s="53">
        <f t="shared" si="79"/>
        <v>0.03</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0.03</v>
      </c>
      <c r="L432" s="963"/>
      <c r="M432" s="53">
        <f t="shared" si="79"/>
        <v>0.03</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0.03</v>
      </c>
      <c r="L433" s="963"/>
      <c r="M433" s="53">
        <f t="shared" si="79"/>
        <v>0.03</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0.03</v>
      </c>
      <c r="L434" s="963"/>
      <c r="M434" s="53">
        <f t="shared" si="79"/>
        <v>0.03</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0.03</v>
      </c>
      <c r="L435" s="963"/>
      <c r="M435" s="53">
        <f t="shared" si="79"/>
        <v>0.03</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0.03</v>
      </c>
      <c r="L436" s="963"/>
      <c r="M436" s="53">
        <f t="shared" si="79"/>
        <v>0.03</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0.03</v>
      </c>
      <c r="L437" s="963"/>
      <c r="M437" s="53">
        <f t="shared" si="79"/>
        <v>0.03</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0.03</v>
      </c>
      <c r="L438" s="963"/>
      <c r="M438" s="53">
        <f t="shared" si="79"/>
        <v>0.03</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0.03</v>
      </c>
      <c r="L439" s="963"/>
      <c r="M439" s="53">
        <f t="shared" si="79"/>
        <v>0.03</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0.03</v>
      </c>
      <c r="L440" s="963"/>
      <c r="M440" s="53">
        <f t="shared" si="79"/>
        <v>0.03</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0.03</v>
      </c>
      <c r="L441" s="963"/>
      <c r="M441" s="53">
        <f t="shared" si="79"/>
        <v>0.03</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0.03</v>
      </c>
      <c r="L442" s="963"/>
      <c r="M442" s="53">
        <f t="shared" si="79"/>
        <v>0.03</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0.03</v>
      </c>
      <c r="L443" s="963"/>
      <c r="M443" s="53">
        <f t="shared" si="79"/>
        <v>0.03</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0.03</v>
      </c>
      <c r="L444" s="963"/>
      <c r="M444" s="53">
        <f t="shared" si="79"/>
        <v>0.03</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0.03</v>
      </c>
      <c r="L445" s="963"/>
      <c r="M445" s="53">
        <f t="shared" si="79"/>
        <v>0.03</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0.03</v>
      </c>
      <c r="L446" s="963"/>
      <c r="M446" s="53">
        <f t="shared" si="79"/>
        <v>0.03</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0.03</v>
      </c>
      <c r="L447" s="963"/>
      <c r="M447" s="53">
        <f t="shared" si="79"/>
        <v>0.03</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0.03</v>
      </c>
      <c r="L448" s="963"/>
      <c r="M448" s="53">
        <f t="shared" si="79"/>
        <v>0.03</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0.03</v>
      </c>
      <c r="L449" s="963"/>
      <c r="M449" s="53">
        <f t="shared" si="79"/>
        <v>0.03</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0.03</v>
      </c>
      <c r="L450" s="963"/>
      <c r="M450" s="53">
        <f t="shared" si="79"/>
        <v>0.03</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0.03</v>
      </c>
      <c r="L451" s="963"/>
      <c r="M451" s="53">
        <f t="shared" si="79"/>
        <v>0.03</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0.03</v>
      </c>
      <c r="L452" s="963"/>
      <c r="M452" s="53">
        <f t="shared" si="79"/>
        <v>0.03</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0.03</v>
      </c>
      <c r="L453" s="963"/>
      <c r="M453" s="53">
        <f t="shared" si="79"/>
        <v>0.03</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0.03</v>
      </c>
      <c r="L454" s="963"/>
      <c r="M454" s="53">
        <f t="shared" si="79"/>
        <v>0.03</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0.03</v>
      </c>
      <c r="L455" s="963"/>
      <c r="M455" s="53">
        <f t="shared" si="79"/>
        <v>0.03</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0.03</v>
      </c>
      <c r="L456" s="963"/>
      <c r="M456" s="53">
        <f t="shared" si="79"/>
        <v>0.03</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0.03</v>
      </c>
      <c r="L457" s="963"/>
      <c r="M457" s="53">
        <f t="shared" si="79"/>
        <v>0.03</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0.03</v>
      </c>
      <c r="L458" s="963"/>
      <c r="M458" s="53">
        <f t="shared" si="79"/>
        <v>0.03</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0.03</v>
      </c>
      <c r="L459" s="963"/>
      <c r="M459" s="53">
        <f t="shared" si="79"/>
        <v>0.03</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0.03</v>
      </c>
      <c r="L460" s="963"/>
      <c r="M460" s="53">
        <f t="shared" si="79"/>
        <v>0.03</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0.03</v>
      </c>
      <c r="L461" s="963"/>
      <c r="M461" s="53">
        <f t="shared" si="79"/>
        <v>0.03</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0.03</v>
      </c>
      <c r="L462" s="963"/>
      <c r="M462" s="53">
        <f t="shared" si="79"/>
        <v>0.03</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0.03</v>
      </c>
      <c r="L463" s="963"/>
      <c r="M463" s="53">
        <f t="shared" si="79"/>
        <v>0.03</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0.03</v>
      </c>
      <c r="L464" s="963"/>
      <c r="M464" s="53">
        <f t="shared" si="79"/>
        <v>0.03</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0.03</v>
      </c>
      <c r="L465" s="963"/>
      <c r="M465" s="53">
        <f t="shared" si="79"/>
        <v>0.03</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0.03</v>
      </c>
      <c r="L466" s="963"/>
      <c r="M466" s="53">
        <f t="shared" si="79"/>
        <v>0.03</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0.03</v>
      </c>
      <c r="L467" s="963"/>
      <c r="M467" s="53">
        <f t="shared" si="79"/>
        <v>0.03</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0.03</v>
      </c>
      <c r="L468" s="963"/>
      <c r="M468" s="53">
        <f t="shared" si="79"/>
        <v>0.03</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0.03</v>
      </c>
      <c r="L469" s="963"/>
      <c r="M469" s="53">
        <f t="shared" si="79"/>
        <v>0.03</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0.03</v>
      </c>
      <c r="L470" s="963"/>
      <c r="M470" s="53">
        <f t="shared" si="79"/>
        <v>0.03</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0.03</v>
      </c>
      <c r="L471" s="963"/>
      <c r="M471" s="53">
        <f t="shared" si="79"/>
        <v>0.03</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0.03</v>
      </c>
      <c r="L472" s="963"/>
      <c r="M472" s="53">
        <f t="shared" si="79"/>
        <v>0.03</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0.03</v>
      </c>
      <c r="L473" s="963"/>
      <c r="M473" s="53">
        <f t="shared" si="79"/>
        <v>0.03</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0.03</v>
      </c>
      <c r="L474" s="963"/>
      <c r="M474" s="53">
        <f t="shared" ref="M474:M524" si="90">(SUMIF($13:$13,L474,$14:$14)-SUMIF($13:$13,$L$24,$14:$14)+100)/100</f>
        <v>0.03</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0.03</v>
      </c>
      <c r="L475" s="963"/>
      <c r="M475" s="53">
        <f t="shared" si="90"/>
        <v>0.03</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0.03</v>
      </c>
      <c r="L476" s="963"/>
      <c r="M476" s="53">
        <f t="shared" si="90"/>
        <v>0.03</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0.03</v>
      </c>
      <c r="L477" s="963"/>
      <c r="M477" s="53">
        <f t="shared" si="90"/>
        <v>0.03</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0.03</v>
      </c>
      <c r="L478" s="963"/>
      <c r="M478" s="53">
        <f t="shared" si="90"/>
        <v>0.03</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0.03</v>
      </c>
      <c r="L479" s="963"/>
      <c r="M479" s="53">
        <f t="shared" si="90"/>
        <v>0.03</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0.03</v>
      </c>
      <c r="L480" s="963"/>
      <c r="M480" s="53">
        <f t="shared" si="90"/>
        <v>0.03</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0.03</v>
      </c>
      <c r="L481" s="963"/>
      <c r="M481" s="53">
        <f t="shared" si="90"/>
        <v>0.03</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0.03</v>
      </c>
      <c r="L482" s="963"/>
      <c r="M482" s="53">
        <f t="shared" si="90"/>
        <v>0.03</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0.03</v>
      </c>
      <c r="L483" s="963"/>
      <c r="M483" s="53">
        <f t="shared" si="90"/>
        <v>0.03</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0.03</v>
      </c>
      <c r="L484" s="963"/>
      <c r="M484" s="53">
        <f t="shared" si="90"/>
        <v>0.03</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0.03</v>
      </c>
      <c r="L485" s="963"/>
      <c r="M485" s="53">
        <f t="shared" si="90"/>
        <v>0.03</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0.03</v>
      </c>
      <c r="L486" s="963"/>
      <c r="M486" s="53">
        <f t="shared" si="90"/>
        <v>0.03</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0.03</v>
      </c>
      <c r="L487" s="963"/>
      <c r="M487" s="53">
        <f t="shared" si="90"/>
        <v>0.03</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0.03</v>
      </c>
      <c r="L488" s="963"/>
      <c r="M488" s="53">
        <f t="shared" si="90"/>
        <v>0.03</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0.03</v>
      </c>
      <c r="L489" s="963"/>
      <c r="M489" s="53">
        <f t="shared" si="90"/>
        <v>0.03</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0.03</v>
      </c>
      <c r="L490" s="963"/>
      <c r="M490" s="53">
        <f t="shared" si="90"/>
        <v>0.03</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0.03</v>
      </c>
      <c r="L491" s="963"/>
      <c r="M491" s="53">
        <f t="shared" si="90"/>
        <v>0.03</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0.03</v>
      </c>
      <c r="L492" s="963"/>
      <c r="M492" s="53">
        <f t="shared" si="90"/>
        <v>0.03</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0.03</v>
      </c>
      <c r="L493" s="963"/>
      <c r="M493" s="53">
        <f t="shared" si="90"/>
        <v>0.03</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0.03</v>
      </c>
      <c r="L494" s="963"/>
      <c r="M494" s="53">
        <f t="shared" si="90"/>
        <v>0.03</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0.03</v>
      </c>
      <c r="L495" s="963"/>
      <c r="M495" s="53">
        <f t="shared" si="90"/>
        <v>0.03</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0.03</v>
      </c>
      <c r="L496" s="963"/>
      <c r="M496" s="53">
        <f t="shared" si="90"/>
        <v>0.03</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0.03</v>
      </c>
      <c r="L497" s="963"/>
      <c r="M497" s="53">
        <f t="shared" si="90"/>
        <v>0.03</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0.03</v>
      </c>
      <c r="L498" s="963"/>
      <c r="M498" s="53">
        <f t="shared" si="90"/>
        <v>0.03</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0.03</v>
      </c>
      <c r="L499" s="963"/>
      <c r="M499" s="53">
        <f t="shared" si="90"/>
        <v>0.03</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0.03</v>
      </c>
      <c r="L500" s="963"/>
      <c r="M500" s="53">
        <f t="shared" si="90"/>
        <v>0.03</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0.03</v>
      </c>
      <c r="L501" s="963"/>
      <c r="M501" s="53">
        <f t="shared" si="90"/>
        <v>0.03</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0.03</v>
      </c>
      <c r="L502" s="963"/>
      <c r="M502" s="53">
        <f t="shared" si="90"/>
        <v>0.03</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0.03</v>
      </c>
      <c r="L503" s="963"/>
      <c r="M503" s="53">
        <f t="shared" si="90"/>
        <v>0.03</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0.03</v>
      </c>
      <c r="L504" s="963"/>
      <c r="M504" s="53">
        <f t="shared" si="90"/>
        <v>0.03</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0.03</v>
      </c>
      <c r="L505" s="963"/>
      <c r="M505" s="53">
        <f t="shared" si="90"/>
        <v>0.03</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0.03</v>
      </c>
      <c r="L506" s="963"/>
      <c r="M506" s="53">
        <f t="shared" si="90"/>
        <v>0.03</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0.03</v>
      </c>
      <c r="L507" s="963"/>
      <c r="M507" s="53">
        <f t="shared" si="90"/>
        <v>0.03</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0.03</v>
      </c>
      <c r="L508" s="963"/>
      <c r="M508" s="53">
        <f t="shared" si="90"/>
        <v>0.03</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0.03</v>
      </c>
      <c r="L509" s="963"/>
      <c r="M509" s="53">
        <f t="shared" si="90"/>
        <v>0.03</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0.03</v>
      </c>
      <c r="L510" s="963"/>
      <c r="M510" s="53">
        <f t="shared" si="90"/>
        <v>0.03</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0.03</v>
      </c>
      <c r="L511" s="963"/>
      <c r="M511" s="53">
        <f t="shared" si="90"/>
        <v>0.03</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0.03</v>
      </c>
      <c r="L512" s="963"/>
      <c r="M512" s="53">
        <f t="shared" si="90"/>
        <v>0.03</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0.03</v>
      </c>
      <c r="L513" s="963"/>
      <c r="M513" s="53">
        <f t="shared" si="90"/>
        <v>0.03</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0.03</v>
      </c>
      <c r="L514" s="963"/>
      <c r="M514" s="53">
        <f t="shared" si="90"/>
        <v>0.03</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0.03</v>
      </c>
      <c r="L515" s="963"/>
      <c r="M515" s="53">
        <f t="shared" si="90"/>
        <v>0.03</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0.03</v>
      </c>
      <c r="L516" s="963"/>
      <c r="M516" s="53">
        <f t="shared" si="90"/>
        <v>0.03</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0.03</v>
      </c>
      <c r="L517" s="963"/>
      <c r="M517" s="53">
        <f t="shared" si="90"/>
        <v>0.03</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0.03</v>
      </c>
      <c r="L518" s="963"/>
      <c r="M518" s="53">
        <f t="shared" si="90"/>
        <v>0.03</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0.03</v>
      </c>
      <c r="L519" s="963"/>
      <c r="M519" s="53">
        <f t="shared" si="90"/>
        <v>0.03</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0.03</v>
      </c>
      <c r="L520" s="963"/>
      <c r="M520" s="53">
        <f t="shared" si="90"/>
        <v>0.03</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0.03</v>
      </c>
      <c r="L521" s="963"/>
      <c r="M521" s="53">
        <f t="shared" si="90"/>
        <v>0.03</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0.03</v>
      </c>
      <c r="L522" s="963"/>
      <c r="M522" s="53">
        <f t="shared" si="90"/>
        <v>0.03</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0.03</v>
      </c>
      <c r="L523" s="963"/>
      <c r="M523" s="53">
        <f t="shared" si="90"/>
        <v>0.03</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0.03</v>
      </c>
      <c r="L524" s="963"/>
      <c r="M524" s="53">
        <f t="shared" si="90"/>
        <v>0.03</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3.5"/>
  <cols>
    <col min="1" max="1" width="29.125" customWidth="1"/>
    <col min="2" max="2" width="21.12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3134</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3135</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C21" sqref="C21"/>
    </sheetView>
  </sheetViews>
  <sheetFormatPr defaultRowHeight="13.5"/>
  <sheetData>
    <row r="8" spans="5:7">
      <c r="G8" t="s">
        <v>3158</v>
      </c>
    </row>
    <row r="12" spans="5:7">
      <c r="E12">
        <v>0</v>
      </c>
    </row>
    <row r="18" spans="1:9">
      <c r="I18" s="3191"/>
    </row>
    <row r="21" spans="1:9">
      <c r="B21" t="s">
        <v>3159</v>
      </c>
      <c r="C21" t="s">
        <v>3160</v>
      </c>
      <c r="E21" s="3192" t="s">
        <v>3161</v>
      </c>
      <c r="F21" t="s">
        <v>3162</v>
      </c>
      <c r="G21" t="s">
        <v>3163</v>
      </c>
      <c r="H21" t="s">
        <v>3164</v>
      </c>
      <c r="I21" t="s">
        <v>3165</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3166</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workbookViewId="0">
      <selection activeCell="C3" sqref="C3"/>
    </sheetView>
  </sheetViews>
  <sheetFormatPr defaultRowHeight="13.5"/>
  <cols>
    <col min="2" max="6" width="11.625" bestFit="1" customWidth="1"/>
    <col min="7" max="7" width="9.5" bestFit="1" customWidth="1"/>
  </cols>
  <sheetData>
    <row r="2" spans="1:29">
      <c r="B2" s="3197" t="s">
        <v>2952</v>
      </c>
      <c r="C2" s="3197" t="s">
        <v>3173</v>
      </c>
      <c r="D2" s="3197" t="s">
        <v>3174</v>
      </c>
      <c r="E2" s="3197" t="s">
        <v>3175</v>
      </c>
      <c r="F2" s="3197" t="s">
        <v>3176</v>
      </c>
      <c r="G2" s="3197" t="s">
        <v>3177</v>
      </c>
      <c r="H2" s="3197" t="s">
        <v>3178</v>
      </c>
      <c r="I2" s="3200" t="s">
        <v>3180</v>
      </c>
      <c r="J2" s="3200" t="s">
        <v>3181</v>
      </c>
      <c r="K2" s="3200" t="s">
        <v>3182</v>
      </c>
    </row>
    <row r="3" spans="1:29">
      <c r="B3" s="3198">
        <v>49638.62</v>
      </c>
      <c r="C3" s="3199">
        <v>148915.86318846155</v>
      </c>
      <c r="D3" s="3199">
        <v>148524.48318846154</v>
      </c>
      <c r="E3" s="3199">
        <v>119886.81318846154</v>
      </c>
      <c r="F3" s="3199">
        <v>28637.67</v>
      </c>
      <c r="G3" s="3199">
        <v>391.38</v>
      </c>
      <c r="H3" s="3199">
        <v>391.38</v>
      </c>
      <c r="I3" s="3198">
        <f ca="1">典型户型修正!S24</f>
        <v>14564</v>
      </c>
      <c r="J3" s="3198">
        <f ca="1">ROUND(I3*10000/C3,0)</f>
        <v>978</v>
      </c>
      <c r="K3" s="3198">
        <f ca="1">ROUND(I3*10000/B3,0)</f>
        <v>2934</v>
      </c>
      <c r="AC3">
        <v>391.38</v>
      </c>
    </row>
    <row r="4" spans="1:29">
      <c r="B4" s="3198">
        <v>7505.2</v>
      </c>
      <c r="C4" s="3199">
        <v>22500</v>
      </c>
      <c r="D4" s="3199">
        <v>22410</v>
      </c>
      <c r="E4" s="3199">
        <v>18410</v>
      </c>
      <c r="F4" s="3199">
        <v>4000</v>
      </c>
      <c r="G4" s="3199">
        <v>90</v>
      </c>
      <c r="H4" s="3199">
        <v>90</v>
      </c>
      <c r="I4" s="3198">
        <f ca="1">典型户型修正!S25</f>
        <v>2156</v>
      </c>
      <c r="J4" s="3198">
        <f t="shared" ref="J4:J10" ca="1" si="0">ROUND(I4*10000/C4,0)</f>
        <v>958</v>
      </c>
      <c r="K4" s="3198">
        <f t="shared" ref="K4:K10" ca="1" si="1">ROUND(I4*10000/B4,0)</f>
        <v>2873</v>
      </c>
    </row>
    <row r="5" spans="1:29">
      <c r="B5" s="3198">
        <v>55188.61</v>
      </c>
      <c r="C5" s="3199">
        <v>165565.82999999999</v>
      </c>
      <c r="D5" s="3199">
        <v>165117.01142469884</v>
      </c>
      <c r="E5" s="3199">
        <v>135195.47142469883</v>
      </c>
      <c r="F5" s="3199">
        <v>29921.54</v>
      </c>
      <c r="G5" s="3199">
        <v>448.82</v>
      </c>
      <c r="H5" s="3199">
        <v>448.82</v>
      </c>
      <c r="I5" s="3198">
        <f ca="1">典型户型修正!S26</f>
        <v>16192</v>
      </c>
      <c r="J5" s="3198">
        <f t="shared" ca="1" si="0"/>
        <v>978</v>
      </c>
      <c r="K5" s="3198">
        <f t="shared" ca="1" si="1"/>
        <v>2934</v>
      </c>
    </row>
    <row r="6" spans="1:29">
      <c r="B6" s="3198">
        <v>3517.6</v>
      </c>
      <c r="C6" s="3199">
        <v>10550</v>
      </c>
      <c r="D6" s="3199">
        <v>10460</v>
      </c>
      <c r="E6" s="3199">
        <v>8460</v>
      </c>
      <c r="F6" s="3199">
        <v>2000</v>
      </c>
      <c r="G6" s="3199">
        <v>90</v>
      </c>
      <c r="H6" s="3199">
        <v>90</v>
      </c>
      <c r="I6" s="3198">
        <f>典型户型修正!S27</f>
        <v>0</v>
      </c>
      <c r="J6" s="3198">
        <f t="shared" si="0"/>
        <v>0</v>
      </c>
      <c r="K6" s="3198">
        <f t="shared" si="1"/>
        <v>0</v>
      </c>
    </row>
    <row r="7" spans="1:29">
      <c r="B7" s="3198">
        <v>58544.7</v>
      </c>
      <c r="C7" s="3199">
        <v>175600</v>
      </c>
      <c r="D7" s="3199">
        <v>175150</v>
      </c>
      <c r="E7" s="3199">
        <v>140150</v>
      </c>
      <c r="F7" s="3199">
        <v>35000</v>
      </c>
      <c r="G7" s="3199">
        <v>450</v>
      </c>
      <c r="H7" s="3199">
        <v>450</v>
      </c>
      <c r="I7" s="3198">
        <f>典型户型修正!S28</f>
        <v>0</v>
      </c>
      <c r="J7" s="3198">
        <f t="shared" si="0"/>
        <v>0</v>
      </c>
      <c r="K7" s="3198">
        <f t="shared" si="1"/>
        <v>0</v>
      </c>
    </row>
    <row r="8" spans="1:29">
      <c r="B8" s="3198">
        <v>56452.3</v>
      </c>
      <c r="C8" s="3199">
        <v>169000</v>
      </c>
      <c r="D8" s="3199">
        <v>168550</v>
      </c>
      <c r="E8" s="3199">
        <v>136550</v>
      </c>
      <c r="F8" s="3199">
        <v>32000</v>
      </c>
      <c r="G8" s="3199">
        <v>450</v>
      </c>
      <c r="H8" s="3199">
        <v>450</v>
      </c>
      <c r="I8" s="3198">
        <f>典型户型修正!S29</f>
        <v>0</v>
      </c>
      <c r="J8" s="3198">
        <f t="shared" si="0"/>
        <v>0</v>
      </c>
      <c r="K8" s="3198">
        <f t="shared" si="1"/>
        <v>0</v>
      </c>
    </row>
    <row r="9" spans="1:29">
      <c r="B9" s="3198">
        <v>31096.5</v>
      </c>
      <c r="C9" s="3199">
        <v>93200</v>
      </c>
      <c r="D9" s="3199">
        <v>92920</v>
      </c>
      <c r="E9" s="3199">
        <v>72920</v>
      </c>
      <c r="F9" s="3199">
        <v>20000</v>
      </c>
      <c r="G9" s="3199">
        <v>280</v>
      </c>
      <c r="H9" s="3199">
        <v>280</v>
      </c>
      <c r="I9" s="3198">
        <f>典型户型修正!S30</f>
        <v>0</v>
      </c>
      <c r="J9" s="3198">
        <f t="shared" si="0"/>
        <v>0</v>
      </c>
      <c r="K9" s="3198">
        <f t="shared" si="1"/>
        <v>0</v>
      </c>
    </row>
    <row r="10" spans="1:29">
      <c r="A10" s="3196" t="s">
        <v>3179</v>
      </c>
      <c r="B10" s="3198">
        <f>SUM(B3:B9)</f>
        <v>261943.52999999997</v>
      </c>
      <c r="C10" s="3199">
        <f>SUM(C3:C9)</f>
        <v>785331.69318846148</v>
      </c>
      <c r="D10" s="3198"/>
      <c r="E10" s="3199">
        <f>SUM(E3:E9)</f>
        <v>631572.28461316042</v>
      </c>
      <c r="F10" s="3199">
        <f>SUM(F3:F9)</f>
        <v>151559.21</v>
      </c>
      <c r="G10" s="3198"/>
      <c r="H10" s="3199">
        <f>SUM(H3:H9)</f>
        <v>2200.1999999999998</v>
      </c>
      <c r="I10" s="3198">
        <f ca="1">SUM(I3:I9)</f>
        <v>32912</v>
      </c>
      <c r="J10" s="3198">
        <f t="shared" ca="1" si="0"/>
        <v>419</v>
      </c>
      <c r="K10" s="3198">
        <f t="shared" ca="1" si="1"/>
        <v>1256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2040</v>
      </c>
      <c r="B1" s="3207"/>
      <c r="C1" s="3207"/>
      <c r="D1" s="3207"/>
      <c r="E1" s="3207"/>
      <c r="F1" s="3207"/>
      <c r="G1" s="3207"/>
      <c r="H1" s="3207"/>
      <c r="I1" s="3207"/>
      <c r="J1" s="3207"/>
      <c r="K1" s="3207"/>
      <c r="L1" s="3207"/>
      <c r="M1" s="3207"/>
      <c r="N1" s="3207"/>
      <c r="O1" s="3207"/>
      <c r="P1" s="3207"/>
      <c r="Q1" s="3207"/>
      <c r="R1" s="3207"/>
    </row>
    <row r="2" spans="1:18">
      <c r="A2" s="1809" t="s">
        <v>2042</v>
      </c>
      <c r="B2" s="1809"/>
      <c r="C2" s="1809"/>
      <c r="D2" s="1809"/>
      <c r="E2" s="1809"/>
      <c r="F2" s="1809"/>
      <c r="G2" s="1809"/>
      <c r="H2" s="1809"/>
      <c r="I2" s="1810"/>
      <c r="J2" s="1810"/>
      <c r="K2" s="1811" t="str">
        <f>"估价期日："&amp;TEXT(项目基本情况!D3,"yyyy年m月d日;;")</f>
        <v>估价期日：2018年9月18日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8" t="s">
        <v>2031</v>
      </c>
      <c r="B3" s="3208" t="s">
        <v>2733</v>
      </c>
      <c r="C3" s="3209" t="s">
        <v>2032</v>
      </c>
      <c r="D3" s="3208" t="s">
        <v>2737</v>
      </c>
      <c r="E3" s="3203" t="s">
        <v>2033</v>
      </c>
      <c r="F3" s="3203"/>
      <c r="G3" s="3203"/>
      <c r="H3" s="3203" t="s">
        <v>2034</v>
      </c>
      <c r="I3" s="3203"/>
      <c r="J3" s="3203"/>
      <c r="K3" s="3209" t="s">
        <v>2035</v>
      </c>
      <c r="L3" s="3209" t="s">
        <v>2036</v>
      </c>
      <c r="M3" s="3208" t="s">
        <v>2734</v>
      </c>
      <c r="N3" s="3210" t="str">
        <f>"（分摊）"&amp;项目基本情况!B16&amp;"国有建设用地使用权面积/㎡"</f>
        <v>（分摊）出让国有建设用地使用权面积/㎡</v>
      </c>
      <c r="O3" s="3208" t="s">
        <v>2065</v>
      </c>
      <c r="P3" s="3209" t="s">
        <v>2045</v>
      </c>
      <c r="Q3" s="3209" t="s">
        <v>2066</v>
      </c>
      <c r="R3" s="3209" t="s">
        <v>2037</v>
      </c>
    </row>
    <row r="4" spans="1:18" ht="36.75" customHeight="1">
      <c r="A4" s="3208"/>
      <c r="B4" s="3208"/>
      <c r="C4" s="3209"/>
      <c r="D4" s="3208"/>
      <c r="E4" s="2649" t="s">
        <v>2044</v>
      </c>
      <c r="F4" s="2649" t="s">
        <v>2746</v>
      </c>
      <c r="G4" s="2649" t="s">
        <v>2038</v>
      </c>
      <c r="H4" s="2649" t="s">
        <v>2039</v>
      </c>
      <c r="I4" s="2649" t="s">
        <v>2747</v>
      </c>
      <c r="J4" s="2649" t="s">
        <v>2038</v>
      </c>
      <c r="K4" s="3209"/>
      <c r="L4" s="3209"/>
      <c r="M4" s="3208"/>
      <c r="N4" s="3210"/>
      <c r="O4" s="3208"/>
      <c r="P4" s="3209"/>
      <c r="Q4" s="3209"/>
      <c r="R4" s="3209"/>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49638.62</v>
      </c>
      <c r="O5" s="1812">
        <f>项目基本情况!C21</f>
        <v>148915.85999999999</v>
      </c>
      <c r="P5" s="1812">
        <f ca="1">结果表!E42</f>
        <v>2934</v>
      </c>
      <c r="Q5" s="1812">
        <f ca="1">结果表!D42</f>
        <v>978</v>
      </c>
      <c r="R5" s="1813">
        <f ca="1">结果表!C42</f>
        <v>14566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4"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4"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2" t="s">
        <v>2067</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2068</v>
      </c>
      <c r="B5" s="3211"/>
      <c r="C5" s="3211"/>
      <c r="D5" s="3211"/>
    </row>
    <row r="6" spans="1:4">
      <c r="A6" s="3212" t="s">
        <v>2046</v>
      </c>
      <c r="B6" s="3212"/>
      <c r="C6" s="3212"/>
      <c r="D6" s="3212"/>
    </row>
    <row r="7" spans="1:4" ht="33" customHeight="1">
      <c r="A7" s="3212" t="s">
        <v>2577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1" t="s">
        <v>2070</v>
      </c>
      <c r="B12" s="3211"/>
      <c r="C12" s="3211"/>
      <c r="D12" s="3211"/>
    </row>
    <row r="13" spans="1:4">
      <c r="A13" s="3215" t="s">
        <v>2748</v>
      </c>
      <c r="B13" s="3215"/>
      <c r="C13" s="3215"/>
      <c r="D13" s="3215"/>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2704</v>
      </c>
      <c r="B17" s="3212"/>
      <c r="C17" s="3212"/>
      <c r="D17" s="3212"/>
    </row>
    <row r="18" spans="1:4">
      <c r="A18" s="3212" t="s">
        <v>2696</v>
      </c>
      <c r="B18" s="3212"/>
      <c r="C18" s="3212"/>
      <c r="D18" s="3212"/>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2" t="s">
        <v>2701</v>
      </c>
      <c r="B23" s="3212"/>
      <c r="C23" s="3212"/>
      <c r="D23" s="3212"/>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3" t="s">
        <v>53</v>
      </c>
      <c r="B15" s="3224" t="s">
        <v>845</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836</v>
      </c>
    </row>
    <row r="25" spans="1:3" ht="14.25">
      <c r="A25" s="3222"/>
      <c r="B25" s="3226"/>
      <c r="C25" s="1176" t="s">
        <v>837</v>
      </c>
    </row>
    <row r="26" spans="1:3" ht="14.25">
      <c r="A26" s="3222"/>
      <c r="B26" s="3226"/>
      <c r="C26" s="1176" t="s">
        <v>838</v>
      </c>
    </row>
    <row r="27" spans="1:3" ht="14.25">
      <c r="A27" s="3222"/>
      <c r="B27" s="3226"/>
      <c r="C27" s="1176" t="s">
        <v>839</v>
      </c>
    </row>
    <row r="28" spans="1:3" ht="14.25">
      <c r="A28" s="3222"/>
      <c r="B28" s="3226"/>
      <c r="C28" s="1176" t="s">
        <v>840</v>
      </c>
    </row>
    <row r="29" spans="1:3" ht="14.25">
      <c r="A29" s="3222"/>
      <c r="B29" s="3226"/>
      <c r="C29" s="1176" t="s">
        <v>841</v>
      </c>
    </row>
    <row r="30" spans="1:3" ht="14.25">
      <c r="A30" s="3222"/>
      <c r="B30" s="3226"/>
      <c r="C30" s="1176" t="s">
        <v>842</v>
      </c>
    </row>
    <row r="31" spans="1:3" ht="14.25">
      <c r="A31" s="3222"/>
      <c r="B31" s="3226"/>
      <c r="C31" s="1176" t="s">
        <v>843</v>
      </c>
    </row>
    <row r="32" spans="1:3" ht="14.25">
      <c r="A32" s="3222"/>
      <c r="B32" s="3226"/>
      <c r="C32" s="1176" t="s">
        <v>1646</v>
      </c>
    </row>
    <row r="33" spans="1:3" ht="14.25">
      <c r="A33" s="3222"/>
      <c r="B33" s="3216" t="s">
        <v>1652</v>
      </c>
      <c r="C33" s="1176" t="s">
        <v>1647</v>
      </c>
    </row>
    <row r="34" spans="1:3" ht="14.25">
      <c r="A34" s="3222"/>
      <c r="B34" s="3217"/>
      <c r="C34" s="1181" t="s">
        <v>1648</v>
      </c>
    </row>
    <row r="35" spans="1:3" ht="14.25">
      <c r="A35" s="3222"/>
      <c r="B35" s="3217"/>
      <c r="C35" s="1182" t="s">
        <v>1649</v>
      </c>
    </row>
    <row r="36" spans="1:3" ht="14.25">
      <c r="A36" s="3222"/>
      <c r="B36" s="3217"/>
      <c r="C36" s="1182" t="s">
        <v>1650</v>
      </c>
    </row>
    <row r="37" spans="1:3" ht="14.25">
      <c r="A37" s="3222"/>
      <c r="B37" s="321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43544</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7" t="s">
        <v>1928</v>
      </c>
      <c r="B25" s="3227"/>
      <c r="C25" s="3227"/>
      <c r="D25" s="3227"/>
      <c r="E25" s="3227"/>
      <c r="F25" s="3227"/>
      <c r="G25" s="3227"/>
    </row>
    <row r="26" spans="1:7" ht="20.25" customHeight="1">
      <c r="A26" s="3228" t="s">
        <v>1929</v>
      </c>
      <c r="B26" s="3228"/>
      <c r="C26" s="3228"/>
      <c r="D26" s="3228" t="s">
        <v>1930</v>
      </c>
      <c r="E26" s="3228"/>
      <c r="F26" s="322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9"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c r="D53" s="1769"/>
      <c r="E53" s="1769"/>
    </row>
    <row r="54" spans="1:5">
      <c r="A54" s="3229"/>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9"/>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9"/>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9"/>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2019-03-20T15:29:28Z</dcterms:modified>
</cp:coreProperties>
</file>